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chartsheets/sheet1.xml" ContentType="application/vnd.openxmlformats-officedocument.spreadsheetml.chart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omments1.xml" ContentType="application/vnd.openxmlformats-officedocument.spreadsheetml.comments+xml"/>
  <Override PartName="/xl/drawings/drawing5.xml" ContentType="application/vnd.openxmlformats-officedocument.drawing+xml"/>
  <Override PartName="/xl/charts/chart4.xml" ContentType="application/vnd.openxmlformats-officedocument.drawingml.chart+xml"/>
  <Override PartName="/xl/comments2.xml" ContentType="application/vnd.openxmlformats-officedocument.spreadsheetml.comments+xml"/>
  <Override PartName="/xl/drawings/drawing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3.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8.xml" ContentType="application/vnd.openxmlformats-officedocument.drawing+xml"/>
  <Override PartName="/xl/charts/chart22.xml" ContentType="application/vnd.openxmlformats-officedocument.drawingml.chart+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comments12.xml" ContentType="application/vnd.openxmlformats-officedocument.spreadsheetml.comment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mc:AlternateContent xmlns:mc="http://schemas.openxmlformats.org/markup-compatibility/2006">
    <mc:Choice Requires="x15">
      <x15ac:absPath xmlns:x15ac="http://schemas.microsoft.com/office/spreadsheetml/2010/11/ac" url="C:\Users\mkirkpatrick\Documents\2015-2016 Fact Book\"/>
    </mc:Choice>
  </mc:AlternateContent>
  <bookViews>
    <workbookView xWindow="0" yWindow="0" windowWidth="23040" windowHeight="10848"/>
  </bookViews>
  <sheets>
    <sheet name="Table of Contents" sheetId="80" r:id="rId1"/>
    <sheet name="Board of Trustees" sheetId="313" r:id="rId2"/>
    <sheet name="Executive Officers" sheetId="5" r:id="rId3"/>
    <sheet name="2015-2016 org chart" sheetId="269" r:id="rId4"/>
    <sheet name="Freshmen Application History" sheetId="277" r:id="rId5"/>
    <sheet name="Freshmen by Gender" sheetId="278" r:id="rId6"/>
    <sheet name="Freshmen by Ethnic Origin" sheetId="279" r:id="rId7"/>
    <sheet name="Freshmen SAT 91-95" sheetId="280" r:id="rId8"/>
    <sheet name="Freshmen SAT 96-15" sheetId="281" r:id="rId9"/>
    <sheet name="first time freshmen by high sch" sheetId="321" r:id="rId10"/>
    <sheet name="Transfer Application History" sheetId="283" r:id="rId11"/>
    <sheet name="Transfers by Gender" sheetId="284" r:id="rId12"/>
    <sheet name="Transfers by Ethnic Origin" sheetId="285" r:id="rId13"/>
    <sheet name="Transfers by Institution" sheetId="286" r:id="rId14"/>
    <sheet name="Fall 2015 Headcount" sheetId="309" r:id="rId15"/>
    <sheet name="NEW Fall CHP by DISC" sheetId="160" r:id="rId16"/>
    <sheet name="NEW Fall FTE by DISC" sheetId="161" r:id="rId17"/>
    <sheet name="UG cr hrs per student" sheetId="239" r:id="rId18"/>
    <sheet name="Spring 2016 Headcount" sheetId="310" r:id="rId19"/>
    <sheet name="NEW Spring CHP by DISC" sheetId="183" r:id="rId20"/>
    <sheet name="NEW Spring FTE by DISC" sheetId="184" r:id="rId21"/>
    <sheet name="Headcount &amp; FTE History" sheetId="21" r:id="rId22"/>
    <sheet name="NEW Summer CHP by DISC " sheetId="329" r:id="rId23"/>
    <sheet name="NEW Summer FTE by DISC" sheetId="330" r:id="rId24"/>
    <sheet name="Summer Credit Hour Production" sheetId="331" r:id="rId25"/>
    <sheet name="Fall Headcount by Class" sheetId="27" r:id="rId26"/>
    <sheet name="Spring Headcount by Class" sheetId="181" r:id="rId27"/>
    <sheet name="Summer Headcount by Class " sheetId="322" r:id="rId28"/>
    <sheet name="New Fall college hdcnt by major" sheetId="159" r:id="rId29"/>
    <sheet name="Fal hdct by major 5 yr ave" sheetId="274" r:id="rId30"/>
    <sheet name="Fall Headcoun by Education Majo" sheetId="305" r:id="rId31"/>
    <sheet name="Minor Headcount History" sheetId="29" r:id="rId32"/>
    <sheet name="Spring college hdcnt by major" sheetId="196" r:id="rId33"/>
    <sheet name="New Summer hdnt by college" sheetId="323" r:id="rId34"/>
    <sheet name="Number of Online Courses" sheetId="259" r:id="rId35"/>
    <sheet name="Average Age" sheetId="32" r:id="rId36"/>
    <sheet name="Fall 2015 by Age and Gend" sheetId="122" r:id="rId37"/>
    <sheet name="Black Enrollment History" sheetId="33" r:id="rId38"/>
    <sheet name="Country of Origin" sheetId="36" r:id="rId39"/>
    <sheet name="State of Origin" sheetId="34" r:id="rId40"/>
    <sheet name="SC Students by County" sheetId="35" r:id="rId41"/>
    <sheet name="In- &amp; Out-of-State Distribution" sheetId="37" r:id="rId42"/>
    <sheet name="New degrees conferred by colleg" sheetId="187" r:id="rId43"/>
    <sheet name="deg conferred 5 yr averages" sheetId="308" r:id="rId44"/>
    <sheet name="teacher certification degrees" sheetId="276" r:id="rId45"/>
    <sheet name="Minors Conferred" sheetId="39" r:id="rId46"/>
    <sheet name="Minors Conferred 5 year average" sheetId="261" r:id="rId47"/>
    <sheet name="Residency Halls Occupancy" sheetId="326" r:id="rId48"/>
    <sheet name="Library Statistics" sheetId="333" r:id="rId49"/>
    <sheet name="Alumni by Country" sheetId="50" r:id="rId50"/>
    <sheet name="Alumni by State" sheetId="49" r:id="rId51"/>
    <sheet name="Alumni by County" sheetId="48" r:id="rId52"/>
    <sheet name="FTE Student-Faculty Ratio" sheetId="312" r:id="rId53"/>
    <sheet name="Fall Teaching Fac. by Div rank" sheetId="299" r:id="rId54"/>
    <sheet name="Faculty by Div,Tenure,Degree" sheetId="300" r:id="rId55"/>
    <sheet name="Faculty by Div,Ten,Dg-Chart" sheetId="301" r:id="rId56"/>
    <sheet name="Faculty by Rank and Gender" sheetId="302" r:id="rId57"/>
    <sheet name="Faculty Salaries by Rank" sheetId="303" r:id="rId58"/>
    <sheet name="Academic Fees" sheetId="304" r:id="rId59"/>
    <sheet name="Financial Aid Summary 01 TO 05" sheetId="237" r:id="rId60"/>
    <sheet name="financial aid sources 06_11" sheetId="314" r:id="rId61"/>
    <sheet name="FA SOURCES 12_13 to 15_16" sheetId="327" r:id="rId62"/>
    <sheet name="Revenues and Expenditures 13-14" sheetId="296" r:id="rId63"/>
    <sheet name="Facilities " sheetId="297" r:id="rId64"/>
    <sheet name="Graduation Rates (2006)" sheetId="315" r:id="rId65"/>
    <sheet name="Graduation Rates (2007)" sheetId="319" r:id="rId66"/>
    <sheet name="Graduation Rates (2008)" sheetId="320" r:id="rId67"/>
    <sheet name="Graduation Rates (2009)" sheetId="332" r:id="rId68"/>
    <sheet name="Graduation Rates 4 Yr Ave" sheetId="268" r:id="rId69"/>
    <sheet name="Freshmen Retention_Attrition" sheetId="262" r:id="rId70"/>
    <sheet name="Transfer Retention_Attrition" sheetId="325" r:id="rId71"/>
  </sheets>
  <externalReferences>
    <externalReference r:id="rId72"/>
  </externalReferences>
  <definedNames>
    <definedName name="_xlnm._FilterDatabase" localSheetId="49" hidden="1">'Alumni by Country'!$A$3:$K$40</definedName>
    <definedName name="_xlnm._FilterDatabase" localSheetId="51" hidden="1">'Alumni by County'!$A$3:$G$3</definedName>
    <definedName name="_xlnm._FilterDatabase" localSheetId="50" hidden="1">'Alumni by State'!$A$3:$H$54</definedName>
    <definedName name="_xlnm._FilterDatabase" localSheetId="38" hidden="1">'Country of Origin'!$A$3:$J$62</definedName>
    <definedName name="_xlnm._FilterDatabase" localSheetId="29" hidden="1">'Fal hdct by major 5 yr ave'!$A$5:$S$145</definedName>
    <definedName name="_xlnm._FilterDatabase" localSheetId="9" hidden="1">'first time freshmen by high sch'!$A$5:$AS$468</definedName>
    <definedName name="_xlnm._FilterDatabase" localSheetId="42" hidden="1">'New degrees conferred by colleg'!$A$5:$L$107</definedName>
    <definedName name="_xlnm._FilterDatabase" localSheetId="39" hidden="1">'State of Origin'!$A$3:$E$49</definedName>
    <definedName name="_Order1" hidden="1">255</definedName>
    <definedName name="All_Full_time_Freshmen" localSheetId="58">'[1]Freshmen Retention_Attrition'!$A$2</definedName>
    <definedName name="All_Full_time_Freshmen" localSheetId="54">'[1]Freshmen Retention_Attrition'!$A$2</definedName>
    <definedName name="All_Full_time_Freshmen" localSheetId="56">'[1]Freshmen Retention_Attrition'!$A$2</definedName>
    <definedName name="All_Full_time_Freshmen" localSheetId="57">'[1]Freshmen Retention_Attrition'!$A$2</definedName>
    <definedName name="All_Full_time_Freshmen" localSheetId="53">'[1]Freshmen Retention_Attrition'!$A$2</definedName>
    <definedName name="All_Full_time_Freshmen" localSheetId="4">'[1]Freshmen Retention_Attrition'!$A$2</definedName>
    <definedName name="All_Full_time_Freshmen" localSheetId="6">'[1]Freshmen Retention_Attrition'!$A$2</definedName>
    <definedName name="All_Full_time_Freshmen" localSheetId="5">'[1]Freshmen Retention_Attrition'!$A$2</definedName>
    <definedName name="All_Full_time_Freshmen" localSheetId="8">'[1]Freshmen Retention_Attrition'!$A$2</definedName>
    <definedName name="All_Full_time_Freshmen" localSheetId="10">'[1]Freshmen Retention_Attrition'!$A$2</definedName>
    <definedName name="HTML_CodePage" hidden="1">1252</definedName>
    <definedName name="HTML_Control" localSheetId="58" hidden="1">{"'A'!$A$1:$F$28"}</definedName>
    <definedName name="HTML_Control" localSheetId="1" hidden="1">{"'A'!$A$1:$F$28"}</definedName>
    <definedName name="HTML_Control" localSheetId="43" hidden="1">{"'A'!$A$1:$F$28"}</definedName>
    <definedName name="HTML_Control" localSheetId="63" hidden="1">{"'A'!$A$1:$F$28"}</definedName>
    <definedName name="HTML_Control" localSheetId="54" hidden="1">{"'A'!$A$1:$F$28"}</definedName>
    <definedName name="HTML_Control" localSheetId="56" hidden="1">{"'A'!$A$1:$F$28"}</definedName>
    <definedName name="HTML_Control" localSheetId="57" hidden="1">{"'A'!$A$1:$F$28"}</definedName>
    <definedName name="HTML_Control" localSheetId="29" hidden="1">{"'A'!$A$1:$F$28"}</definedName>
    <definedName name="HTML_Control" localSheetId="36" hidden="1">{"'A'!$A$1:$F$28"}</definedName>
    <definedName name="HTML_Control" localSheetId="30" hidden="1">{"'A'!$A$1:$F$28"}</definedName>
    <definedName name="HTML_Control" localSheetId="53" hidden="1">{"'A'!$A$1:$F$28"}</definedName>
    <definedName name="HTML_Control" localSheetId="60" hidden="1">{"'A'!$A$1:$F$28"}</definedName>
    <definedName name="HTML_Control" localSheetId="59" hidden="1">{"'A'!$A$1:$F$28"}</definedName>
    <definedName name="HTML_Control" localSheetId="9" hidden="1">{"'A'!$A$1:$F$28"}</definedName>
    <definedName name="HTML_Control" localSheetId="4" hidden="1">{"'A'!$A$1:$F$28"}</definedName>
    <definedName name="HTML_Control" localSheetId="6" hidden="1">{"'A'!$A$1:$F$28"}</definedName>
    <definedName name="HTML_Control" localSheetId="5" hidden="1">{"'A'!$A$1:$F$28"}</definedName>
    <definedName name="HTML_Control" localSheetId="69" hidden="1">{"'A'!$A$1:$F$28"}</definedName>
    <definedName name="HTML_Control" localSheetId="8" hidden="1">{"'A'!$A$1:$F$28"}</definedName>
    <definedName name="HTML_Control" localSheetId="64" hidden="1">{"'A'!$A$1:$F$28"}</definedName>
    <definedName name="HTML_Control" localSheetId="65" hidden="1">{"'A'!$A$1:$F$28"}</definedName>
    <definedName name="HTML_Control" localSheetId="48" hidden="1">{"'A'!$A$1:$F$28"}</definedName>
    <definedName name="HTML_Control" localSheetId="46" hidden="1">{"'A'!$A$1:$F$28"}</definedName>
    <definedName name="HTML_Control" localSheetId="42" hidden="1">{"'A'!$A$1:$F$28"}</definedName>
    <definedName name="HTML_Control" localSheetId="15" hidden="1">{"'A'!$A$1:$F$28"}</definedName>
    <definedName name="HTML_Control" localSheetId="28" hidden="1">{"'A'!$A$1:$F$28"}</definedName>
    <definedName name="HTML_Control" localSheetId="16" hidden="1">{"'A'!$A$1:$F$28"}</definedName>
    <definedName name="HTML_Control" localSheetId="19" hidden="1">{"'A'!$A$1:$F$28"}</definedName>
    <definedName name="HTML_Control" localSheetId="20" hidden="1">{"'A'!$A$1:$F$28"}</definedName>
    <definedName name="HTML_Control" localSheetId="22" hidden="1">{"'A'!$A$1:$F$28"}</definedName>
    <definedName name="HTML_Control" localSheetId="23" hidden="1">{"'A'!$A$1:$F$28"}</definedName>
    <definedName name="HTML_Control" localSheetId="33" hidden="1">{"'A'!$A$1:$F$28"}</definedName>
    <definedName name="HTML_Control" localSheetId="34" hidden="1">{"'A'!$A$1:$F$28"}</definedName>
    <definedName name="HTML_Control" localSheetId="47" hidden="1">{"'A'!$A$1:$F$28"}</definedName>
    <definedName name="HTML_Control" localSheetId="62" hidden="1">{"'A'!$A$1:$F$28"}</definedName>
    <definedName name="HTML_Control" localSheetId="32" hidden="1">{"'A'!$A$1:$F$28"}</definedName>
    <definedName name="HTML_Control" localSheetId="26" hidden="1">{"'A'!$A$1:$F$28"}</definedName>
    <definedName name="HTML_Control" localSheetId="24" hidden="1">{"'A'!$A$1:$F$28"}</definedName>
    <definedName name="HTML_Control" localSheetId="27" hidden="1">{"'A'!$A$1:$F$28"}</definedName>
    <definedName name="HTML_Control" localSheetId="0" hidden="1">{"'A'!$A$1:$F$28"}</definedName>
    <definedName name="HTML_Control" localSheetId="10" hidden="1">{"'A'!$A$1:$F$28"}</definedName>
    <definedName name="HTML_Control" localSheetId="70" hidden="1">{"'A'!$A$1:$F$28"}</definedName>
    <definedName name="HTML_Control" localSheetId="12" hidden="1">{"'A'!$A$1:$F$28"}</definedName>
    <definedName name="HTML_Control" localSheetId="11" hidden="1">{"'A'!$A$1:$F$28"}</definedName>
    <definedName name="HTML_Control" localSheetId="13" hidden="1">{"'A'!$A$1:$F$28"}</definedName>
    <definedName name="HTML_Control" localSheetId="17" hidden="1">{"'A'!$A$1:$F$28"}</definedName>
    <definedName name="HTML_Control" hidden="1">{"'A'!$A$1:$F$28"}</definedName>
    <definedName name="HTML_Description" hidden="1">""</definedName>
    <definedName name="HTML_Email" hidden="1">""</definedName>
    <definedName name="HTML_Header" hidden="1">""</definedName>
    <definedName name="HTML_LastUpdate" hidden="1">"3/15/99"</definedName>
    <definedName name="HTML_LineAfter" hidden="1">FALSE</definedName>
    <definedName name="HTML_LineBefore" hidden="1">FALSE</definedName>
    <definedName name="HTML_Name" hidden="1">"Lori Woods"</definedName>
    <definedName name="HTML_OBDlg2" hidden="1">TRUE</definedName>
    <definedName name="HTML_OBDlg4" hidden="1">TRUE</definedName>
    <definedName name="HTML_OS" hidden="1">0</definedName>
    <definedName name="HTML_PathFile" hidden="1">"N:\MIS\Performance Funding\PF Data 1998\pf7f_98.htm"</definedName>
    <definedName name="HTML_Title" hidden="1">"pf7f_98"</definedName>
    <definedName name="_xlnm.Print_Area" localSheetId="58">'Academic Fees'!$A$1:$F$37</definedName>
    <definedName name="_xlnm.Print_Area" localSheetId="35">'Average Age'!$B$1:$S$33</definedName>
    <definedName name="_xlnm.Print_Area" localSheetId="37">'Black Enrollment History'!$A$1:$J$34</definedName>
    <definedName name="_xlnm.Print_Area" localSheetId="54">'Faculty by Div,Tenure,Degree'!$A$1:$D$35</definedName>
    <definedName name="_xlnm.Print_Area" localSheetId="56">'Faculty by Rank and Gender'!$A$1:$H$35</definedName>
    <definedName name="_xlnm.Print_Area" localSheetId="57">'Faculty Salaries by Rank'!$A$1:$E$31</definedName>
    <definedName name="_xlnm.Print_Area" localSheetId="25">'Fall Headcount by Class'!$A$1:$J$60</definedName>
    <definedName name="_xlnm.Print_Area" localSheetId="60">'financial aid sources 06_11'!$A$1:$Q$63</definedName>
    <definedName name="_xlnm.Print_Area" localSheetId="59">'Financial Aid Summary 01 TO 05'!$A$1:$T$28</definedName>
    <definedName name="_xlnm.Print_Area" localSheetId="4">'Freshmen Application History'!$A$1:$G$36</definedName>
    <definedName name="_xlnm.Print_Area" localSheetId="69">'Freshmen Retention_Attrition'!$A$1:$R$39</definedName>
    <definedName name="_xlnm.Print_Area" localSheetId="7">'Freshmen SAT 91-95'!$A$1:$K$42</definedName>
    <definedName name="_xlnm.Print_Area" localSheetId="8">'Freshmen SAT 96-15'!$A$1:$L$63</definedName>
    <definedName name="_xlnm.Print_Area" localSheetId="15">'NEW Fall CHP by DISC'!$A$1:$AD$125</definedName>
    <definedName name="_xlnm.Print_Area" localSheetId="28">'New Fall college hdcnt by major'!$A$1:$N$136</definedName>
    <definedName name="_xlnm.Print_Area" localSheetId="16">'NEW Fall FTE by DISC'!$A$1:$AD$125</definedName>
    <definedName name="_xlnm.Print_Area" localSheetId="19">'NEW Spring CHP by DISC'!$A$1:$AD$127</definedName>
    <definedName name="_xlnm.Print_Area" localSheetId="20">'NEW Spring FTE by DISC'!$A$1:$AI$127</definedName>
    <definedName name="_xlnm.Print_Area" localSheetId="22">'NEW Summer CHP by DISC '!$A$1:$Y$115</definedName>
    <definedName name="_xlnm.Print_Area" localSheetId="23">'NEW Summer FTE by DISC'!$A$1:$Y$115</definedName>
    <definedName name="_xlnm.Print_Area" localSheetId="26">'Spring Headcount by Class'!$A$1:$J$59</definedName>
    <definedName name="_xlnm.Print_Area" localSheetId="27">'Summer Headcount by Class '!$A$1:$N$66</definedName>
    <definedName name="_xlnm.Print_Area" localSheetId="0">'Table of Contents'!$A$1:$S$87</definedName>
    <definedName name="_xlnm.Print_Area" localSheetId="10">'Transfer Application History'!$A$1:$G$40</definedName>
    <definedName name="_xlnm.Print_Area" localSheetId="17">'UG cr hrs per student'!$A$1:$AA$49</definedName>
    <definedName name="_xlnm.Print_Titles" localSheetId="43">'deg conferred 5 yr averages'!$1:$2</definedName>
    <definedName name="_xlnm.Print_Titles" localSheetId="29">'Fal hdct by major 5 yr ave'!$1:$1</definedName>
    <definedName name="_xlnm.Print_Titles" localSheetId="30">'Fall Headcoun by Education Majo'!#REF!</definedName>
    <definedName name="_xlnm.Print_Titles" localSheetId="9">'first time freshmen by high sch'!$1:$4</definedName>
    <definedName name="_xlnm.Print_Titles" localSheetId="42">'New degrees conferred by colleg'!$1:$2</definedName>
    <definedName name="_xlnm.Print_Titles" localSheetId="15">'NEW Fall CHP by DISC'!$1:$2</definedName>
    <definedName name="_xlnm.Print_Titles" localSheetId="28">'New Fall college hdcnt by major'!$1:$1</definedName>
    <definedName name="_xlnm.Print_Titles" localSheetId="16">'NEW Fall FTE by DISC'!$1:$2</definedName>
    <definedName name="_xlnm.Print_Titles" localSheetId="19">'NEW Spring CHP by DISC'!$1:$2</definedName>
    <definedName name="_xlnm.Print_Titles" localSheetId="20">'NEW Spring FTE by DISC'!$1:$2</definedName>
    <definedName name="_xlnm.Print_Titles" localSheetId="22">'NEW Summer CHP by DISC '!$1:$2</definedName>
    <definedName name="_xlnm.Print_Titles" localSheetId="23">'NEW Summer FTE by DISC'!$1:$2</definedName>
    <definedName name="_xlnm.Print_Titles" localSheetId="33">'New Summer hdnt by college'!$1:$1</definedName>
    <definedName name="_xlnm.Print_Titles" localSheetId="32">'Spring college hdcnt by major'!$1:$1</definedName>
    <definedName name="_xlnm.Print_Titles" localSheetId="0">'Table of Contents'!$1:$2</definedName>
    <definedName name="wwwww" localSheetId="58" hidden="1">{"'A'!$A$1:$V$58"}</definedName>
    <definedName name="wwwww" localSheetId="1" hidden="1">{"'A'!$A$1:$V$58"}</definedName>
    <definedName name="wwwww" localSheetId="43" hidden="1">{"'A'!$A$1:$V$58"}</definedName>
    <definedName name="wwwww" localSheetId="63" hidden="1">{"'A'!$A$1:$V$58"}</definedName>
    <definedName name="wwwww" localSheetId="54" hidden="1">{"'A'!$A$1:$V$58"}</definedName>
    <definedName name="wwwww" localSheetId="56" hidden="1">{"'A'!$A$1:$V$58"}</definedName>
    <definedName name="wwwww" localSheetId="57" hidden="1">{"'A'!$A$1:$V$58"}</definedName>
    <definedName name="wwwww" localSheetId="29" hidden="1">{"'A'!$A$1:$V$58"}</definedName>
    <definedName name="wwwww" localSheetId="36" hidden="1">{"'A'!$A$1:$V$58"}</definedName>
    <definedName name="wwwww" localSheetId="30" hidden="1">{"'A'!$A$1:$V$58"}</definedName>
    <definedName name="wwwww" localSheetId="53" hidden="1">{"'A'!$A$1:$V$58"}</definedName>
    <definedName name="wwwww" localSheetId="60" hidden="1">{"'A'!$A$1:$V$58"}</definedName>
    <definedName name="wwwww" localSheetId="59" hidden="1">{"'A'!$A$1:$V$58"}</definedName>
    <definedName name="wwwww" localSheetId="9" hidden="1">{"'A'!$A$1:$V$58"}</definedName>
    <definedName name="wwwww" localSheetId="4" hidden="1">{"'A'!$A$1:$V$58"}</definedName>
    <definedName name="wwwww" localSheetId="6" hidden="1">{"'A'!$A$1:$V$58"}</definedName>
    <definedName name="wwwww" localSheetId="5" hidden="1">{"'A'!$A$1:$V$58"}</definedName>
    <definedName name="wwwww" localSheetId="69" hidden="1">{"'A'!$A$1:$V$58"}</definedName>
    <definedName name="wwwww" localSheetId="8" hidden="1">{"'A'!$A$1:$V$58"}</definedName>
    <definedName name="wwwww" localSheetId="64" hidden="1">{"'A'!$A$1:$V$58"}</definedName>
    <definedName name="wwwww" localSheetId="65" hidden="1">{"'A'!$A$1:$V$58"}</definedName>
    <definedName name="wwwww" localSheetId="48" hidden="1">{"'A'!$A$1:$V$58"}</definedName>
    <definedName name="wwwww" localSheetId="46" hidden="1">{"'A'!$A$1:$V$58"}</definedName>
    <definedName name="wwwww" localSheetId="42" hidden="1">{"'A'!$A$1:$V$58"}</definedName>
    <definedName name="wwwww" localSheetId="15" hidden="1">{"'A'!$A$1:$V$58"}</definedName>
    <definedName name="wwwww" localSheetId="28" hidden="1">{"'A'!$A$1:$V$58"}</definedName>
    <definedName name="wwwww" localSheetId="16" hidden="1">{"'A'!$A$1:$V$58"}</definedName>
    <definedName name="wwwww" localSheetId="19" hidden="1">{"'A'!$A$1:$V$58"}</definedName>
    <definedName name="wwwww" localSheetId="20" hidden="1">{"'A'!$A$1:$V$58"}</definedName>
    <definedName name="wwwww" localSheetId="22" hidden="1">{"'A'!$A$1:$V$58"}</definedName>
    <definedName name="wwwww" localSheetId="23" hidden="1">{"'A'!$A$1:$V$58"}</definedName>
    <definedName name="wwwww" localSheetId="33" hidden="1">{"'A'!$A$1:$V$58"}</definedName>
    <definedName name="wwwww" localSheetId="34" hidden="1">{"'A'!$A$1:$V$58"}</definedName>
    <definedName name="wwwww" localSheetId="47" hidden="1">{"'A'!$A$1:$V$58"}</definedName>
    <definedName name="wwwww" localSheetId="62" hidden="1">{"'A'!$A$1:$V$58"}</definedName>
    <definedName name="wwwww" localSheetId="32" hidden="1">{"'A'!$A$1:$V$58"}</definedName>
    <definedName name="wwwww" localSheetId="26" hidden="1">{"'A'!$A$1:$V$58"}</definedName>
    <definedName name="wwwww" localSheetId="24" hidden="1">{"'A'!$A$1:$V$58"}</definedName>
    <definedName name="wwwww" localSheetId="27" hidden="1">{"'A'!$A$1:$V$58"}</definedName>
    <definedName name="wwwww" localSheetId="0" hidden="1">{"'A'!$A$1:$V$58"}</definedName>
    <definedName name="wwwww" localSheetId="10" hidden="1">{"'A'!$A$1:$V$58"}</definedName>
    <definedName name="wwwww" localSheetId="70" hidden="1">{"'A'!$A$1:$V$58"}</definedName>
    <definedName name="wwwww" localSheetId="12" hidden="1">{"'A'!$A$1:$V$58"}</definedName>
    <definedName name="wwwww" localSheetId="11" hidden="1">{"'A'!$A$1:$V$58"}</definedName>
    <definedName name="wwwww" localSheetId="13" hidden="1">{"'A'!$A$1:$V$58"}</definedName>
    <definedName name="wwwww" localSheetId="17" hidden="1">{"'A'!$A$1:$V$58"}</definedName>
    <definedName name="wwwww" hidden="1">{"'A'!$A$1:$V$58"}</definedName>
  </definedNames>
  <calcPr calcId="152511"/>
</workbook>
</file>

<file path=xl/calcChain.xml><?xml version="1.0" encoding="utf-8"?>
<calcChain xmlns="http://schemas.openxmlformats.org/spreadsheetml/2006/main">
  <c r="AQ110" i="330" l="1"/>
  <c r="AP110" i="330"/>
  <c r="AO110" i="330"/>
  <c r="AR110" i="330" s="1"/>
  <c r="AS110" i="330" s="1"/>
  <c r="AQ109" i="330"/>
  <c r="AP109" i="330"/>
  <c r="AO109" i="330"/>
  <c r="AQ108" i="330"/>
  <c r="AP108" i="330"/>
  <c r="AO108" i="330"/>
  <c r="AQ107" i="330"/>
  <c r="AP107" i="330"/>
  <c r="AO107" i="330"/>
  <c r="AQ106" i="330"/>
  <c r="AP106" i="330"/>
  <c r="AO106" i="330"/>
  <c r="AQ100" i="330"/>
  <c r="AP100" i="330"/>
  <c r="AO100" i="330"/>
  <c r="AR100" i="330" s="1"/>
  <c r="AS100" i="330" s="1"/>
  <c r="AQ99" i="330"/>
  <c r="AP99" i="330"/>
  <c r="AO99" i="330"/>
  <c r="AQ98" i="330"/>
  <c r="AQ101" i="330" s="1"/>
  <c r="AP98" i="330"/>
  <c r="AO98" i="330"/>
  <c r="AQ95" i="330"/>
  <c r="AP95" i="330"/>
  <c r="AO95" i="330"/>
  <c r="AQ94" i="330"/>
  <c r="AP94" i="330"/>
  <c r="AO94" i="330"/>
  <c r="AQ93" i="330"/>
  <c r="AP93" i="330"/>
  <c r="AO93" i="330"/>
  <c r="AQ92" i="330"/>
  <c r="AP92" i="330"/>
  <c r="AO92" i="330"/>
  <c r="AQ91" i="330"/>
  <c r="AP91" i="330"/>
  <c r="AO91" i="330"/>
  <c r="AQ88" i="330"/>
  <c r="AP88" i="330"/>
  <c r="AO88" i="330"/>
  <c r="AR88" i="330" s="1"/>
  <c r="AS88" i="330" s="1"/>
  <c r="AQ87" i="330"/>
  <c r="AP87" i="330"/>
  <c r="AP89" i="330" s="1"/>
  <c r="AO87" i="330"/>
  <c r="AQ84" i="330"/>
  <c r="AP84" i="330"/>
  <c r="AO84" i="330"/>
  <c r="AQ83" i="330"/>
  <c r="AQ85" i="330" s="1"/>
  <c r="AP83" i="330"/>
  <c r="AO83" i="330"/>
  <c r="AQ74" i="330"/>
  <c r="AP74" i="330"/>
  <c r="AO74" i="330"/>
  <c r="AQ73" i="330"/>
  <c r="AQ75" i="330" s="1"/>
  <c r="AP73" i="330"/>
  <c r="AO73" i="330"/>
  <c r="AR73" i="330" s="1"/>
  <c r="AQ70" i="330"/>
  <c r="AP70" i="330"/>
  <c r="AO70" i="330"/>
  <c r="AQ69" i="330"/>
  <c r="AP69" i="330"/>
  <c r="AO69" i="330"/>
  <c r="AQ68" i="330"/>
  <c r="AP68" i="330"/>
  <c r="AO68" i="330"/>
  <c r="AR68" i="330" s="1"/>
  <c r="AS68" i="330" s="1"/>
  <c r="AQ67" i="330"/>
  <c r="AP67" i="330"/>
  <c r="AO67" i="330"/>
  <c r="AQ66" i="330"/>
  <c r="AP66" i="330"/>
  <c r="AO66" i="330"/>
  <c r="AQ65" i="330"/>
  <c r="AP65" i="330"/>
  <c r="AO65" i="330"/>
  <c r="AQ62" i="330"/>
  <c r="AP62" i="330"/>
  <c r="AO62" i="330"/>
  <c r="AQ61" i="330"/>
  <c r="AP61" i="330"/>
  <c r="AO61" i="330"/>
  <c r="AQ60" i="330"/>
  <c r="AP60" i="330"/>
  <c r="AO60" i="330"/>
  <c r="AQ59" i="330"/>
  <c r="AP59" i="330"/>
  <c r="AO59" i="330"/>
  <c r="AR59" i="330" s="1"/>
  <c r="AS59" i="330" s="1"/>
  <c r="AQ58" i="330"/>
  <c r="AP58" i="330"/>
  <c r="AO58" i="330"/>
  <c r="AQ55" i="330"/>
  <c r="AP55" i="330"/>
  <c r="AO55" i="330"/>
  <c r="AQ54" i="330"/>
  <c r="AP54" i="330"/>
  <c r="AO54" i="330"/>
  <c r="AQ53" i="330"/>
  <c r="AP53" i="330"/>
  <c r="AO53" i="330"/>
  <c r="AR53" i="330" s="1"/>
  <c r="AS53" i="330" s="1"/>
  <c r="AQ52" i="330"/>
  <c r="AP52" i="330"/>
  <c r="AO52" i="330"/>
  <c r="AQ51" i="330"/>
  <c r="AP51" i="330"/>
  <c r="AO51" i="330"/>
  <c r="AQ50" i="330"/>
  <c r="AP50" i="330"/>
  <c r="AO50" i="330"/>
  <c r="AQ48" i="330"/>
  <c r="AR47" i="330"/>
  <c r="AS47" i="330" s="1"/>
  <c r="AQ47" i="330"/>
  <c r="AP47" i="330"/>
  <c r="AO47" i="330"/>
  <c r="AQ46" i="330"/>
  <c r="AP46" i="330"/>
  <c r="AP48" i="330" s="1"/>
  <c r="AO46" i="330"/>
  <c r="AR46" i="330" s="1"/>
  <c r="AQ38" i="330"/>
  <c r="AP38" i="330"/>
  <c r="AO38" i="330"/>
  <c r="AQ36" i="330"/>
  <c r="AP36" i="330"/>
  <c r="AO36" i="330"/>
  <c r="AQ33" i="330"/>
  <c r="AP33" i="330"/>
  <c r="AO33" i="330"/>
  <c r="AQ32" i="330"/>
  <c r="AR32" i="330" s="1"/>
  <c r="AS32" i="330" s="1"/>
  <c r="AP32" i="330"/>
  <c r="AO32" i="330"/>
  <c r="AQ31" i="330"/>
  <c r="AP31" i="330"/>
  <c r="AO31" i="330"/>
  <c r="AR31" i="330" s="1"/>
  <c r="AS31" i="330" s="1"/>
  <c r="AQ30" i="330"/>
  <c r="AP30" i="330"/>
  <c r="AO30" i="330"/>
  <c r="AQ29" i="330"/>
  <c r="AP29" i="330"/>
  <c r="AO29" i="330"/>
  <c r="AR109" i="330" l="1"/>
  <c r="AS109" i="330" s="1"/>
  <c r="AP111" i="330"/>
  <c r="AO111" i="330"/>
  <c r="AR107" i="330"/>
  <c r="AS107" i="330" s="1"/>
  <c r="AR106" i="330"/>
  <c r="AR99" i="330"/>
  <c r="AS99" i="330" s="1"/>
  <c r="AP101" i="330"/>
  <c r="AR95" i="330"/>
  <c r="AS95" i="330" s="1"/>
  <c r="AP96" i="330"/>
  <c r="AR94" i="330"/>
  <c r="AS94" i="330" s="1"/>
  <c r="AR93" i="330"/>
  <c r="AS93" i="330" s="1"/>
  <c r="AR92" i="330"/>
  <c r="AS92" i="330" s="1"/>
  <c r="AO96" i="330"/>
  <c r="AP85" i="330"/>
  <c r="AO85" i="330"/>
  <c r="AP75" i="330"/>
  <c r="AR74" i="330"/>
  <c r="AS74" i="330" s="1"/>
  <c r="AO71" i="330"/>
  <c r="AP71" i="330"/>
  <c r="AR66" i="330"/>
  <c r="AS66" i="330" s="1"/>
  <c r="AP63" i="330"/>
  <c r="AR61" i="330"/>
  <c r="AS61" i="330" s="1"/>
  <c r="AR54" i="330"/>
  <c r="AS54" i="330" s="1"/>
  <c r="AR52" i="330"/>
  <c r="AS52" i="330" s="1"/>
  <c r="AO56" i="330"/>
  <c r="AP56" i="330"/>
  <c r="AR38" i="330"/>
  <c r="AS38" i="330" s="1"/>
  <c r="AR36" i="330"/>
  <c r="AS36" i="330" s="1"/>
  <c r="AR33" i="330"/>
  <c r="AS33" i="330" s="1"/>
  <c r="AO34" i="330"/>
  <c r="AO39" i="330" s="1"/>
  <c r="AR108" i="330"/>
  <c r="AS108" i="330" s="1"/>
  <c r="AQ111" i="330"/>
  <c r="AR98" i="330"/>
  <c r="AQ96" i="330"/>
  <c r="AQ102" i="330" s="1"/>
  <c r="AQ89" i="330"/>
  <c r="AR83" i="330"/>
  <c r="AS83" i="330" s="1"/>
  <c r="AR70" i="330"/>
  <c r="AS70" i="330" s="1"/>
  <c r="AR69" i="330"/>
  <c r="AS69" i="330" s="1"/>
  <c r="AQ71" i="330"/>
  <c r="AR67" i="330"/>
  <c r="AS67" i="330" s="1"/>
  <c r="AR62" i="330"/>
  <c r="AS62" i="330" s="1"/>
  <c r="AQ63" i="330"/>
  <c r="AR60" i="330"/>
  <c r="AS60" i="330" s="1"/>
  <c r="AR58" i="330"/>
  <c r="AS58" i="330" s="1"/>
  <c r="AR55" i="330"/>
  <c r="AS55" i="330" s="1"/>
  <c r="AQ56" i="330"/>
  <c r="AR51" i="330"/>
  <c r="AS51" i="330" s="1"/>
  <c r="AR30" i="330"/>
  <c r="AS30" i="330" s="1"/>
  <c r="AQ34" i="330"/>
  <c r="AQ39" i="330" s="1"/>
  <c r="AO89" i="330"/>
  <c r="AR91" i="330"/>
  <c r="AR84" i="330"/>
  <c r="AR87" i="330"/>
  <c r="AO101" i="330"/>
  <c r="AR75" i="330"/>
  <c r="AS75" i="330" s="1"/>
  <c r="AS73" i="330"/>
  <c r="AR48" i="330"/>
  <c r="AS46" i="330"/>
  <c r="AO48" i="330"/>
  <c r="AR50" i="330"/>
  <c r="AO63" i="330"/>
  <c r="AR65" i="330"/>
  <c r="AO75" i="330"/>
  <c r="AP34" i="330"/>
  <c r="AP39" i="330" s="1"/>
  <c r="AR29" i="330"/>
  <c r="AQ20" i="330"/>
  <c r="AP20" i="330"/>
  <c r="AO20" i="330"/>
  <c r="AQ19" i="330"/>
  <c r="AP19" i="330"/>
  <c r="AO19" i="330"/>
  <c r="AQ18" i="330"/>
  <c r="AP18" i="330"/>
  <c r="AO18" i="330"/>
  <c r="AQ17" i="330"/>
  <c r="AP17" i="330"/>
  <c r="AO17" i="330"/>
  <c r="AQ14" i="330"/>
  <c r="AP14" i="330"/>
  <c r="AO14" i="330"/>
  <c r="AQ13" i="330"/>
  <c r="AP13" i="330"/>
  <c r="AO13" i="330"/>
  <c r="AQ12" i="330"/>
  <c r="AP12" i="330"/>
  <c r="AO12" i="330"/>
  <c r="AQ11" i="330"/>
  <c r="AP11" i="330"/>
  <c r="AO11" i="330"/>
  <c r="AQ10" i="330"/>
  <c r="AP10" i="330"/>
  <c r="AO10" i="330"/>
  <c r="AQ9" i="330"/>
  <c r="AP9" i="330"/>
  <c r="AO9" i="330"/>
  <c r="AQ8" i="330"/>
  <c r="AP8" i="330"/>
  <c r="AO8" i="330"/>
  <c r="AQ7" i="330"/>
  <c r="AP7" i="330"/>
  <c r="AO7" i="330"/>
  <c r="AR111" i="330" l="1"/>
  <c r="AS111" i="330" s="1"/>
  <c r="AS106" i="330"/>
  <c r="AR101" i="330"/>
  <c r="AS101" i="330" s="1"/>
  <c r="AP102" i="330"/>
  <c r="AO102" i="330"/>
  <c r="AP76" i="330"/>
  <c r="AP21" i="330"/>
  <c r="AO21" i="330"/>
  <c r="AR12" i="330"/>
  <c r="AS12" i="330" s="1"/>
  <c r="AP15" i="330"/>
  <c r="AO15" i="330"/>
  <c r="AS98" i="330"/>
  <c r="AQ76" i="330"/>
  <c r="AR63" i="330"/>
  <c r="AS63" i="330" s="1"/>
  <c r="AR20" i="330"/>
  <c r="AS20" i="330" s="1"/>
  <c r="AQ21" i="330"/>
  <c r="AR19" i="330"/>
  <c r="AS19" i="330" s="1"/>
  <c r="AR18" i="330"/>
  <c r="AS18" i="330" s="1"/>
  <c r="AR14" i="330"/>
  <c r="AS14" i="330" s="1"/>
  <c r="AR13" i="330"/>
  <c r="AS13" i="330" s="1"/>
  <c r="AR11" i="330"/>
  <c r="AS11" i="330" s="1"/>
  <c r="AR10" i="330"/>
  <c r="AS10" i="330" s="1"/>
  <c r="AR9" i="330"/>
  <c r="AS9" i="330" s="1"/>
  <c r="AQ15" i="330"/>
  <c r="AR8" i="330"/>
  <c r="AS8" i="330" s="1"/>
  <c r="AR7" i="330"/>
  <c r="AS7" i="330" s="1"/>
  <c r="AR89" i="330"/>
  <c r="AS89" i="330" s="1"/>
  <c r="AS87" i="330"/>
  <c r="AR85" i="330"/>
  <c r="AS84" i="330"/>
  <c r="AR96" i="330"/>
  <c r="AS96" i="330" s="1"/>
  <c r="AS91" i="330"/>
  <c r="AS65" i="330"/>
  <c r="AR71" i="330"/>
  <c r="AS71" i="330" s="1"/>
  <c r="AS48" i="330"/>
  <c r="AS50" i="330"/>
  <c r="AR56" i="330"/>
  <c r="AS56" i="330" s="1"/>
  <c r="AO76" i="330"/>
  <c r="AR34" i="330"/>
  <c r="AS29" i="330"/>
  <c r="AR17" i="330"/>
  <c r="AO22" i="330" l="1"/>
  <c r="AO114" i="330" s="1"/>
  <c r="AP22" i="330"/>
  <c r="AP114" i="330" s="1"/>
  <c r="AQ22" i="330"/>
  <c r="AQ114" i="330" s="1"/>
  <c r="AR15" i="330"/>
  <c r="AS15" i="330" s="1"/>
  <c r="AS85" i="330"/>
  <c r="AR102" i="330"/>
  <c r="AR76" i="330"/>
  <c r="AS76" i="330" s="1"/>
  <c r="AS34" i="330"/>
  <c r="AR39" i="330"/>
  <c r="AS39" i="330" s="1"/>
  <c r="AS17" i="330"/>
  <c r="AR21" i="330"/>
  <c r="AS102" i="330" l="1"/>
  <c r="AR22" i="330"/>
  <c r="AS22" i="330" s="1"/>
  <c r="AS21" i="330"/>
  <c r="AR114" i="330" l="1"/>
  <c r="AS114" i="330" s="1"/>
  <c r="M45" i="333"/>
  <c r="S44" i="333"/>
  <c r="R44" i="333"/>
  <c r="Q44" i="333"/>
  <c r="P44" i="333"/>
  <c r="O44" i="333"/>
  <c r="N44" i="333"/>
  <c r="M44" i="333"/>
  <c r="Q41" i="333"/>
  <c r="P41" i="333"/>
  <c r="M41" i="333"/>
  <c r="L41" i="333"/>
  <c r="I41" i="333"/>
  <c r="H41" i="333"/>
  <c r="E41" i="333"/>
  <c r="D41" i="333"/>
  <c r="S40" i="333"/>
  <c r="S41" i="333" s="1"/>
  <c r="R40" i="333"/>
  <c r="R41" i="333" s="1"/>
  <c r="Q40" i="333"/>
  <c r="P40" i="333"/>
  <c r="O40" i="333"/>
  <c r="O41" i="333" s="1"/>
  <c r="N40" i="333"/>
  <c r="N41" i="333" s="1"/>
  <c r="M40" i="333"/>
  <c r="L40" i="333"/>
  <c r="K40" i="333"/>
  <c r="K41" i="333" s="1"/>
  <c r="J40" i="333"/>
  <c r="J41" i="333" s="1"/>
  <c r="I40" i="333"/>
  <c r="H40" i="333"/>
  <c r="G40" i="333"/>
  <c r="G41" i="333" s="1"/>
  <c r="F40" i="333"/>
  <c r="F41" i="333" s="1"/>
  <c r="E40" i="333"/>
  <c r="D40" i="333"/>
  <c r="C40" i="333"/>
  <c r="C41" i="333" s="1"/>
  <c r="B40" i="333"/>
  <c r="B41" i="333" s="1"/>
  <c r="S29" i="333"/>
  <c r="R29" i="333"/>
  <c r="Q29" i="333"/>
  <c r="P29" i="333"/>
  <c r="K29" i="333"/>
  <c r="H29" i="333"/>
  <c r="G29" i="333"/>
  <c r="D29" i="333"/>
  <c r="C29" i="333"/>
  <c r="S28" i="333"/>
  <c r="R28" i="333"/>
  <c r="Q28" i="333"/>
  <c r="P28" i="333"/>
  <c r="M28" i="333"/>
  <c r="M29" i="333" s="1"/>
  <c r="K28" i="333"/>
  <c r="J28" i="333"/>
  <c r="J29" i="333" s="1"/>
  <c r="I28" i="333"/>
  <c r="I29" i="333" s="1"/>
  <c r="H28" i="333"/>
  <c r="G28" i="333"/>
  <c r="F28" i="333"/>
  <c r="F29" i="333" s="1"/>
  <c r="E28" i="333"/>
  <c r="E29" i="333" s="1"/>
  <c r="D28" i="333"/>
  <c r="C28" i="333"/>
  <c r="B28" i="333"/>
  <c r="B29" i="333" s="1"/>
  <c r="S26" i="333"/>
  <c r="R26" i="333"/>
  <c r="Q26" i="333"/>
  <c r="P26" i="333"/>
  <c r="O26" i="333"/>
  <c r="N26" i="333"/>
  <c r="M26" i="333"/>
  <c r="O23" i="333"/>
  <c r="N23" i="333"/>
  <c r="M23" i="333"/>
  <c r="L23" i="333"/>
  <c r="L28" i="333" s="1"/>
  <c r="O20" i="333"/>
  <c r="O28" i="333" s="1"/>
  <c r="O29" i="333" s="1"/>
  <c r="N20" i="333"/>
  <c r="N28" i="333" s="1"/>
  <c r="N29" i="333" s="1"/>
  <c r="M20" i="333"/>
  <c r="S15" i="333"/>
  <c r="R15" i="333"/>
  <c r="Q15" i="333"/>
  <c r="P15" i="333"/>
  <c r="O15" i="333"/>
  <c r="N15" i="333"/>
  <c r="M15" i="333"/>
  <c r="L15" i="333"/>
  <c r="K15" i="333"/>
  <c r="J15" i="333"/>
  <c r="H15" i="333"/>
  <c r="G15" i="333"/>
  <c r="F15" i="333"/>
  <c r="AO27" i="329" l="1"/>
  <c r="AO44" i="329" s="1"/>
  <c r="AO81" i="329" s="1"/>
  <c r="AQ111" i="329"/>
  <c r="AP111" i="329"/>
  <c r="AO111" i="329"/>
  <c r="AR110" i="329"/>
  <c r="AS110" i="329" s="1"/>
  <c r="AR109" i="329"/>
  <c r="AS109" i="329" s="1"/>
  <c r="AR108" i="329"/>
  <c r="AS108" i="329" s="1"/>
  <c r="AR107" i="329"/>
  <c r="AS107" i="329" s="1"/>
  <c r="AR106" i="329"/>
  <c r="AS106" i="329" s="1"/>
  <c r="AQ101" i="329"/>
  <c r="AP101" i="329"/>
  <c r="AO101" i="329"/>
  <c r="AR100" i="329"/>
  <c r="AS100" i="329" s="1"/>
  <c r="AR99" i="329"/>
  <c r="AS99" i="329" s="1"/>
  <c r="AR98" i="329"/>
  <c r="AS98" i="329" s="1"/>
  <c r="AQ96" i="329"/>
  <c r="AP96" i="329"/>
  <c r="AO96" i="329"/>
  <c r="AR95" i="329"/>
  <c r="AS95" i="329" s="1"/>
  <c r="AR94" i="329"/>
  <c r="AS94" i="329" s="1"/>
  <c r="AR93" i="329"/>
  <c r="AS93" i="329" s="1"/>
  <c r="AR92" i="329"/>
  <c r="AS92" i="329" s="1"/>
  <c r="AR91" i="329"/>
  <c r="AQ89" i="329"/>
  <c r="AP89" i="329"/>
  <c r="AO89" i="329"/>
  <c r="AR88" i="329"/>
  <c r="AS88" i="329" s="1"/>
  <c r="AR87" i="329"/>
  <c r="AR89" i="329" s="1"/>
  <c r="AS89" i="329" s="1"/>
  <c r="AQ85" i="329"/>
  <c r="AP85" i="329"/>
  <c r="AO85" i="329"/>
  <c r="AR84" i="329"/>
  <c r="AR83" i="329"/>
  <c r="AS83" i="329" s="1"/>
  <c r="AQ75" i="329"/>
  <c r="AP75" i="329"/>
  <c r="AO75" i="329"/>
  <c r="AR74" i="329"/>
  <c r="AS74" i="329" s="1"/>
  <c r="AR73" i="329"/>
  <c r="AS73" i="329" s="1"/>
  <c r="AQ71" i="329"/>
  <c r="AP71" i="329"/>
  <c r="AO71" i="329"/>
  <c r="AR70" i="329"/>
  <c r="AS70" i="329" s="1"/>
  <c r="AR69" i="329"/>
  <c r="AS69" i="329" s="1"/>
  <c r="AR68" i="329"/>
  <c r="AS68" i="329" s="1"/>
  <c r="AR67" i="329"/>
  <c r="AS67" i="329" s="1"/>
  <c r="AR66" i="329"/>
  <c r="AS66" i="329" s="1"/>
  <c r="AR65" i="329"/>
  <c r="AS65" i="329" s="1"/>
  <c r="AQ63" i="329"/>
  <c r="AP63" i="329"/>
  <c r="AO63" i="329"/>
  <c r="AR62" i="329"/>
  <c r="AS62" i="329" s="1"/>
  <c r="AR61" i="329"/>
  <c r="AS61" i="329" s="1"/>
  <c r="AR60" i="329"/>
  <c r="AS60" i="329" s="1"/>
  <c r="AR59" i="329"/>
  <c r="AS59" i="329" s="1"/>
  <c r="AR58" i="329"/>
  <c r="AQ56" i="329"/>
  <c r="AP56" i="329"/>
  <c r="AO56" i="329"/>
  <c r="AR55" i="329"/>
  <c r="AS55" i="329" s="1"/>
  <c r="AR54" i="329"/>
  <c r="AS54" i="329" s="1"/>
  <c r="AR53" i="329"/>
  <c r="AS53" i="329" s="1"/>
  <c r="AR52" i="329"/>
  <c r="AS52" i="329" s="1"/>
  <c r="AR51" i="329"/>
  <c r="AS51" i="329" s="1"/>
  <c r="AR50" i="329"/>
  <c r="AS50" i="329" s="1"/>
  <c r="AQ48" i="329"/>
  <c r="AP48" i="329"/>
  <c r="AO48" i="329"/>
  <c r="AR47" i="329"/>
  <c r="AR46" i="329"/>
  <c r="AS46" i="329" s="1"/>
  <c r="AR38" i="329"/>
  <c r="AR36" i="329"/>
  <c r="AS36" i="329" s="1"/>
  <c r="AQ34" i="329"/>
  <c r="AQ39" i="329" s="1"/>
  <c r="AP34" i="329"/>
  <c r="AP39" i="329" s="1"/>
  <c r="AO34" i="329"/>
  <c r="AO39" i="329" s="1"/>
  <c r="AR33" i="329"/>
  <c r="AS33" i="329" s="1"/>
  <c r="AR32" i="329"/>
  <c r="AS32" i="329" s="1"/>
  <c r="AR31" i="329"/>
  <c r="AS31" i="329" s="1"/>
  <c r="AR30" i="329"/>
  <c r="AS30" i="329" s="1"/>
  <c r="AR29" i="329"/>
  <c r="AS29" i="329" s="1"/>
  <c r="AQ21" i="329"/>
  <c r="AP21" i="329"/>
  <c r="AO21" i="329"/>
  <c r="AR20" i="329"/>
  <c r="AS20" i="329" s="1"/>
  <c r="AR19" i="329"/>
  <c r="AS19" i="329" s="1"/>
  <c r="AR18" i="329"/>
  <c r="AS18" i="329" s="1"/>
  <c r="AR17" i="329"/>
  <c r="AS17" i="329" s="1"/>
  <c r="AQ15" i="329"/>
  <c r="AP15" i="329"/>
  <c r="AO15" i="329"/>
  <c r="AR14" i="329"/>
  <c r="AS14" i="329" s="1"/>
  <c r="AR13" i="329"/>
  <c r="AS13" i="329" s="1"/>
  <c r="AR12" i="329"/>
  <c r="AS12" i="329" s="1"/>
  <c r="AR11" i="329"/>
  <c r="AS11" i="329" s="1"/>
  <c r="AR10" i="329"/>
  <c r="AS10" i="329" s="1"/>
  <c r="AR9" i="329"/>
  <c r="AS9" i="329" s="1"/>
  <c r="AR8" i="329"/>
  <c r="AS8" i="329" s="1"/>
  <c r="AR7" i="329"/>
  <c r="AO102" i="329" l="1"/>
  <c r="AP102" i="329"/>
  <c r="AP22" i="329"/>
  <c r="AO22" i="329"/>
  <c r="AR96" i="329"/>
  <c r="AS96" i="329" s="1"/>
  <c r="AR63" i="329"/>
  <c r="AS63" i="329" s="1"/>
  <c r="AQ102" i="329"/>
  <c r="AR85" i="329"/>
  <c r="AR75" i="329"/>
  <c r="AS75" i="329" s="1"/>
  <c r="AO76" i="329"/>
  <c r="AQ76" i="329"/>
  <c r="AP76" i="329"/>
  <c r="AR48" i="329"/>
  <c r="AS48" i="329" s="1"/>
  <c r="AR34" i="329"/>
  <c r="AS34" i="329" s="1"/>
  <c r="AR15" i="329"/>
  <c r="AS15" i="329" s="1"/>
  <c r="AQ22" i="329"/>
  <c r="AR111" i="329"/>
  <c r="AS85" i="329"/>
  <c r="AS84" i="329"/>
  <c r="AS91" i="329"/>
  <c r="AS87" i="329"/>
  <c r="AR101" i="329"/>
  <c r="AS101" i="329" s="1"/>
  <c r="AR56" i="329"/>
  <c r="AS56" i="329" s="1"/>
  <c r="AR71" i="329"/>
  <c r="AS71" i="329" s="1"/>
  <c r="AS47" i="329"/>
  <c r="AS58" i="329"/>
  <c r="AS38" i="329"/>
  <c r="AS7" i="329"/>
  <c r="AR21" i="329"/>
  <c r="AJ7" i="330"/>
  <c r="AM7" i="330" s="1"/>
  <c r="AK7" i="330"/>
  <c r="AL7" i="330"/>
  <c r="AJ8" i="330"/>
  <c r="AK8" i="330"/>
  <c r="AL8" i="330"/>
  <c r="AJ9" i="330"/>
  <c r="AK9" i="330"/>
  <c r="AL9" i="330"/>
  <c r="AJ10" i="330"/>
  <c r="AK10" i="330"/>
  <c r="AL10" i="330"/>
  <c r="AJ11" i="330"/>
  <c r="AK11" i="330"/>
  <c r="AL11" i="330"/>
  <c r="AJ12" i="330"/>
  <c r="AK12" i="330"/>
  <c r="AL12" i="330"/>
  <c r="AJ13" i="330"/>
  <c r="AK13" i="330"/>
  <c r="AL13" i="330"/>
  <c r="AJ14" i="330"/>
  <c r="AK14" i="330"/>
  <c r="AL14" i="330"/>
  <c r="AJ17" i="330"/>
  <c r="AM17" i="330" s="1"/>
  <c r="AK17" i="330"/>
  <c r="AL17" i="330"/>
  <c r="AJ18" i="330"/>
  <c r="AK18" i="330"/>
  <c r="AL18" i="330"/>
  <c r="AJ19" i="330"/>
  <c r="AK19" i="330"/>
  <c r="AL19" i="330"/>
  <c r="AJ20" i="330"/>
  <c r="AK20" i="330"/>
  <c r="AL20" i="330"/>
  <c r="AJ29" i="330"/>
  <c r="AK29" i="330"/>
  <c r="AL29" i="330"/>
  <c r="AJ30" i="330"/>
  <c r="AK30" i="330"/>
  <c r="AM30" i="330" s="1"/>
  <c r="AL30" i="330"/>
  <c r="AJ31" i="330"/>
  <c r="AK31" i="330"/>
  <c r="AL31" i="330"/>
  <c r="AJ32" i="330"/>
  <c r="AK32" i="330"/>
  <c r="AL32" i="330"/>
  <c r="AJ33" i="330"/>
  <c r="AK33" i="330"/>
  <c r="AL33" i="330"/>
  <c r="AJ36" i="330"/>
  <c r="AK36" i="330"/>
  <c r="AL36" i="330"/>
  <c r="AJ38" i="330"/>
  <c r="AK38" i="330"/>
  <c r="AL38" i="330"/>
  <c r="AJ46" i="330"/>
  <c r="AK46" i="330"/>
  <c r="AL46" i="330"/>
  <c r="AL48" i="330" s="1"/>
  <c r="AJ47" i="330"/>
  <c r="AK47" i="330"/>
  <c r="AL47" i="330"/>
  <c r="AJ50" i="330"/>
  <c r="AK50" i="330"/>
  <c r="AL50" i="330"/>
  <c r="AJ51" i="330"/>
  <c r="AK51" i="330"/>
  <c r="AL51" i="330"/>
  <c r="AJ52" i="330"/>
  <c r="AK52" i="330"/>
  <c r="AL52" i="330"/>
  <c r="AJ53" i="330"/>
  <c r="AK53" i="330"/>
  <c r="AL53" i="330"/>
  <c r="AM53" i="330"/>
  <c r="AJ54" i="330"/>
  <c r="AK54" i="330"/>
  <c r="AL54" i="330"/>
  <c r="AJ55" i="330"/>
  <c r="AK55" i="330"/>
  <c r="AL55" i="330"/>
  <c r="AJ58" i="330"/>
  <c r="AK58" i="330"/>
  <c r="AK63" i="330" s="1"/>
  <c r="AL58" i="330"/>
  <c r="AJ59" i="330"/>
  <c r="AK59" i="330"/>
  <c r="AL59" i="330"/>
  <c r="AJ60" i="330"/>
  <c r="AK60" i="330"/>
  <c r="AL60" i="330"/>
  <c r="AJ61" i="330"/>
  <c r="AK61" i="330"/>
  <c r="AL61" i="330"/>
  <c r="AJ62" i="330"/>
  <c r="AK62" i="330"/>
  <c r="AL62" i="330"/>
  <c r="AJ65" i="330"/>
  <c r="AK65" i="330"/>
  <c r="AL65" i="330"/>
  <c r="AJ66" i="330"/>
  <c r="AK66" i="330"/>
  <c r="AL66" i="330"/>
  <c r="AJ67" i="330"/>
  <c r="AK67" i="330"/>
  <c r="AL67" i="330"/>
  <c r="AJ68" i="330"/>
  <c r="AK68" i="330"/>
  <c r="AM68" i="330" s="1"/>
  <c r="AL68" i="330"/>
  <c r="AJ69" i="330"/>
  <c r="AK69" i="330"/>
  <c r="AL69" i="330"/>
  <c r="AJ70" i="330"/>
  <c r="AK70" i="330"/>
  <c r="AL70" i="330"/>
  <c r="AJ73" i="330"/>
  <c r="AK73" i="330"/>
  <c r="AL73" i="330"/>
  <c r="AJ74" i="330"/>
  <c r="AK74" i="330"/>
  <c r="AL74" i="330"/>
  <c r="AJ83" i="330"/>
  <c r="AJ85" i="330" s="1"/>
  <c r="AK83" i="330"/>
  <c r="AL83" i="330"/>
  <c r="AJ84" i="330"/>
  <c r="AK84" i="330"/>
  <c r="AK85" i="330" s="1"/>
  <c r="AL84" i="330"/>
  <c r="AJ87" i="330"/>
  <c r="AK87" i="330"/>
  <c r="AK89" i="330" s="1"/>
  <c r="AL87" i="330"/>
  <c r="AM87" i="330" s="1"/>
  <c r="AJ88" i="330"/>
  <c r="AK88" i="330"/>
  <c r="AL88" i="330"/>
  <c r="AJ91" i="330"/>
  <c r="AK91" i="330"/>
  <c r="AL91" i="330"/>
  <c r="AM91" i="330"/>
  <c r="AJ92" i="330"/>
  <c r="AK92" i="330"/>
  <c r="AL92" i="330"/>
  <c r="AJ93" i="330"/>
  <c r="AK93" i="330"/>
  <c r="AL93" i="330"/>
  <c r="AJ94" i="330"/>
  <c r="AK94" i="330"/>
  <c r="AL94" i="330"/>
  <c r="AJ95" i="330"/>
  <c r="AK95" i="330"/>
  <c r="AL95" i="330"/>
  <c r="AJ98" i="330"/>
  <c r="AK98" i="330"/>
  <c r="AL98" i="330"/>
  <c r="AJ99" i="330"/>
  <c r="AK99" i="330"/>
  <c r="AL99" i="330"/>
  <c r="AJ100" i="330"/>
  <c r="AK100" i="330"/>
  <c r="AL100" i="330"/>
  <c r="AJ106" i="330"/>
  <c r="AK106" i="330"/>
  <c r="AL106" i="330"/>
  <c r="AJ107" i="330"/>
  <c r="AK107" i="330"/>
  <c r="AL107" i="330"/>
  <c r="AJ108" i="330"/>
  <c r="AK108" i="330"/>
  <c r="AL108" i="330"/>
  <c r="AJ109" i="330"/>
  <c r="AK109" i="330"/>
  <c r="AL109" i="330"/>
  <c r="AJ110" i="330"/>
  <c r="AK110" i="330"/>
  <c r="AL110" i="330"/>
  <c r="U126" i="323"/>
  <c r="V106" i="323"/>
  <c r="T106" i="323"/>
  <c r="R106" i="323"/>
  <c r="P106" i="323"/>
  <c r="N106" i="323"/>
  <c r="AP114" i="329" l="1"/>
  <c r="AO114" i="329"/>
  <c r="AR39" i="329"/>
  <c r="AS39" i="329" s="1"/>
  <c r="AM100" i="330"/>
  <c r="AM66" i="330"/>
  <c r="AL15" i="330"/>
  <c r="AM8" i="330"/>
  <c r="AM107" i="330"/>
  <c r="AM65" i="330"/>
  <c r="AM108" i="330"/>
  <c r="AM74" i="330"/>
  <c r="AM62" i="330"/>
  <c r="AM54" i="330"/>
  <c r="AM47" i="330"/>
  <c r="AJ63" i="330"/>
  <c r="AM70" i="330"/>
  <c r="AM31" i="330"/>
  <c r="AM13" i="330"/>
  <c r="AM10" i="330"/>
  <c r="AM67" i="330"/>
  <c r="AM71" i="330" s="1"/>
  <c r="AL56" i="330"/>
  <c r="AM33" i="330"/>
  <c r="AM20" i="330"/>
  <c r="AL21" i="330"/>
  <c r="AL22" i="330" s="1"/>
  <c r="AL75" i="330"/>
  <c r="AM19" i="330"/>
  <c r="AM12" i="330"/>
  <c r="AM59" i="330"/>
  <c r="AM38" i="330"/>
  <c r="AQ114" i="329"/>
  <c r="AS111" i="329"/>
  <c r="AR102" i="329"/>
  <c r="AS102" i="329" s="1"/>
  <c r="AR76" i="329"/>
  <c r="AS76" i="329" s="1"/>
  <c r="AR22" i="329"/>
  <c r="AS22" i="329" s="1"/>
  <c r="AS21" i="329"/>
  <c r="AM95" i="330"/>
  <c r="AJ71" i="330"/>
  <c r="AM60" i="330"/>
  <c r="AM58" i="330"/>
  <c r="AM51" i="330"/>
  <c r="AM32" i="330"/>
  <c r="AM88" i="330"/>
  <c r="AL71" i="330"/>
  <c r="AM55" i="330"/>
  <c r="AM50" i="330"/>
  <c r="AM46" i="330"/>
  <c r="AK34" i="330"/>
  <c r="AK39" i="330" s="1"/>
  <c r="AM92" i="330"/>
  <c r="AL101" i="330"/>
  <c r="AM94" i="330"/>
  <c r="AL85" i="330"/>
  <c r="AJ75" i="330"/>
  <c r="AL63" i="330"/>
  <c r="AJ48" i="330"/>
  <c r="AJ34" i="330"/>
  <c r="AJ39" i="330" s="1"/>
  <c r="AK111" i="330"/>
  <c r="AM110" i="330"/>
  <c r="AL96" i="330"/>
  <c r="AL89" i="330"/>
  <c r="AM83" i="330"/>
  <c r="AJ21" i="330"/>
  <c r="AK21" i="330"/>
  <c r="AK15" i="330"/>
  <c r="AM109" i="330"/>
  <c r="AM99" i="330"/>
  <c r="AL111" i="330"/>
  <c r="AJ101" i="330"/>
  <c r="AM93" i="330"/>
  <c r="AM52" i="330"/>
  <c r="AM18" i="330"/>
  <c r="AM21" i="330" s="1"/>
  <c r="AM14" i="330"/>
  <c r="AM9" i="330"/>
  <c r="AM69" i="330"/>
  <c r="AJ96" i="330"/>
  <c r="AL34" i="330"/>
  <c r="AL39" i="330" s="1"/>
  <c r="AM11" i="330"/>
  <c r="AM48" i="330"/>
  <c r="AJ89" i="330"/>
  <c r="AJ15" i="330"/>
  <c r="AJ22" i="330" s="1"/>
  <c r="AM106" i="330"/>
  <c r="AK96" i="330"/>
  <c r="AK102" i="330" s="1"/>
  <c r="AM84" i="330"/>
  <c r="AK71" i="330"/>
  <c r="AM98" i="330"/>
  <c r="AK75" i="330"/>
  <c r="AM73" i="330"/>
  <c r="AK56" i="330"/>
  <c r="AM29" i="330"/>
  <c r="AJ56" i="330"/>
  <c r="AJ111" i="330"/>
  <c r="AM61" i="330"/>
  <c r="AM36" i="330"/>
  <c r="AK101" i="330"/>
  <c r="AM89" i="330"/>
  <c r="AK48" i="330"/>
  <c r="AL102" i="330" l="1"/>
  <c r="AK76" i="330"/>
  <c r="AM56" i="330"/>
  <c r="AL76" i="330"/>
  <c r="AJ102" i="330"/>
  <c r="AK22" i="330"/>
  <c r="AL114" i="330"/>
  <c r="AJ76" i="330"/>
  <c r="AJ114" i="330" s="1"/>
  <c r="AR114" i="329"/>
  <c r="AS114" i="329" s="1"/>
  <c r="AM15" i="330"/>
  <c r="AM63" i="330"/>
  <c r="AK114" i="330"/>
  <c r="AM96" i="330"/>
  <c r="AM34" i="330"/>
  <c r="AM101" i="330"/>
  <c r="AM111" i="330"/>
  <c r="AM75" i="330"/>
  <c r="AM85" i="330"/>
  <c r="AM22" i="330"/>
  <c r="AM76" i="330" l="1"/>
  <c r="AM102" i="330"/>
  <c r="AM39" i="330"/>
  <c r="AM114" i="330" l="1"/>
  <c r="L5" i="323" l="1"/>
  <c r="L6" i="323"/>
  <c r="L7" i="323"/>
  <c r="L8" i="323"/>
  <c r="K9" i="323"/>
  <c r="L11" i="323"/>
  <c r="L12" i="323"/>
  <c r="L13" i="323"/>
  <c r="L14" i="323"/>
  <c r="L15" i="323"/>
  <c r="L16" i="323"/>
  <c r="L17" i="323"/>
  <c r="K18" i="323"/>
  <c r="L20" i="323"/>
  <c r="L21" i="323"/>
  <c r="L22" i="323"/>
  <c r="L23" i="323"/>
  <c r="L24" i="323"/>
  <c r="K25" i="323"/>
  <c r="L27" i="323"/>
  <c r="L28" i="323"/>
  <c r="L29" i="323"/>
  <c r="K30" i="323"/>
  <c r="K31" i="323" s="1"/>
  <c r="L35" i="323"/>
  <c r="L36" i="323"/>
  <c r="K37" i="323"/>
  <c r="L39" i="323"/>
  <c r="L40" i="323"/>
  <c r="L41" i="323"/>
  <c r="L42" i="323"/>
  <c r="K43" i="323"/>
  <c r="L45" i="323"/>
  <c r="L46" i="323"/>
  <c r="K47" i="323"/>
  <c r="L49" i="323"/>
  <c r="L50" i="323"/>
  <c r="L51" i="323"/>
  <c r="K52" i="323"/>
  <c r="L54" i="323"/>
  <c r="L55" i="323"/>
  <c r="L56" i="323"/>
  <c r="L57" i="323"/>
  <c r="L58" i="323"/>
  <c r="L59" i="323"/>
  <c r="L60" i="323"/>
  <c r="L61" i="323"/>
  <c r="L62" i="323"/>
  <c r="L63" i="323"/>
  <c r="K64" i="323"/>
  <c r="K65" i="323" s="1"/>
  <c r="L69" i="323"/>
  <c r="L70" i="323"/>
  <c r="L71" i="323"/>
  <c r="L72" i="323"/>
  <c r="L73" i="323"/>
  <c r="L74" i="323"/>
  <c r="L75" i="323"/>
  <c r="L76" i="323"/>
  <c r="L77" i="323"/>
  <c r="L78" i="323"/>
  <c r="L79" i="323"/>
  <c r="L80" i="323"/>
  <c r="L81" i="323"/>
  <c r="L82" i="323"/>
  <c r="K83" i="323"/>
  <c r="L85" i="323"/>
  <c r="L86" i="323"/>
  <c r="L87" i="323"/>
  <c r="L88" i="323"/>
  <c r="L89" i="323"/>
  <c r="L90" i="323"/>
  <c r="L91" i="323"/>
  <c r="K92" i="323"/>
  <c r="L94" i="323"/>
  <c r="L95" i="323"/>
  <c r="L96" i="323"/>
  <c r="L97" i="323"/>
  <c r="L98" i="323"/>
  <c r="K99" i="323"/>
  <c r="K100" i="323" s="1"/>
  <c r="L104" i="323"/>
  <c r="L105" i="323"/>
  <c r="L107" i="323"/>
  <c r="L108" i="323"/>
  <c r="L109" i="323"/>
  <c r="L110" i="323"/>
  <c r="L111" i="323"/>
  <c r="K112" i="323"/>
  <c r="L114" i="323"/>
  <c r="L115" i="323"/>
  <c r="L116" i="323"/>
  <c r="L117" i="323"/>
  <c r="L118" i="323"/>
  <c r="L119" i="323"/>
  <c r="L120" i="323"/>
  <c r="L121" i="323"/>
  <c r="L122" i="323"/>
  <c r="L123" i="323"/>
  <c r="L124" i="323"/>
  <c r="L125" i="323"/>
  <c r="K126" i="323"/>
  <c r="K127" i="323" s="1"/>
  <c r="K129" i="323"/>
  <c r="L130" i="323"/>
  <c r="L131" i="323"/>
  <c r="L132" i="323"/>
  <c r="L133" i="323"/>
  <c r="L134" i="323"/>
  <c r="L135" i="323"/>
  <c r="L136" i="323"/>
  <c r="L137" i="323"/>
  <c r="K138" i="323"/>
  <c r="U138" i="323"/>
  <c r="V137" i="323"/>
  <c r="V136" i="323"/>
  <c r="V135" i="323"/>
  <c r="V134" i="323"/>
  <c r="V133" i="323"/>
  <c r="V132" i="323"/>
  <c r="V131" i="323"/>
  <c r="V130" i="323"/>
  <c r="V129" i="323"/>
  <c r="V125" i="323"/>
  <c r="V124" i="323"/>
  <c r="V123" i="323"/>
  <c r="V122" i="323"/>
  <c r="V121" i="323"/>
  <c r="V120" i="323"/>
  <c r="V119" i="323"/>
  <c r="V118" i="323"/>
  <c r="V117" i="323"/>
  <c r="V116" i="323"/>
  <c r="V115" i="323"/>
  <c r="V114" i="323"/>
  <c r="U112" i="323"/>
  <c r="U127" i="323" s="1"/>
  <c r="V111" i="323"/>
  <c r="V110" i="323"/>
  <c r="V109" i="323"/>
  <c r="V108" i="323"/>
  <c r="V107" i="323"/>
  <c r="V105" i="323"/>
  <c r="V104" i="323"/>
  <c r="U99" i="323"/>
  <c r="V98" i="323"/>
  <c r="V97" i="323"/>
  <c r="V96" i="323"/>
  <c r="V95" i="323"/>
  <c r="V94" i="323"/>
  <c r="U92" i="323"/>
  <c r="V91" i="323"/>
  <c r="V90" i="323"/>
  <c r="V89" i="323"/>
  <c r="V88" i="323"/>
  <c r="V87" i="323"/>
  <c r="V86" i="323"/>
  <c r="V85" i="323"/>
  <c r="U83" i="323"/>
  <c r="V82" i="323"/>
  <c r="V81" i="323"/>
  <c r="V80" i="323"/>
  <c r="V79" i="323"/>
  <c r="V78" i="323"/>
  <c r="V77" i="323"/>
  <c r="V76" i="323"/>
  <c r="V75" i="323"/>
  <c r="V74" i="323"/>
  <c r="V73" i="323"/>
  <c r="V72" i="323"/>
  <c r="V71" i="323"/>
  <c r="V70" i="323"/>
  <c r="V69" i="323"/>
  <c r="U64" i="323"/>
  <c r="V63" i="323"/>
  <c r="V62" i="323"/>
  <c r="V61" i="323"/>
  <c r="V60" i="323"/>
  <c r="V59" i="323"/>
  <c r="V58" i="323"/>
  <c r="V57" i="323"/>
  <c r="V56" i="323"/>
  <c r="V55" i="323"/>
  <c r="V54" i="323"/>
  <c r="U52" i="323"/>
  <c r="V51" i="323"/>
  <c r="V50" i="323"/>
  <c r="V49" i="323"/>
  <c r="U47" i="323"/>
  <c r="V46" i="323"/>
  <c r="V45" i="323"/>
  <c r="U43" i="323"/>
  <c r="V42" i="323"/>
  <c r="V41" i="323"/>
  <c r="V40" i="323"/>
  <c r="V39" i="323"/>
  <c r="U37" i="323"/>
  <c r="V36" i="323"/>
  <c r="V35" i="323"/>
  <c r="U30" i="323"/>
  <c r="V29" i="323"/>
  <c r="V28" i="323"/>
  <c r="V27" i="323"/>
  <c r="U25" i="323"/>
  <c r="V24" i="323"/>
  <c r="V23" i="323"/>
  <c r="V22" i="323"/>
  <c r="V21" i="323"/>
  <c r="V20" i="323"/>
  <c r="U18" i="323"/>
  <c r="V17" i="323"/>
  <c r="V16" i="323"/>
  <c r="V15" i="323"/>
  <c r="V14" i="323"/>
  <c r="V13" i="323"/>
  <c r="V12" i="323"/>
  <c r="V11" i="323"/>
  <c r="U9" i="323"/>
  <c r="V8" i="323"/>
  <c r="V7" i="323"/>
  <c r="V6" i="323"/>
  <c r="V5" i="323"/>
  <c r="G21" i="331"/>
  <c r="D21" i="331"/>
  <c r="AF13" i="322"/>
  <c r="AF12" i="322"/>
  <c r="AF11" i="322"/>
  <c r="AF10" i="322"/>
  <c r="AF9" i="322"/>
  <c r="AF8" i="322"/>
  <c r="AF7" i="322"/>
  <c r="AF6" i="322"/>
  <c r="Q24" i="322"/>
  <c r="R24" i="322" s="1"/>
  <c r="R22" i="322"/>
  <c r="R20" i="322"/>
  <c r="Q18" i="322"/>
  <c r="R16" i="322"/>
  <c r="R14" i="322"/>
  <c r="R12" i="322"/>
  <c r="R10" i="322"/>
  <c r="R8" i="322"/>
  <c r="R6" i="322"/>
  <c r="AF14" i="322" l="1"/>
  <c r="K139" i="323"/>
  <c r="U100" i="323"/>
  <c r="U65" i="323"/>
  <c r="U31" i="323"/>
  <c r="Q26" i="322"/>
  <c r="R26" i="322" s="1"/>
  <c r="R18" i="322"/>
  <c r="Q44" i="326"/>
  <c r="Q41" i="326"/>
  <c r="Q19" i="326"/>
  <c r="Q22" i="285"/>
  <c r="P22" i="285" s="1"/>
  <c r="Q13" i="285"/>
  <c r="N13" i="285" s="1"/>
  <c r="Q31" i="285"/>
  <c r="P31" i="285" s="1"/>
  <c r="B31" i="285"/>
  <c r="M19" i="283"/>
  <c r="L19" i="283"/>
  <c r="K19" i="283"/>
  <c r="J19" i="283"/>
  <c r="M7" i="283"/>
  <c r="L7" i="283"/>
  <c r="K7" i="283"/>
  <c r="J7" i="283"/>
  <c r="G7" i="283"/>
  <c r="F7" i="283"/>
  <c r="D7" i="283"/>
  <c r="U139" i="323" l="1"/>
  <c r="D22" i="285"/>
  <c r="J22" i="285"/>
  <c r="N22" i="285"/>
  <c r="F22" i="285"/>
  <c r="H22" i="285"/>
  <c r="L22" i="285"/>
  <c r="J13" i="285"/>
  <c r="P13" i="285"/>
  <c r="L13" i="285"/>
  <c r="D13" i="285"/>
  <c r="F13" i="285"/>
  <c r="H13" i="285"/>
  <c r="D31" i="285"/>
  <c r="L31" i="285"/>
  <c r="J31" i="285"/>
  <c r="F31" i="285"/>
  <c r="H31" i="285"/>
  <c r="N31" i="285"/>
  <c r="G19" i="283"/>
  <c r="F19" i="283"/>
  <c r="D19" i="283"/>
  <c r="F50" i="284" l="1"/>
  <c r="E50" i="284" s="1"/>
  <c r="F34" i="284"/>
  <c r="E34" i="284" s="1"/>
  <c r="F18" i="284"/>
  <c r="C18" i="284" s="1"/>
  <c r="C50" i="284" l="1"/>
  <c r="C34" i="284"/>
  <c r="E18" i="284"/>
  <c r="AK28" i="261" l="1"/>
  <c r="AI28" i="261"/>
  <c r="AG28" i="261"/>
  <c r="AE28" i="261"/>
  <c r="AC28" i="261"/>
  <c r="AA28" i="261"/>
  <c r="Y28" i="261"/>
  <c r="W28" i="261"/>
  <c r="U28" i="261"/>
  <c r="S28" i="261"/>
  <c r="Q28" i="261"/>
  <c r="O28" i="261"/>
  <c r="M28" i="261"/>
  <c r="K28" i="261"/>
  <c r="I28" i="261"/>
  <c r="G28" i="261"/>
  <c r="AK49" i="261"/>
  <c r="AJ47" i="261"/>
  <c r="AK46" i="261"/>
  <c r="AK45" i="261"/>
  <c r="AK44" i="261"/>
  <c r="AK43" i="261"/>
  <c r="AK42" i="261"/>
  <c r="AK41" i="261"/>
  <c r="AK40" i="261"/>
  <c r="AK39" i="261"/>
  <c r="AK38" i="261"/>
  <c r="AK37" i="261"/>
  <c r="AK36" i="261"/>
  <c r="AK35" i="261"/>
  <c r="AK34" i="261"/>
  <c r="AK33" i="261"/>
  <c r="AK32" i="261"/>
  <c r="AK31" i="261"/>
  <c r="AK30" i="261"/>
  <c r="AK29" i="261"/>
  <c r="AK27" i="261"/>
  <c r="AK26" i="261"/>
  <c r="AK25" i="261"/>
  <c r="AK24" i="261"/>
  <c r="AK23" i="261"/>
  <c r="AK22" i="261"/>
  <c r="AK21" i="261"/>
  <c r="AK20" i="261"/>
  <c r="AK19" i="261"/>
  <c r="AK18" i="261"/>
  <c r="AK17" i="261"/>
  <c r="AK16" i="261"/>
  <c r="AK15" i="261"/>
  <c r="AK14" i="261"/>
  <c r="AK13" i="261"/>
  <c r="AK12" i="261"/>
  <c r="AK11" i="261"/>
  <c r="AK10" i="261"/>
  <c r="AK9" i="261"/>
  <c r="AK8" i="261"/>
  <c r="AK7" i="261"/>
  <c r="AK6" i="261"/>
  <c r="AK5" i="261"/>
  <c r="AJ23" i="308"/>
  <c r="AH23" i="308"/>
  <c r="AF23" i="308"/>
  <c r="AD23" i="308"/>
  <c r="AB23" i="308"/>
  <c r="Z23" i="308"/>
  <c r="X23" i="308"/>
  <c r="V23" i="308"/>
  <c r="T23" i="308"/>
  <c r="R23" i="308"/>
  <c r="P23" i="308"/>
  <c r="N23" i="308"/>
  <c r="L23" i="308"/>
  <c r="J23" i="308"/>
  <c r="H23" i="308"/>
  <c r="F23" i="308"/>
  <c r="E23" i="308"/>
  <c r="D23" i="308"/>
  <c r="C23" i="308"/>
  <c r="B23" i="308"/>
  <c r="AK20" i="308"/>
  <c r="AI20" i="308"/>
  <c r="AG20" i="308"/>
  <c r="AE20" i="308"/>
  <c r="AC20" i="308"/>
  <c r="AA20" i="308"/>
  <c r="Y20" i="308"/>
  <c r="W20" i="308"/>
  <c r="U20" i="308"/>
  <c r="S20" i="308"/>
  <c r="Q20" i="308"/>
  <c r="O20" i="308"/>
  <c r="M20" i="308"/>
  <c r="K20" i="308"/>
  <c r="I20" i="308"/>
  <c r="G20" i="308"/>
  <c r="AJ89" i="308"/>
  <c r="AJ59" i="308"/>
  <c r="AJ32" i="308"/>
  <c r="AJ111" i="308"/>
  <c r="AK110" i="308"/>
  <c r="AK109" i="308"/>
  <c r="AK108" i="308"/>
  <c r="AK107" i="308"/>
  <c r="AK106" i="308"/>
  <c r="AK105" i="308"/>
  <c r="AK104" i="308"/>
  <c r="AK103" i="308"/>
  <c r="AK102" i="308"/>
  <c r="AK101" i="308"/>
  <c r="AK100" i="308"/>
  <c r="AJ98" i="308"/>
  <c r="AK98" i="308" s="1"/>
  <c r="AK97" i="308"/>
  <c r="AK96" i="308"/>
  <c r="AK95" i="308"/>
  <c r="AK94" i="308"/>
  <c r="AK93" i="308"/>
  <c r="AK92" i="308"/>
  <c r="AK91" i="308"/>
  <c r="AJ86" i="308"/>
  <c r="AK85" i="308"/>
  <c r="AK84" i="308"/>
  <c r="AK83" i="308"/>
  <c r="AK82" i="308"/>
  <c r="AJ80" i="308"/>
  <c r="AK80" i="308" s="1"/>
  <c r="AK79" i="308"/>
  <c r="AK78" i="308"/>
  <c r="AK77" i="308"/>
  <c r="AK76" i="308"/>
  <c r="AK75" i="308"/>
  <c r="AK74" i="308"/>
  <c r="AJ72" i="308"/>
  <c r="AK72" i="308" s="1"/>
  <c r="AK71" i="308"/>
  <c r="AK70" i="308"/>
  <c r="AK69" i="308"/>
  <c r="AK68" i="308"/>
  <c r="AK67" i="308"/>
  <c r="AK66" i="308"/>
  <c r="AK65" i="308"/>
  <c r="AK64" i="308"/>
  <c r="AK63" i="308"/>
  <c r="AK62" i="308"/>
  <c r="AK61" i="308"/>
  <c r="AJ56" i="308"/>
  <c r="AK55" i="308"/>
  <c r="AK54" i="308"/>
  <c r="AJ52" i="308"/>
  <c r="AK52" i="308" s="1"/>
  <c r="AK51" i="308"/>
  <c r="AK50" i="308"/>
  <c r="AK49" i="308"/>
  <c r="AJ47" i="308"/>
  <c r="AK47" i="308" s="1"/>
  <c r="AK46" i="308"/>
  <c r="AK45" i="308"/>
  <c r="AJ43" i="308"/>
  <c r="AK43" i="308" s="1"/>
  <c r="AK42" i="308"/>
  <c r="AK41" i="308"/>
  <c r="AK40" i="308"/>
  <c r="AK39" i="308"/>
  <c r="AK38" i="308"/>
  <c r="AJ36" i="308"/>
  <c r="AK36" i="308" s="1"/>
  <c r="AK35" i="308"/>
  <c r="AK34" i="308"/>
  <c r="AJ29" i="308"/>
  <c r="AK29" i="308" s="1"/>
  <c r="AK28" i="308"/>
  <c r="AK27" i="308"/>
  <c r="AK26" i="308"/>
  <c r="AK25" i="308"/>
  <c r="AK22" i="308"/>
  <c r="AK21" i="308"/>
  <c r="AJ18" i="308"/>
  <c r="AK18" i="308" s="1"/>
  <c r="AK17" i="308"/>
  <c r="AK16" i="308"/>
  <c r="AK15" i="308"/>
  <c r="AK14" i="308"/>
  <c r="AK13" i="308"/>
  <c r="AK12" i="308"/>
  <c r="AK11" i="308"/>
  <c r="AJ9" i="308"/>
  <c r="AK9" i="308" s="1"/>
  <c r="AK8" i="308"/>
  <c r="AK7" i="308"/>
  <c r="AK6" i="308"/>
  <c r="O47" i="39"/>
  <c r="AJ51" i="261" l="1"/>
  <c r="AJ112" i="308"/>
  <c r="AK112" i="308" s="1"/>
  <c r="AJ87" i="308"/>
  <c r="AK87" i="308" s="1"/>
  <c r="AJ57" i="308"/>
  <c r="AK57" i="308" s="1"/>
  <c r="AJ30" i="308"/>
  <c r="AK111" i="308"/>
  <c r="AK86" i="308"/>
  <c r="AK56" i="308"/>
  <c r="AK23" i="308"/>
  <c r="AJ113" i="308" l="1"/>
  <c r="O46" i="39" l="1"/>
  <c r="N12" i="276"/>
  <c r="O104" i="187"/>
  <c r="C22" i="187"/>
  <c r="D22" i="187"/>
  <c r="E22" i="187"/>
  <c r="F22" i="187"/>
  <c r="G22" i="187"/>
  <c r="H22" i="187"/>
  <c r="I22" i="187"/>
  <c r="J22" i="187"/>
  <c r="K22" i="187"/>
  <c r="L22" i="187"/>
  <c r="M22" i="187"/>
  <c r="N22" i="187"/>
  <c r="O22" i="187"/>
  <c r="B22" i="187"/>
  <c r="O82" i="187"/>
  <c r="O91" i="187"/>
  <c r="O55" i="187"/>
  <c r="O79" i="187"/>
  <c r="O73" i="187"/>
  <c r="O65" i="187"/>
  <c r="O29" i="187"/>
  <c r="O52" i="187"/>
  <c r="O48" i="187"/>
  <c r="O44" i="187"/>
  <c r="O40" i="187"/>
  <c r="O33" i="187"/>
  <c r="O26" i="187"/>
  <c r="O17" i="187"/>
  <c r="O9" i="187"/>
  <c r="O50" i="39" l="1"/>
  <c r="O105" i="187"/>
  <c r="O80" i="187"/>
  <c r="O53" i="187"/>
  <c r="O27" i="187"/>
  <c r="P36" i="37"/>
  <c r="N36" i="37"/>
  <c r="L36" i="37"/>
  <c r="F36" i="37"/>
  <c r="O106" i="187" l="1"/>
  <c r="R36" i="37"/>
  <c r="G36" i="37"/>
  <c r="M36" i="37"/>
  <c r="S36" i="37" s="1"/>
  <c r="Q36" i="37"/>
  <c r="E36" i="37"/>
  <c r="K36" i="37"/>
  <c r="I36" i="37"/>
  <c r="C36" i="37"/>
  <c r="O36" i="37"/>
  <c r="L13" i="277"/>
  <c r="K13" i="277"/>
  <c r="J13" i="277"/>
  <c r="R401" i="321" l="1"/>
  <c r="C402" i="321"/>
  <c r="D402" i="321"/>
  <c r="E402" i="321"/>
  <c r="F402" i="321"/>
  <c r="G402" i="321"/>
  <c r="H402" i="321"/>
  <c r="I402" i="321"/>
  <c r="J402" i="321"/>
  <c r="K402" i="321"/>
  <c r="L402" i="321"/>
  <c r="M402" i="321"/>
  <c r="N402" i="321"/>
  <c r="O402" i="321"/>
  <c r="P402" i="321"/>
  <c r="Q402" i="321"/>
  <c r="B402" i="321"/>
  <c r="R397" i="321"/>
  <c r="R396" i="321"/>
  <c r="C398" i="321"/>
  <c r="D398" i="321"/>
  <c r="E398" i="321"/>
  <c r="F398" i="321"/>
  <c r="G398" i="321"/>
  <c r="H398" i="321"/>
  <c r="I398" i="321"/>
  <c r="J398" i="321"/>
  <c r="K398" i="321"/>
  <c r="L398" i="321"/>
  <c r="M398" i="321"/>
  <c r="N398" i="321"/>
  <c r="O398" i="321"/>
  <c r="P398" i="321"/>
  <c r="Q398" i="321"/>
  <c r="B398" i="321"/>
  <c r="R312" i="321"/>
  <c r="R309" i="321"/>
  <c r="B237" i="321"/>
  <c r="R256" i="321"/>
  <c r="R257" i="321"/>
  <c r="C267" i="321"/>
  <c r="D267" i="321"/>
  <c r="E267" i="321"/>
  <c r="F267" i="321"/>
  <c r="G267" i="321"/>
  <c r="H267" i="321"/>
  <c r="I267" i="321"/>
  <c r="J267" i="321"/>
  <c r="K267" i="321"/>
  <c r="L267" i="321"/>
  <c r="M267" i="321"/>
  <c r="N267" i="321"/>
  <c r="O267" i="321"/>
  <c r="P267" i="321"/>
  <c r="Q267" i="321"/>
  <c r="B267" i="321"/>
  <c r="R223" i="321"/>
  <c r="R398" i="321" l="1"/>
  <c r="C181" i="321"/>
  <c r="D181" i="321"/>
  <c r="E181" i="321"/>
  <c r="F181" i="321"/>
  <c r="G181" i="321"/>
  <c r="H181" i="321"/>
  <c r="I181" i="321"/>
  <c r="J181" i="321"/>
  <c r="K181" i="321"/>
  <c r="L181" i="321"/>
  <c r="M181" i="321"/>
  <c r="N181" i="321"/>
  <c r="O181" i="321"/>
  <c r="P181" i="321"/>
  <c r="Q181" i="321"/>
  <c r="B181" i="321"/>
  <c r="R178" i="321"/>
  <c r="R168" i="321"/>
  <c r="R169" i="321"/>
  <c r="R170" i="321"/>
  <c r="R171" i="321"/>
  <c r="R172" i="321"/>
  <c r="R173" i="321"/>
  <c r="R174" i="321"/>
  <c r="R175" i="321"/>
  <c r="C176" i="321"/>
  <c r="D176" i="321"/>
  <c r="E176" i="321"/>
  <c r="F176" i="321"/>
  <c r="G176" i="321"/>
  <c r="H176" i="321"/>
  <c r="I176" i="321"/>
  <c r="J176" i="321"/>
  <c r="K176" i="321"/>
  <c r="L176" i="321"/>
  <c r="M176" i="321"/>
  <c r="N176" i="321"/>
  <c r="O176" i="321"/>
  <c r="P176" i="321"/>
  <c r="Q176" i="321"/>
  <c r="R176" i="321" s="1"/>
  <c r="B176" i="321"/>
  <c r="C79" i="321"/>
  <c r="D79" i="321"/>
  <c r="E79" i="321"/>
  <c r="F79" i="321"/>
  <c r="G79" i="321"/>
  <c r="H79" i="321"/>
  <c r="I79" i="321"/>
  <c r="J79" i="321"/>
  <c r="K79" i="321"/>
  <c r="L79" i="321"/>
  <c r="M79" i="321"/>
  <c r="N79" i="321"/>
  <c r="O79" i="321"/>
  <c r="P79" i="321"/>
  <c r="Q79" i="321"/>
  <c r="B79" i="321"/>
  <c r="R74" i="321"/>
  <c r="R181" i="321" l="1"/>
  <c r="R62" i="321"/>
  <c r="R465" i="321"/>
  <c r="R464" i="321"/>
  <c r="R463" i="321"/>
  <c r="R462" i="321"/>
  <c r="R461" i="321"/>
  <c r="R460" i="321"/>
  <c r="R457" i="321"/>
  <c r="R456" i="321"/>
  <c r="R455" i="321"/>
  <c r="R454" i="321"/>
  <c r="R453" i="321"/>
  <c r="R452" i="321"/>
  <c r="R451" i="321"/>
  <c r="R450" i="321"/>
  <c r="R449" i="321"/>
  <c r="R448" i="321"/>
  <c r="R445" i="321"/>
  <c r="R444" i="321"/>
  <c r="R443" i="321"/>
  <c r="R442" i="321"/>
  <c r="R441" i="321"/>
  <c r="R438" i="321"/>
  <c r="R437" i="321"/>
  <c r="R436" i="321"/>
  <c r="R435" i="321"/>
  <c r="R432" i="321"/>
  <c r="R431" i="321"/>
  <c r="R430" i="321"/>
  <c r="R429" i="321"/>
  <c r="R428" i="321"/>
  <c r="R427" i="321"/>
  <c r="R426" i="321"/>
  <c r="R425" i="321"/>
  <c r="R424" i="321"/>
  <c r="R423" i="321"/>
  <c r="R422" i="321"/>
  <c r="R419" i="321"/>
  <c r="R418" i="321"/>
  <c r="R417" i="321"/>
  <c r="R416" i="321"/>
  <c r="R415" i="321"/>
  <c r="R414" i="321"/>
  <c r="R413" i="321"/>
  <c r="R412" i="321"/>
  <c r="R411" i="321"/>
  <c r="R410" i="321"/>
  <c r="R409" i="321"/>
  <c r="R408" i="321"/>
  <c r="R407" i="321"/>
  <c r="R406" i="321"/>
  <c r="R405" i="321"/>
  <c r="R404" i="321"/>
  <c r="R400" i="321"/>
  <c r="R395" i="321"/>
  <c r="R394" i="321"/>
  <c r="R393" i="321"/>
  <c r="R392" i="321"/>
  <c r="R391" i="321"/>
  <c r="R390" i="321"/>
  <c r="R389" i="321"/>
  <c r="R388" i="321"/>
  <c r="R387" i="321"/>
  <c r="R386" i="321"/>
  <c r="R385" i="321"/>
  <c r="R384" i="321"/>
  <c r="R383" i="321"/>
  <c r="R382" i="321"/>
  <c r="R381" i="321"/>
  <c r="R380" i="321"/>
  <c r="R379" i="321"/>
  <c r="R378" i="321"/>
  <c r="R377" i="321"/>
  <c r="R376" i="321"/>
  <c r="R375" i="321"/>
  <c r="R374" i="321"/>
  <c r="R373" i="321"/>
  <c r="R372" i="321"/>
  <c r="R369" i="321"/>
  <c r="R368" i="321"/>
  <c r="R367" i="321"/>
  <c r="R366" i="321"/>
  <c r="R365" i="321"/>
  <c r="R362" i="321"/>
  <c r="R361" i="321"/>
  <c r="R360" i="321"/>
  <c r="R359" i="321"/>
  <c r="R358" i="321"/>
  <c r="R357" i="321"/>
  <c r="R356" i="321"/>
  <c r="R355" i="321"/>
  <c r="R354" i="321"/>
  <c r="R353" i="321"/>
  <c r="R352" i="321"/>
  <c r="R351" i="321"/>
  <c r="R348" i="321"/>
  <c r="R347" i="321"/>
  <c r="R346" i="321"/>
  <c r="R345" i="321"/>
  <c r="R344" i="321"/>
  <c r="R341" i="321"/>
  <c r="R340" i="321"/>
  <c r="R339" i="321"/>
  <c r="R338" i="321"/>
  <c r="R335" i="321"/>
  <c r="R334" i="321"/>
  <c r="R331" i="321"/>
  <c r="R330" i="321"/>
  <c r="R329" i="321"/>
  <c r="R328" i="321"/>
  <c r="R327" i="321"/>
  <c r="R326" i="321"/>
  <c r="R323" i="321"/>
  <c r="R322" i="321"/>
  <c r="R319" i="321"/>
  <c r="R318" i="321"/>
  <c r="R317" i="321"/>
  <c r="R316" i="321"/>
  <c r="R315" i="321"/>
  <c r="R314" i="321"/>
  <c r="R313" i="321"/>
  <c r="R311" i="321"/>
  <c r="R310" i="321"/>
  <c r="R308" i="321"/>
  <c r="R307" i="321"/>
  <c r="R306" i="321"/>
  <c r="R305" i="321"/>
  <c r="R304" i="321"/>
  <c r="R303" i="321"/>
  <c r="R302" i="321"/>
  <c r="R301" i="321"/>
  <c r="R298" i="321"/>
  <c r="R297" i="321"/>
  <c r="R296" i="321"/>
  <c r="R295" i="321"/>
  <c r="R294" i="321"/>
  <c r="R291" i="321"/>
  <c r="R290" i="321"/>
  <c r="R289" i="321"/>
  <c r="R288" i="321"/>
  <c r="R285" i="321"/>
  <c r="R284" i="321"/>
  <c r="R283" i="321"/>
  <c r="R282" i="321"/>
  <c r="R279" i="321"/>
  <c r="R278" i="321"/>
  <c r="R277" i="321"/>
  <c r="R276" i="321"/>
  <c r="R275" i="321"/>
  <c r="R272" i="321"/>
  <c r="R271" i="321"/>
  <c r="R270" i="321"/>
  <c r="R269" i="321"/>
  <c r="R266" i="321"/>
  <c r="R265" i="321"/>
  <c r="R264" i="321"/>
  <c r="R263" i="321"/>
  <c r="R262" i="321"/>
  <c r="R261" i="321"/>
  <c r="R260" i="321"/>
  <c r="R259" i="321"/>
  <c r="R258" i="321"/>
  <c r="R253" i="321"/>
  <c r="R252" i="321"/>
  <c r="R251" i="321"/>
  <c r="R248" i="321"/>
  <c r="R247" i="321"/>
  <c r="R246" i="321"/>
  <c r="R245" i="321"/>
  <c r="R244" i="321"/>
  <c r="R243" i="321"/>
  <c r="R242" i="321"/>
  <c r="R241" i="321"/>
  <c r="R240" i="321"/>
  <c r="R239" i="321"/>
  <c r="R236" i="321"/>
  <c r="R235" i="321"/>
  <c r="R234" i="321"/>
  <c r="R233" i="321"/>
  <c r="R232" i="321"/>
  <c r="R231" i="321"/>
  <c r="R230" i="321"/>
  <c r="R229" i="321"/>
  <c r="R228" i="321"/>
  <c r="R227" i="321"/>
  <c r="R226" i="321"/>
  <c r="R225" i="321"/>
  <c r="R224" i="321"/>
  <c r="R222" i="321"/>
  <c r="R221" i="321"/>
  <c r="R220" i="321"/>
  <c r="R219" i="321"/>
  <c r="R218" i="321"/>
  <c r="R217" i="321"/>
  <c r="R216" i="321"/>
  <c r="R215" i="321"/>
  <c r="R214" i="321"/>
  <c r="R213" i="321"/>
  <c r="R212" i="321"/>
  <c r="R211" i="321"/>
  <c r="R210" i="321"/>
  <c r="R209" i="321"/>
  <c r="R206" i="321"/>
  <c r="R205" i="321"/>
  <c r="R204" i="321"/>
  <c r="R203" i="321"/>
  <c r="R202" i="321"/>
  <c r="R201" i="321"/>
  <c r="R200" i="321"/>
  <c r="R197" i="321"/>
  <c r="R196" i="321"/>
  <c r="R195" i="321"/>
  <c r="R194" i="321"/>
  <c r="R193" i="321"/>
  <c r="R192" i="321"/>
  <c r="R191" i="321"/>
  <c r="R190" i="321"/>
  <c r="R189" i="321"/>
  <c r="R188" i="321"/>
  <c r="R187" i="321"/>
  <c r="R184" i="321"/>
  <c r="R183" i="321"/>
  <c r="R180" i="321"/>
  <c r="R179" i="321"/>
  <c r="R167" i="321"/>
  <c r="R166" i="321"/>
  <c r="R163" i="321"/>
  <c r="R162" i="321"/>
  <c r="R161" i="321"/>
  <c r="R160" i="321"/>
  <c r="R159" i="321"/>
  <c r="R156" i="321"/>
  <c r="R155" i="321"/>
  <c r="R154" i="321"/>
  <c r="R153" i="321"/>
  <c r="R152" i="321"/>
  <c r="R149" i="321"/>
  <c r="R148" i="321"/>
  <c r="R147" i="321"/>
  <c r="R146" i="321"/>
  <c r="R143" i="321"/>
  <c r="R142" i="321"/>
  <c r="R141" i="321"/>
  <c r="R140" i="321"/>
  <c r="R139" i="321"/>
  <c r="R136" i="321"/>
  <c r="R135" i="321"/>
  <c r="R134" i="321"/>
  <c r="R133" i="321"/>
  <c r="R132" i="321"/>
  <c r="R129" i="321"/>
  <c r="R128" i="321"/>
  <c r="R127" i="321"/>
  <c r="R124" i="321"/>
  <c r="R123" i="321"/>
  <c r="R122" i="321"/>
  <c r="R119" i="321"/>
  <c r="R118" i="321"/>
  <c r="R117" i="321"/>
  <c r="R78" i="321"/>
  <c r="R116" i="321"/>
  <c r="R115" i="321"/>
  <c r="R114" i="321"/>
  <c r="R113" i="321"/>
  <c r="R112" i="321"/>
  <c r="R111" i="321"/>
  <c r="R110" i="321"/>
  <c r="R109" i="321"/>
  <c r="R108" i="321"/>
  <c r="R107" i="321"/>
  <c r="R106" i="321"/>
  <c r="R105" i="321"/>
  <c r="R104" i="321"/>
  <c r="R103" i="321"/>
  <c r="R102" i="321"/>
  <c r="R101" i="321"/>
  <c r="R100" i="321"/>
  <c r="R71" i="321"/>
  <c r="R99" i="321"/>
  <c r="R98" i="321"/>
  <c r="R97" i="321"/>
  <c r="R96" i="321"/>
  <c r="R95" i="321"/>
  <c r="R94" i="321"/>
  <c r="R93" i="321"/>
  <c r="R92" i="321"/>
  <c r="R91" i="321"/>
  <c r="R90" i="321"/>
  <c r="R88" i="321"/>
  <c r="R87" i="321"/>
  <c r="R86" i="321"/>
  <c r="R85" i="321"/>
  <c r="R82" i="321"/>
  <c r="R81" i="321"/>
  <c r="R77" i="321"/>
  <c r="R76" i="321"/>
  <c r="R75" i="321"/>
  <c r="R73" i="321"/>
  <c r="R72" i="321"/>
  <c r="R70" i="321"/>
  <c r="R69" i="321"/>
  <c r="R68" i="321"/>
  <c r="R89" i="321"/>
  <c r="R67" i="321"/>
  <c r="R66" i="321"/>
  <c r="R63" i="321"/>
  <c r="R61" i="321"/>
  <c r="R60" i="321"/>
  <c r="R59" i="321"/>
  <c r="R58" i="321"/>
  <c r="R57" i="321"/>
  <c r="R56" i="321"/>
  <c r="R55" i="321"/>
  <c r="R54" i="321"/>
  <c r="R53" i="321"/>
  <c r="R50" i="321"/>
  <c r="R49" i="321"/>
  <c r="R48" i="321"/>
  <c r="R47" i="321"/>
  <c r="R46" i="321"/>
  <c r="R43" i="321"/>
  <c r="R42" i="321"/>
  <c r="R41" i="321"/>
  <c r="R33" i="321"/>
  <c r="R34" i="321"/>
  <c r="R35" i="321"/>
  <c r="R36" i="321"/>
  <c r="R37" i="321"/>
  <c r="R38" i="321"/>
  <c r="R32" i="321"/>
  <c r="R31" i="321"/>
  <c r="R30" i="321"/>
  <c r="R29" i="321"/>
  <c r="R28" i="321"/>
  <c r="R25" i="321"/>
  <c r="R22" i="321"/>
  <c r="R21" i="321"/>
  <c r="R20" i="321"/>
  <c r="R19" i="321"/>
  <c r="R18" i="321"/>
  <c r="R17" i="321"/>
  <c r="R16" i="321"/>
  <c r="R15" i="321"/>
  <c r="R14" i="321"/>
  <c r="R13" i="321"/>
  <c r="R12" i="321"/>
  <c r="R11" i="321"/>
  <c r="R8" i="321"/>
  <c r="R7" i="321"/>
  <c r="R6" i="321"/>
  <c r="Q458" i="321"/>
  <c r="Q446" i="321"/>
  <c r="Q439" i="321"/>
  <c r="Q433" i="321"/>
  <c r="Q420" i="321"/>
  <c r="Q370" i="321"/>
  <c r="Q363" i="321"/>
  <c r="Q349" i="321"/>
  <c r="Q342" i="321"/>
  <c r="Q336" i="321"/>
  <c r="Q332" i="321"/>
  <c r="Q324" i="321"/>
  <c r="Q320" i="321"/>
  <c r="Q299" i="321"/>
  <c r="Q292" i="321"/>
  <c r="Q286" i="321"/>
  <c r="Q280" i="321"/>
  <c r="Q273" i="321"/>
  <c r="Q254" i="321"/>
  <c r="Q249" i="321"/>
  <c r="Q237" i="321"/>
  <c r="Q207" i="321"/>
  <c r="Q198" i="321"/>
  <c r="Q185" i="321"/>
  <c r="Q164" i="321"/>
  <c r="Q157" i="321"/>
  <c r="Q150" i="321"/>
  <c r="Q144" i="321"/>
  <c r="Q137" i="321"/>
  <c r="Q130" i="321"/>
  <c r="Q125" i="321"/>
  <c r="Q120" i="321"/>
  <c r="Q83" i="321"/>
  <c r="Q64" i="321"/>
  <c r="Q51" i="321"/>
  <c r="Q44" i="321"/>
  <c r="Q39" i="321"/>
  <c r="Q26" i="321"/>
  <c r="Q23" i="321"/>
  <c r="Q9" i="321"/>
  <c r="Q459" i="321" l="1"/>
  <c r="P43" i="286"/>
  <c r="P39" i="286"/>
  <c r="O39" i="286"/>
  <c r="P75" i="286"/>
  <c r="P74" i="286"/>
  <c r="P73" i="286"/>
  <c r="P72" i="286"/>
  <c r="P26" i="286"/>
  <c r="Q466" i="321" l="1"/>
  <c r="P71" i="286"/>
  <c r="D26" i="268"/>
  <c r="C26" i="268"/>
  <c r="D25" i="268"/>
  <c r="C25" i="268"/>
  <c r="D21" i="268"/>
  <c r="C21" i="268"/>
  <c r="D20" i="268"/>
  <c r="C20" i="268"/>
  <c r="D16" i="268"/>
  <c r="C16" i="268"/>
  <c r="D15" i="268"/>
  <c r="C15" i="268"/>
  <c r="D11" i="268"/>
  <c r="C11" i="268"/>
  <c r="D10" i="268"/>
  <c r="C10" i="268"/>
  <c r="C6" i="268"/>
  <c r="D6" i="268"/>
  <c r="D5" i="268"/>
  <c r="C5" i="268"/>
  <c r="D27" i="332"/>
  <c r="C27" i="332"/>
  <c r="E26" i="332"/>
  <c r="E25" i="332"/>
  <c r="E21" i="332"/>
  <c r="E20" i="332"/>
  <c r="C17" i="332"/>
  <c r="E16" i="332"/>
  <c r="E17" i="332" s="1"/>
  <c r="E15" i="332"/>
  <c r="D12" i="332"/>
  <c r="C12" i="332"/>
  <c r="E11" i="332"/>
  <c r="E10" i="332"/>
  <c r="B9" i="332"/>
  <c r="B14" i="332" s="1"/>
  <c r="B19" i="332" s="1"/>
  <c r="B24" i="332" s="1"/>
  <c r="D7" i="332"/>
  <c r="C7" i="332"/>
  <c r="E6" i="332"/>
  <c r="E5" i="332"/>
  <c r="Q129" i="196"/>
  <c r="R129" i="196" s="1"/>
  <c r="Q43" i="196"/>
  <c r="R132" i="196"/>
  <c r="R131" i="196"/>
  <c r="R130" i="196"/>
  <c r="Q126" i="196"/>
  <c r="R125" i="196"/>
  <c r="R124" i="196"/>
  <c r="R123" i="196"/>
  <c r="R122" i="196"/>
  <c r="R121" i="196"/>
  <c r="R120" i="196"/>
  <c r="R119" i="196"/>
  <c r="R118" i="196"/>
  <c r="R117" i="196"/>
  <c r="R116" i="196"/>
  <c r="R115" i="196"/>
  <c r="Q113" i="196"/>
  <c r="R113" i="196" s="1"/>
  <c r="R112" i="196"/>
  <c r="R111" i="196"/>
  <c r="R110" i="196"/>
  <c r="R109" i="196"/>
  <c r="R108" i="196"/>
  <c r="R107" i="196"/>
  <c r="Q102" i="196"/>
  <c r="R102" i="196" s="1"/>
  <c r="R101" i="196"/>
  <c r="R100" i="196"/>
  <c r="R99" i="196"/>
  <c r="R98" i="196"/>
  <c r="R97" i="196"/>
  <c r="R96" i="196"/>
  <c r="Q94" i="196"/>
  <c r="R94" i="196" s="1"/>
  <c r="R93" i="196"/>
  <c r="R92" i="196"/>
  <c r="R91" i="196"/>
  <c r="R90" i="196"/>
  <c r="R89" i="196"/>
  <c r="R88" i="196"/>
  <c r="R87" i="196"/>
  <c r="Q85" i="196"/>
  <c r="R85" i="196" s="1"/>
  <c r="R84" i="196"/>
  <c r="R83" i="196"/>
  <c r="R82" i="196"/>
  <c r="R81" i="196"/>
  <c r="R80" i="196"/>
  <c r="R79" i="196"/>
  <c r="R78" i="196"/>
  <c r="R77" i="196"/>
  <c r="R76" i="196"/>
  <c r="R75" i="196"/>
  <c r="R74" i="196"/>
  <c r="R73" i="196"/>
  <c r="R72" i="196"/>
  <c r="R71" i="196"/>
  <c r="Q66" i="196"/>
  <c r="R66" i="196" s="1"/>
  <c r="R65" i="196"/>
  <c r="R64" i="196"/>
  <c r="R63" i="196"/>
  <c r="R62" i="196"/>
  <c r="R61" i="196"/>
  <c r="R60" i="196"/>
  <c r="R59" i="196"/>
  <c r="R58" i="196"/>
  <c r="Q56" i="196"/>
  <c r="R56" i="196" s="1"/>
  <c r="R55" i="196"/>
  <c r="R54" i="196"/>
  <c r="R53" i="196"/>
  <c r="R50" i="196"/>
  <c r="Q51" i="196"/>
  <c r="Q47" i="196"/>
  <c r="R47" i="196" s="1"/>
  <c r="R46" i="196"/>
  <c r="R45" i="196"/>
  <c r="R44" i="196"/>
  <c r="R43" i="196"/>
  <c r="R40" i="196"/>
  <c r="R39" i="196"/>
  <c r="R38" i="196"/>
  <c r="Q33" i="196"/>
  <c r="R32" i="196"/>
  <c r="R31" i="196"/>
  <c r="R30" i="196"/>
  <c r="R29" i="196"/>
  <c r="Q27" i="196"/>
  <c r="R27" i="196" s="1"/>
  <c r="R26" i="196"/>
  <c r="R25" i="196"/>
  <c r="R24" i="196"/>
  <c r="R23" i="196"/>
  <c r="R22" i="196"/>
  <c r="Q20" i="196"/>
  <c r="R20" i="196" s="1"/>
  <c r="R19" i="196"/>
  <c r="R18" i="196"/>
  <c r="R17" i="196"/>
  <c r="R16" i="196"/>
  <c r="R15" i="196"/>
  <c r="R14" i="196"/>
  <c r="R13" i="196"/>
  <c r="R12" i="196"/>
  <c r="Q10" i="196"/>
  <c r="R10" i="196" s="1"/>
  <c r="R9" i="196"/>
  <c r="R8" i="196"/>
  <c r="R7" i="196"/>
  <c r="R6" i="196"/>
  <c r="R5" i="196"/>
  <c r="S397" i="321" l="1"/>
  <c r="S401" i="321"/>
  <c r="S309" i="321"/>
  <c r="S312" i="321"/>
  <c r="S223" i="321"/>
  <c r="S256" i="321"/>
  <c r="S257" i="321"/>
  <c r="E12" i="332"/>
  <c r="S172" i="321"/>
  <c r="S178" i="321"/>
  <c r="S62" i="321"/>
  <c r="S74" i="321"/>
  <c r="S459" i="321"/>
  <c r="S465" i="321"/>
  <c r="S457" i="321"/>
  <c r="S449" i="321"/>
  <c r="S430" i="321"/>
  <c r="S422" i="321"/>
  <c r="S413" i="321"/>
  <c r="S405" i="321"/>
  <c r="S393" i="321"/>
  <c r="S385" i="321"/>
  <c r="S377" i="321"/>
  <c r="S368" i="321"/>
  <c r="S359" i="321"/>
  <c r="S351" i="321"/>
  <c r="S341" i="321"/>
  <c r="S331" i="321"/>
  <c r="S322" i="321"/>
  <c r="S313" i="321"/>
  <c r="S303" i="321"/>
  <c r="S294" i="321"/>
  <c r="S284" i="321"/>
  <c r="S275" i="321"/>
  <c r="S265" i="321"/>
  <c r="S245" i="321"/>
  <c r="S236" i="321"/>
  <c r="S228" i="321"/>
  <c r="S219" i="321"/>
  <c r="S211" i="321"/>
  <c r="S202" i="321"/>
  <c r="S193" i="321"/>
  <c r="S184" i="321"/>
  <c r="S173" i="321"/>
  <c r="S162" i="321"/>
  <c r="S153" i="321"/>
  <c r="S143" i="321"/>
  <c r="S134" i="321"/>
  <c r="S124" i="321"/>
  <c r="S116" i="321"/>
  <c r="S108" i="321"/>
  <c r="S100" i="321"/>
  <c r="S93" i="321"/>
  <c r="S72" i="321"/>
  <c r="S56" i="321"/>
  <c r="S47" i="321"/>
  <c r="S37" i="321"/>
  <c r="S29" i="321"/>
  <c r="S19" i="321"/>
  <c r="S11" i="321"/>
  <c r="S464" i="321"/>
  <c r="S456" i="321"/>
  <c r="S448" i="321"/>
  <c r="S438" i="321"/>
  <c r="S429" i="321"/>
  <c r="S412" i="321"/>
  <c r="S404" i="321"/>
  <c r="S392" i="321"/>
  <c r="S384" i="321"/>
  <c r="S376" i="321"/>
  <c r="S367" i="321"/>
  <c r="S358" i="321"/>
  <c r="S340" i="321"/>
  <c r="S330" i="321"/>
  <c r="S311" i="321"/>
  <c r="S302" i="321"/>
  <c r="S283" i="321"/>
  <c r="S264" i="321"/>
  <c r="S253" i="321"/>
  <c r="S244" i="321"/>
  <c r="S235" i="321"/>
  <c r="S227" i="321"/>
  <c r="S218" i="321"/>
  <c r="S210" i="321"/>
  <c r="S201" i="321"/>
  <c r="S192" i="321"/>
  <c r="S183" i="321"/>
  <c r="S171" i="321"/>
  <c r="S161" i="321"/>
  <c r="S152" i="321"/>
  <c r="S142" i="321"/>
  <c r="S133" i="321"/>
  <c r="S123" i="321"/>
  <c r="S115" i="321"/>
  <c r="S107" i="321"/>
  <c r="S71" i="321"/>
  <c r="S92" i="321"/>
  <c r="S82" i="321"/>
  <c r="S170" i="321"/>
  <c r="S63" i="321"/>
  <c r="S55" i="321"/>
  <c r="S46" i="321"/>
  <c r="S36" i="321"/>
  <c r="S28" i="321"/>
  <c r="S18" i="321"/>
  <c r="S463" i="321"/>
  <c r="S455" i="321"/>
  <c r="S437" i="321"/>
  <c r="S428" i="321"/>
  <c r="S419" i="321"/>
  <c r="S411" i="321"/>
  <c r="S391" i="321"/>
  <c r="S383" i="321"/>
  <c r="S375" i="321"/>
  <c r="S366" i="321"/>
  <c r="S357" i="321"/>
  <c r="S348" i="321"/>
  <c r="S339" i="321"/>
  <c r="S329" i="321"/>
  <c r="S319" i="321"/>
  <c r="S310" i="321"/>
  <c r="S301" i="321"/>
  <c r="S291" i="321"/>
  <c r="S282" i="321"/>
  <c r="S272" i="321"/>
  <c r="S263" i="321"/>
  <c r="S252" i="321"/>
  <c r="S243" i="321"/>
  <c r="S234" i="321"/>
  <c r="S226" i="321"/>
  <c r="S217" i="321"/>
  <c r="S209" i="321"/>
  <c r="S200" i="321"/>
  <c r="S191" i="321"/>
  <c r="S169" i="321"/>
  <c r="S160" i="321"/>
  <c r="S141" i="321"/>
  <c r="S132" i="321"/>
  <c r="S122" i="321"/>
  <c r="S114" i="321"/>
  <c r="S106" i="321"/>
  <c r="S99" i="321"/>
  <c r="S91" i="321"/>
  <c r="S81" i="321"/>
  <c r="S70" i="321"/>
  <c r="S54" i="321"/>
  <c r="S35" i="321"/>
  <c r="S17" i="321"/>
  <c r="S8" i="321"/>
  <c r="S462" i="321"/>
  <c r="S454" i="321"/>
  <c r="S445" i="321"/>
  <c r="S436" i="321"/>
  <c r="S427" i="321"/>
  <c r="S418" i="321"/>
  <c r="S410" i="321"/>
  <c r="S400" i="321"/>
  <c r="S390" i="321"/>
  <c r="S382" i="321"/>
  <c r="S374" i="321"/>
  <c r="S365" i="321"/>
  <c r="S356" i="321"/>
  <c r="S347" i="321"/>
  <c r="S338" i="321"/>
  <c r="S328" i="321"/>
  <c r="S318" i="321"/>
  <c r="S308" i="321"/>
  <c r="S290" i="321"/>
  <c r="S271" i="321"/>
  <c r="S262" i="321"/>
  <c r="S251" i="321"/>
  <c r="S242" i="321"/>
  <c r="S233" i="321"/>
  <c r="S225" i="321"/>
  <c r="S216" i="321"/>
  <c r="S190" i="321"/>
  <c r="S180" i="321"/>
  <c r="S168" i="321"/>
  <c r="S159" i="321"/>
  <c r="S149" i="321"/>
  <c r="S140" i="321"/>
  <c r="S113" i="321"/>
  <c r="S105" i="321"/>
  <c r="S98" i="321"/>
  <c r="S90" i="321"/>
  <c r="S69" i="321"/>
  <c r="S61" i="321"/>
  <c r="S53" i="321"/>
  <c r="S43" i="321"/>
  <c r="S34" i="321"/>
  <c r="S25" i="321"/>
  <c r="S16" i="321"/>
  <c r="S7" i="321"/>
  <c r="S450" i="321"/>
  <c r="S378" i="321"/>
  <c r="S352" i="321"/>
  <c r="S323" i="321"/>
  <c r="S295" i="321"/>
  <c r="S246" i="321"/>
  <c r="S220" i="321"/>
  <c r="S185" i="321"/>
  <c r="S144" i="321"/>
  <c r="S109" i="321"/>
  <c r="S85" i="321"/>
  <c r="S48" i="321"/>
  <c r="S12" i="321"/>
  <c r="S461" i="321"/>
  <c r="S453" i="321"/>
  <c r="S444" i="321"/>
  <c r="S435" i="321"/>
  <c r="S426" i="321"/>
  <c r="S417" i="321"/>
  <c r="S409" i="321"/>
  <c r="S389" i="321"/>
  <c r="S381" i="321"/>
  <c r="S373" i="321"/>
  <c r="S355" i="321"/>
  <c r="S346" i="321"/>
  <c r="S327" i="321"/>
  <c r="S317" i="321"/>
  <c r="S307" i="321"/>
  <c r="S298" i="321"/>
  <c r="S289" i="321"/>
  <c r="S279" i="321"/>
  <c r="S270" i="321"/>
  <c r="S261" i="321"/>
  <c r="S241" i="321"/>
  <c r="S232" i="321"/>
  <c r="S224" i="321"/>
  <c r="S215" i="321"/>
  <c r="S206" i="321"/>
  <c r="S197" i="321"/>
  <c r="S189" i="321"/>
  <c r="S179" i="321"/>
  <c r="S167" i="321"/>
  <c r="S148" i="321"/>
  <c r="S139" i="321"/>
  <c r="S129" i="321"/>
  <c r="S119" i="321"/>
  <c r="S112" i="321"/>
  <c r="S104" i="321"/>
  <c r="S97" i="321"/>
  <c r="S88" i="321"/>
  <c r="S77" i="321"/>
  <c r="S68" i="321"/>
  <c r="S60" i="321"/>
  <c r="S42" i="321"/>
  <c r="S33" i="321"/>
  <c r="S15" i="321"/>
  <c r="S6" i="321"/>
  <c r="S458" i="321"/>
  <c r="S360" i="321"/>
  <c r="S304" i="321"/>
  <c r="S266" i="321"/>
  <c r="S229" i="321"/>
  <c r="S194" i="321"/>
  <c r="S154" i="321"/>
  <c r="S78" i="321"/>
  <c r="S73" i="321"/>
  <c r="S38" i="321"/>
  <c r="S460" i="321"/>
  <c r="S452" i="321"/>
  <c r="S443" i="321"/>
  <c r="S425" i="321"/>
  <c r="S416" i="321"/>
  <c r="S408" i="321"/>
  <c r="S396" i="321"/>
  <c r="S388" i="321"/>
  <c r="S380" i="321"/>
  <c r="S372" i="321"/>
  <c r="S362" i="321"/>
  <c r="S354" i="321"/>
  <c r="S345" i="321"/>
  <c r="S335" i="321"/>
  <c r="S326" i="321"/>
  <c r="S316" i="321"/>
  <c r="S306" i="321"/>
  <c r="S297" i="321"/>
  <c r="S288" i="321"/>
  <c r="S278" i="321"/>
  <c r="S269" i="321"/>
  <c r="S260" i="321"/>
  <c r="S248" i="321"/>
  <c r="S240" i="321"/>
  <c r="S231" i="321"/>
  <c r="S222" i="321"/>
  <c r="S214" i="321"/>
  <c r="S205" i="321"/>
  <c r="S196" i="321"/>
  <c r="S188" i="321"/>
  <c r="S166" i="321"/>
  <c r="S156" i="321"/>
  <c r="S147" i="321"/>
  <c r="S128" i="321"/>
  <c r="S118" i="321"/>
  <c r="S111" i="321"/>
  <c r="S103" i="321"/>
  <c r="S96" i="321"/>
  <c r="S87" i="321"/>
  <c r="S76" i="321"/>
  <c r="S89" i="321"/>
  <c r="S59" i="321"/>
  <c r="S50" i="321"/>
  <c r="S41" i="321"/>
  <c r="S32" i="321"/>
  <c r="S22" i="321"/>
  <c r="S14" i="321"/>
  <c r="S441" i="321"/>
  <c r="S276" i="321"/>
  <c r="S212" i="321"/>
  <c r="S174" i="321"/>
  <c r="S135" i="321"/>
  <c r="S101" i="321"/>
  <c r="S66" i="321"/>
  <c r="S30" i="321"/>
  <c r="S451" i="321"/>
  <c r="S442" i="321"/>
  <c r="S432" i="321"/>
  <c r="S424" i="321"/>
  <c r="S415" i="321"/>
  <c r="S407" i="321"/>
  <c r="S395" i="321"/>
  <c r="S387" i="321"/>
  <c r="S379" i="321"/>
  <c r="S361" i="321"/>
  <c r="S353" i="321"/>
  <c r="S344" i="321"/>
  <c r="S334" i="321"/>
  <c r="S315" i="321"/>
  <c r="S305" i="321"/>
  <c r="S296" i="321"/>
  <c r="S277" i="321"/>
  <c r="S259" i="321"/>
  <c r="S247" i="321"/>
  <c r="S239" i="321"/>
  <c r="S230" i="321"/>
  <c r="S221" i="321"/>
  <c r="S213" i="321"/>
  <c r="S204" i="321"/>
  <c r="S195" i="321"/>
  <c r="S187" i="321"/>
  <c r="S175" i="321"/>
  <c r="S155" i="321"/>
  <c r="S146" i="321"/>
  <c r="S136" i="321"/>
  <c r="S127" i="321"/>
  <c r="S117" i="321"/>
  <c r="S110" i="321"/>
  <c r="S102" i="321"/>
  <c r="S95" i="321"/>
  <c r="S86" i="321"/>
  <c r="S75" i="321"/>
  <c r="S67" i="321"/>
  <c r="S58" i="321"/>
  <c r="S49" i="321"/>
  <c r="S31" i="321"/>
  <c r="S21" i="321"/>
  <c r="S13" i="321"/>
  <c r="S466" i="321"/>
  <c r="S431" i="321"/>
  <c r="S423" i="321"/>
  <c r="S414" i="321"/>
  <c r="S406" i="321"/>
  <c r="S394" i="321"/>
  <c r="S386" i="321"/>
  <c r="S369" i="321"/>
  <c r="S342" i="321"/>
  <c r="S314" i="321"/>
  <c r="S285" i="321"/>
  <c r="S258" i="321"/>
  <c r="S203" i="321"/>
  <c r="S163" i="321"/>
  <c r="S125" i="321"/>
  <c r="S94" i="321"/>
  <c r="S57" i="321"/>
  <c r="S20" i="321"/>
  <c r="S64" i="321"/>
  <c r="S39" i="321"/>
  <c r="S398" i="321"/>
  <c r="S299" i="321"/>
  <c r="S130" i="321"/>
  <c r="S51" i="321"/>
  <c r="S332" i="321"/>
  <c r="S137" i="321"/>
  <c r="S26" i="321"/>
  <c r="S420" i="321"/>
  <c r="S349" i="321"/>
  <c r="S176" i="321"/>
  <c r="S79" i="321"/>
  <c r="S44" i="321"/>
  <c r="S23" i="321"/>
  <c r="S370" i="321"/>
  <c r="S157" i="321"/>
  <c r="S164" i="321"/>
  <c r="S433" i="321"/>
  <c r="S120" i="321"/>
  <c r="S150" i="321"/>
  <c r="S267" i="321"/>
  <c r="S363" i="321"/>
  <c r="S292" i="321"/>
  <c r="S320" i="321"/>
  <c r="S9" i="321"/>
  <c r="S181" i="321"/>
  <c r="S273" i="321"/>
  <c r="S83" i="321"/>
  <c r="S254" i="321"/>
  <c r="S439" i="321"/>
  <c r="S286" i="321"/>
  <c r="S249" i="321"/>
  <c r="S198" i="321"/>
  <c r="S402" i="321"/>
  <c r="S324" i="321"/>
  <c r="S207" i="321"/>
  <c r="S446" i="321"/>
  <c r="S237" i="321"/>
  <c r="S336" i="321"/>
  <c r="S280" i="321"/>
  <c r="E27" i="332"/>
  <c r="E7" i="332"/>
  <c r="Q127" i="196"/>
  <c r="R127" i="196" s="1"/>
  <c r="Q133" i="196"/>
  <c r="R133" i="196" s="1"/>
  <c r="Q103" i="196"/>
  <c r="R103" i="196" s="1"/>
  <c r="Q34" i="196"/>
  <c r="R34" i="196" s="1"/>
  <c r="R126" i="196"/>
  <c r="R51" i="196"/>
  <c r="Q41" i="196"/>
  <c r="R41" i="196" s="1"/>
  <c r="R49" i="196"/>
  <c r="R33" i="196"/>
  <c r="Q67" i="196" l="1"/>
  <c r="R67" i="196" s="1"/>
  <c r="Q134" i="196" l="1"/>
  <c r="R134" i="196" s="1"/>
  <c r="AQ82" i="184" l="1"/>
  <c r="AP82" i="184"/>
  <c r="AO82" i="184"/>
  <c r="AR82" i="184" s="1"/>
  <c r="AL82" i="184"/>
  <c r="AK82" i="184"/>
  <c r="AJ82" i="184"/>
  <c r="AM82" i="184" s="1"/>
  <c r="AS82" i="184" s="1"/>
  <c r="AG82" i="184"/>
  <c r="AF82" i="184"/>
  <c r="AE82" i="184"/>
  <c r="AH82" i="184" s="1"/>
  <c r="AC82" i="184"/>
  <c r="AI82" i="184" s="1"/>
  <c r="AB82" i="184"/>
  <c r="AA82" i="184"/>
  <c r="Z82" i="184"/>
  <c r="W82" i="184"/>
  <c r="V82" i="184"/>
  <c r="X82" i="184" s="1"/>
  <c r="AD82" i="184" s="1"/>
  <c r="U82" i="184"/>
  <c r="R82" i="184"/>
  <c r="Q82" i="184"/>
  <c r="P82" i="184"/>
  <c r="S82" i="184" s="1"/>
  <c r="N82" i="184"/>
  <c r="M82" i="184"/>
  <c r="L82" i="184"/>
  <c r="K82" i="184"/>
  <c r="H82" i="184"/>
  <c r="G82" i="184"/>
  <c r="F82" i="184"/>
  <c r="I82" i="184" s="1"/>
  <c r="O82" i="184" s="1"/>
  <c r="E82" i="184"/>
  <c r="D82" i="184"/>
  <c r="C82" i="184"/>
  <c r="B82" i="184"/>
  <c r="AQ122" i="184"/>
  <c r="AP122" i="184"/>
  <c r="AO122" i="184"/>
  <c r="AR122" i="184" s="1"/>
  <c r="AS122" i="184" s="1"/>
  <c r="AQ121" i="184"/>
  <c r="AP121" i="184"/>
  <c r="AR121" i="184" s="1"/>
  <c r="AS121" i="184" s="1"/>
  <c r="AO121" i="184"/>
  <c r="AQ120" i="184"/>
  <c r="AP120" i="184"/>
  <c r="AO120" i="184"/>
  <c r="AR120" i="184" s="1"/>
  <c r="AS120" i="184" s="1"/>
  <c r="AR119" i="184"/>
  <c r="AS119" i="184" s="1"/>
  <c r="AQ119" i="184"/>
  <c r="AP119" i="184"/>
  <c r="AO119" i="184"/>
  <c r="AQ118" i="184"/>
  <c r="AP118" i="184"/>
  <c r="AO118" i="184"/>
  <c r="AR118" i="184" s="1"/>
  <c r="AS118" i="184" s="1"/>
  <c r="AQ117" i="184"/>
  <c r="AP117" i="184"/>
  <c r="AO117" i="184"/>
  <c r="AR117" i="184" s="1"/>
  <c r="AS117" i="184" s="1"/>
  <c r="AQ116" i="184"/>
  <c r="AP116" i="184"/>
  <c r="AO116" i="184"/>
  <c r="AR116" i="184" s="1"/>
  <c r="AS116" i="184" s="1"/>
  <c r="AR115" i="184"/>
  <c r="AS115" i="184" s="1"/>
  <c r="AQ115" i="184"/>
  <c r="AP115" i="184"/>
  <c r="AO115" i="184"/>
  <c r="AQ114" i="184"/>
  <c r="AP114" i="184"/>
  <c r="AO114" i="184"/>
  <c r="AR114" i="184" s="1"/>
  <c r="AR113" i="184"/>
  <c r="AS113" i="184" s="1"/>
  <c r="AQ113" i="184"/>
  <c r="AQ123" i="184" s="1"/>
  <c r="AP113" i="184"/>
  <c r="AP123" i="184" s="1"/>
  <c r="AO113" i="184"/>
  <c r="AO123" i="184" s="1"/>
  <c r="AQ108" i="184"/>
  <c r="AQ107" i="184"/>
  <c r="AP107" i="184"/>
  <c r="AO107" i="184"/>
  <c r="AR107" i="184" s="1"/>
  <c r="AS107" i="184" s="1"/>
  <c r="AQ106" i="184"/>
  <c r="AP106" i="184"/>
  <c r="AO106" i="184"/>
  <c r="AR106" i="184" s="1"/>
  <c r="AS106" i="184" s="1"/>
  <c r="AQ105" i="184"/>
  <c r="AP105" i="184"/>
  <c r="AP108" i="184" s="1"/>
  <c r="AO105" i="184"/>
  <c r="AO108" i="184" s="1"/>
  <c r="AR102" i="184"/>
  <c r="AS102" i="184" s="1"/>
  <c r="AQ102" i="184"/>
  <c r="AP102" i="184"/>
  <c r="AO102" i="184"/>
  <c r="AQ101" i="184"/>
  <c r="AP101" i="184"/>
  <c r="AO101" i="184"/>
  <c r="AR101" i="184" s="1"/>
  <c r="AS101" i="184" s="1"/>
  <c r="AR100" i="184"/>
  <c r="AS100" i="184" s="1"/>
  <c r="AQ100" i="184"/>
  <c r="AP100" i="184"/>
  <c r="AO100" i="184"/>
  <c r="AQ99" i="184"/>
  <c r="AR99" i="184" s="1"/>
  <c r="AS99" i="184" s="1"/>
  <c r="AP99" i="184"/>
  <c r="AO99" i="184"/>
  <c r="AQ98" i="184"/>
  <c r="AQ103" i="184" s="1"/>
  <c r="AP98" i="184"/>
  <c r="AP103" i="184" s="1"/>
  <c r="AO98" i="184"/>
  <c r="AR98" i="184" s="1"/>
  <c r="AQ95" i="184"/>
  <c r="AP95" i="184"/>
  <c r="AR95" i="184" s="1"/>
  <c r="AS95" i="184" s="1"/>
  <c r="AO95" i="184"/>
  <c r="AQ94" i="184"/>
  <c r="AQ96" i="184" s="1"/>
  <c r="AP94" i="184"/>
  <c r="AP96" i="184" s="1"/>
  <c r="AO94" i="184"/>
  <c r="AR94" i="184" s="1"/>
  <c r="AR92" i="184"/>
  <c r="AQ92" i="184"/>
  <c r="AP92" i="184"/>
  <c r="AO92" i="184"/>
  <c r="AO90" i="184"/>
  <c r="AQ84" i="184"/>
  <c r="AQ83" i="184"/>
  <c r="AP83" i="184"/>
  <c r="AO83" i="184"/>
  <c r="AR83" i="184" s="1"/>
  <c r="AS83" i="184" s="1"/>
  <c r="AQ81" i="184"/>
  <c r="AP81" i="184"/>
  <c r="AO81" i="184"/>
  <c r="AR81" i="184" s="1"/>
  <c r="AS81" i="184" s="1"/>
  <c r="AQ80" i="184"/>
  <c r="AP80" i="184"/>
  <c r="AO80" i="184"/>
  <c r="AR80" i="184" s="1"/>
  <c r="AS80" i="184" s="1"/>
  <c r="AS79" i="184"/>
  <c r="AR79" i="184"/>
  <c r="AQ79" i="184"/>
  <c r="AP79" i="184"/>
  <c r="AO79" i="184"/>
  <c r="AR78" i="184"/>
  <c r="AQ78" i="184"/>
  <c r="AP78" i="184"/>
  <c r="AP84" i="184" s="1"/>
  <c r="AO78" i="184"/>
  <c r="AO84" i="184" s="1"/>
  <c r="AO76" i="184"/>
  <c r="AR75" i="184"/>
  <c r="AS75" i="184" s="1"/>
  <c r="AQ75" i="184"/>
  <c r="AP75" i="184"/>
  <c r="AO75" i="184"/>
  <c r="AQ74" i="184"/>
  <c r="AP74" i="184"/>
  <c r="AO74" i="184"/>
  <c r="AR74" i="184" s="1"/>
  <c r="AS74" i="184" s="1"/>
  <c r="AQ73" i="184"/>
  <c r="AP73" i="184"/>
  <c r="AO73" i="184"/>
  <c r="AR73" i="184" s="1"/>
  <c r="AS73" i="184" s="1"/>
  <c r="AQ72" i="184"/>
  <c r="AP72" i="184"/>
  <c r="AO72" i="184"/>
  <c r="AR72" i="184" s="1"/>
  <c r="AS72" i="184" s="1"/>
  <c r="AQ71" i="184"/>
  <c r="AQ76" i="184" s="1"/>
  <c r="AP71" i="184"/>
  <c r="AR71" i="184" s="1"/>
  <c r="AO71" i="184"/>
  <c r="AR68" i="184"/>
  <c r="AS68" i="184" s="1"/>
  <c r="AQ68" i="184"/>
  <c r="AP68" i="184"/>
  <c r="AO68" i="184"/>
  <c r="AQ67" i="184"/>
  <c r="AP67" i="184"/>
  <c r="AO67" i="184"/>
  <c r="AR67" i="184" s="1"/>
  <c r="AS67" i="184" s="1"/>
  <c r="AR66" i="184"/>
  <c r="AS66" i="184" s="1"/>
  <c r="AQ66" i="184"/>
  <c r="AP66" i="184"/>
  <c r="AO66" i="184"/>
  <c r="AQ65" i="184"/>
  <c r="AP65" i="184"/>
  <c r="AO65" i="184"/>
  <c r="AR65" i="184" s="1"/>
  <c r="AS65" i="184" s="1"/>
  <c r="AQ64" i="184"/>
  <c r="AQ69" i="184" s="1"/>
  <c r="AP64" i="184"/>
  <c r="AP69" i="184" s="1"/>
  <c r="AO64" i="184"/>
  <c r="AR64" i="184" s="1"/>
  <c r="AQ61" i="184"/>
  <c r="AP61" i="184"/>
  <c r="AR61" i="184" s="1"/>
  <c r="AS61" i="184" s="1"/>
  <c r="AO61" i="184"/>
  <c r="AR60" i="184"/>
  <c r="AS60" i="184" s="1"/>
  <c r="AQ60" i="184"/>
  <c r="AP60" i="184"/>
  <c r="AO60" i="184"/>
  <c r="AQ59" i="184"/>
  <c r="AP59" i="184"/>
  <c r="AP62" i="184" s="1"/>
  <c r="AO59" i="184"/>
  <c r="AR59" i="184" s="1"/>
  <c r="AS59" i="184" s="1"/>
  <c r="AQ58" i="184"/>
  <c r="AP58" i="184"/>
  <c r="AO58" i="184"/>
  <c r="AR58" i="184" s="1"/>
  <c r="AS58" i="184" s="1"/>
  <c r="AQ57" i="184"/>
  <c r="AR57" i="184" s="1"/>
  <c r="AS57" i="184" s="1"/>
  <c r="AP57" i="184"/>
  <c r="AO57" i="184"/>
  <c r="AQ56" i="184"/>
  <c r="AQ62" i="184" s="1"/>
  <c r="AP56" i="184"/>
  <c r="AO56" i="184"/>
  <c r="AO62" i="184" s="1"/>
  <c r="AQ53" i="184"/>
  <c r="AQ54" i="184" s="1"/>
  <c r="AQ85" i="184" s="1"/>
  <c r="AP53" i="184"/>
  <c r="AP54" i="184" s="1"/>
  <c r="AO53" i="184"/>
  <c r="AR53" i="184" s="1"/>
  <c r="AQ52" i="184"/>
  <c r="AP52" i="184"/>
  <c r="AO52" i="184"/>
  <c r="AR52" i="184" s="1"/>
  <c r="AS52" i="184" s="1"/>
  <c r="AO50" i="184"/>
  <c r="AR44" i="184"/>
  <c r="AQ44" i="184"/>
  <c r="AP44" i="184"/>
  <c r="AO44" i="184"/>
  <c r="AQ42" i="184"/>
  <c r="AP42" i="184"/>
  <c r="AO42" i="184"/>
  <c r="AR42" i="184" s="1"/>
  <c r="AS42" i="184" s="1"/>
  <c r="AQ39" i="184"/>
  <c r="AR39" i="184" s="1"/>
  <c r="AS39" i="184" s="1"/>
  <c r="AP39" i="184"/>
  <c r="AO39" i="184"/>
  <c r="AQ38" i="184"/>
  <c r="AP38" i="184"/>
  <c r="AO38" i="184"/>
  <c r="AR38" i="184" s="1"/>
  <c r="AS38" i="184" s="1"/>
  <c r="AQ37" i="184"/>
  <c r="AP37" i="184"/>
  <c r="AR37" i="184" s="1"/>
  <c r="AS37" i="184" s="1"/>
  <c r="AO37" i="184"/>
  <c r="AQ36" i="184"/>
  <c r="AP36" i="184"/>
  <c r="AO36" i="184"/>
  <c r="AR36" i="184" s="1"/>
  <c r="AS36" i="184" s="1"/>
  <c r="AR35" i="184"/>
  <c r="AS35" i="184" s="1"/>
  <c r="AQ35" i="184"/>
  <c r="AP35" i="184"/>
  <c r="AO35" i="184"/>
  <c r="AR34" i="184"/>
  <c r="AS34" i="184" s="1"/>
  <c r="AQ34" i="184"/>
  <c r="AP34" i="184"/>
  <c r="AO34" i="184"/>
  <c r="AQ33" i="184"/>
  <c r="AP33" i="184"/>
  <c r="AO33" i="184"/>
  <c r="AR33" i="184" s="1"/>
  <c r="AS33" i="184" s="1"/>
  <c r="AQ32" i="184"/>
  <c r="AR32" i="184" s="1"/>
  <c r="AS32" i="184" s="1"/>
  <c r="AP32" i="184"/>
  <c r="AO32" i="184"/>
  <c r="AQ31" i="184"/>
  <c r="AQ40" i="184" s="1"/>
  <c r="AP31" i="184"/>
  <c r="AP40" i="184" s="1"/>
  <c r="AO31" i="184"/>
  <c r="AO40" i="184" s="1"/>
  <c r="AO29" i="184"/>
  <c r="AQ22" i="184"/>
  <c r="AP22" i="184"/>
  <c r="AO22" i="184"/>
  <c r="AR22" i="184" s="1"/>
  <c r="AS22" i="184" s="1"/>
  <c r="AQ21" i="184"/>
  <c r="AP21" i="184"/>
  <c r="AO21" i="184"/>
  <c r="AR21" i="184" s="1"/>
  <c r="AS21" i="184" s="1"/>
  <c r="AQ20" i="184"/>
  <c r="AP20" i="184"/>
  <c r="AO20" i="184"/>
  <c r="AR20" i="184" s="1"/>
  <c r="AS20" i="184" s="1"/>
  <c r="AQ19" i="184"/>
  <c r="AP19" i="184"/>
  <c r="AO19" i="184"/>
  <c r="AR19" i="184" s="1"/>
  <c r="AS18" i="184"/>
  <c r="AR18" i="184"/>
  <c r="AQ18" i="184"/>
  <c r="AQ23" i="184" s="1"/>
  <c r="AQ24" i="184" s="1"/>
  <c r="AP18" i="184"/>
  <c r="AP23" i="184" s="1"/>
  <c r="AP24" i="184" s="1"/>
  <c r="AO18" i="184"/>
  <c r="AO23" i="184" s="1"/>
  <c r="AQ15" i="184"/>
  <c r="AP15" i="184"/>
  <c r="AO15" i="184"/>
  <c r="AR15" i="184" s="1"/>
  <c r="AS15" i="184" s="1"/>
  <c r="AR14" i="184"/>
  <c r="AS14" i="184" s="1"/>
  <c r="AQ14" i="184"/>
  <c r="AP14" i="184"/>
  <c r="AO14" i="184"/>
  <c r="AQ13" i="184"/>
  <c r="AP13" i="184"/>
  <c r="AO13" i="184"/>
  <c r="AR13" i="184" s="1"/>
  <c r="AS13" i="184" s="1"/>
  <c r="AQ12" i="184"/>
  <c r="AP12" i="184"/>
  <c r="AO12" i="184"/>
  <c r="AR12" i="184" s="1"/>
  <c r="AS12" i="184" s="1"/>
  <c r="AQ11" i="184"/>
  <c r="AP11" i="184"/>
  <c r="AO11" i="184"/>
  <c r="AR11" i="184" s="1"/>
  <c r="AS11" i="184" s="1"/>
  <c r="AQ10" i="184"/>
  <c r="AP10" i="184"/>
  <c r="AO10" i="184"/>
  <c r="AR10" i="184" s="1"/>
  <c r="AS10" i="184" s="1"/>
  <c r="AS9" i="184"/>
  <c r="AR9" i="184"/>
  <c r="AQ9" i="184"/>
  <c r="AP9" i="184"/>
  <c r="AO9" i="184"/>
  <c r="AQ8" i="184"/>
  <c r="AP8" i="184"/>
  <c r="AP16" i="184" s="1"/>
  <c r="AO8" i="184"/>
  <c r="AR8" i="184" s="1"/>
  <c r="AS8" i="184" s="1"/>
  <c r="AQ7" i="184"/>
  <c r="AQ16" i="184" s="1"/>
  <c r="AP7" i="184"/>
  <c r="AO7" i="184"/>
  <c r="AR7" i="184" s="1"/>
  <c r="AR82" i="183"/>
  <c r="AS82" i="183" s="1"/>
  <c r="AM82" i="183"/>
  <c r="AN82" i="183"/>
  <c r="AH82" i="183"/>
  <c r="AI82" i="183" s="1"/>
  <c r="AC82" i="183"/>
  <c r="AD82" i="183"/>
  <c r="X82" i="183"/>
  <c r="Y82" i="183"/>
  <c r="S82" i="183"/>
  <c r="T82" i="183" s="1"/>
  <c r="N82" i="183"/>
  <c r="O82" i="183" s="1"/>
  <c r="I82" i="183"/>
  <c r="J82" i="183"/>
  <c r="E82" i="183"/>
  <c r="T82" i="184" l="1"/>
  <c r="J82" i="184"/>
  <c r="Y82" i="184"/>
  <c r="AN82" i="184"/>
  <c r="AQ126" i="184"/>
  <c r="AS114" i="184"/>
  <c r="AR123" i="184"/>
  <c r="AP109" i="184"/>
  <c r="AQ109" i="184"/>
  <c r="AR103" i="184"/>
  <c r="AS103" i="184" s="1"/>
  <c r="AS98" i="184"/>
  <c r="AO109" i="184"/>
  <c r="AR96" i="184"/>
  <c r="AS96" i="184" s="1"/>
  <c r="AS94" i="184"/>
  <c r="AS92" i="184"/>
  <c r="AO103" i="184"/>
  <c r="AR105" i="184"/>
  <c r="AO96" i="184"/>
  <c r="AR84" i="184"/>
  <c r="AP85" i="184"/>
  <c r="AP126" i="184" s="1"/>
  <c r="AR69" i="184"/>
  <c r="AS69" i="184" s="1"/>
  <c r="AS64" i="184"/>
  <c r="AR54" i="184"/>
  <c r="AS53" i="184"/>
  <c r="AR76" i="184"/>
  <c r="AS76" i="184" s="1"/>
  <c r="AS71" i="184"/>
  <c r="AO54" i="184"/>
  <c r="AO85" i="184" s="1"/>
  <c r="AO126" i="184" s="1"/>
  <c r="AR56" i="184"/>
  <c r="AP76" i="184"/>
  <c r="AS78" i="184"/>
  <c r="AO69" i="184"/>
  <c r="AQ45" i="184"/>
  <c r="AO45" i="184"/>
  <c r="AP45" i="184"/>
  <c r="AS44" i="184"/>
  <c r="AR31" i="184"/>
  <c r="AS7" i="184"/>
  <c r="AR16" i="184"/>
  <c r="AS16" i="184" s="1"/>
  <c r="AS19" i="184"/>
  <c r="AR23" i="184"/>
  <c r="AO16" i="184"/>
  <c r="AO24" i="184" s="1"/>
  <c r="AQ123" i="183"/>
  <c r="AP123" i="183"/>
  <c r="AO123" i="183"/>
  <c r="AR122" i="183"/>
  <c r="AS122" i="183" s="1"/>
  <c r="AR121" i="183"/>
  <c r="AS121" i="183" s="1"/>
  <c r="AR120" i="183"/>
  <c r="AS120" i="183" s="1"/>
  <c r="AR119" i="183"/>
  <c r="AS119" i="183" s="1"/>
  <c r="AR118" i="183"/>
  <c r="AS118" i="183" s="1"/>
  <c r="AR117" i="183"/>
  <c r="AS117" i="183" s="1"/>
  <c r="AR116" i="183"/>
  <c r="AR115" i="183"/>
  <c r="AS115" i="183" s="1"/>
  <c r="AR114" i="183"/>
  <c r="AS114" i="183" s="1"/>
  <c r="AR113" i="183"/>
  <c r="AS113" i="183" s="1"/>
  <c r="AQ108" i="183"/>
  <c r="AP108" i="183"/>
  <c r="AO108" i="183"/>
  <c r="AR107" i="183"/>
  <c r="AS107" i="183" s="1"/>
  <c r="AR106" i="183"/>
  <c r="AS106" i="183" s="1"/>
  <c r="AR105" i="183"/>
  <c r="AQ103" i="183"/>
  <c r="AP103" i="183"/>
  <c r="AO103" i="183"/>
  <c r="AR102" i="183"/>
  <c r="AS102" i="183" s="1"/>
  <c r="AR101" i="183"/>
  <c r="AS101" i="183" s="1"/>
  <c r="AR100" i="183"/>
  <c r="AS100" i="183" s="1"/>
  <c r="AR99" i="183"/>
  <c r="AS99" i="183" s="1"/>
  <c r="AR98" i="183"/>
  <c r="AS98" i="183" s="1"/>
  <c r="AQ96" i="183"/>
  <c r="AP96" i="183"/>
  <c r="AO96" i="183"/>
  <c r="AR95" i="183"/>
  <c r="AS95" i="183" s="1"/>
  <c r="AR94" i="183"/>
  <c r="AS94" i="183" s="1"/>
  <c r="AR92" i="183"/>
  <c r="AS92" i="183" s="1"/>
  <c r="AQ84" i="183"/>
  <c r="AP84" i="183"/>
  <c r="AO84" i="183"/>
  <c r="AR83" i="183"/>
  <c r="AS83" i="183" s="1"/>
  <c r="AR81" i="183"/>
  <c r="AS81" i="183" s="1"/>
  <c r="AR80" i="183"/>
  <c r="AS80" i="183" s="1"/>
  <c r="AR79" i="183"/>
  <c r="AS79" i="183" s="1"/>
  <c r="AR78" i="183"/>
  <c r="AS78" i="183" s="1"/>
  <c r="AQ76" i="183"/>
  <c r="AP76" i="183"/>
  <c r="AO76" i="183"/>
  <c r="AR75" i="183"/>
  <c r="AS75" i="183" s="1"/>
  <c r="AR74" i="183"/>
  <c r="AS74" i="183" s="1"/>
  <c r="AR73" i="183"/>
  <c r="AS73" i="183" s="1"/>
  <c r="AR72" i="183"/>
  <c r="AS72" i="183" s="1"/>
  <c r="AR71" i="183"/>
  <c r="AS71" i="183" s="1"/>
  <c r="AQ69" i="183"/>
  <c r="AP69" i="183"/>
  <c r="AO69" i="183"/>
  <c r="AR68" i="183"/>
  <c r="AS68" i="183" s="1"/>
  <c r="AR67" i="183"/>
  <c r="AS67" i="183" s="1"/>
  <c r="AR66" i="183"/>
  <c r="AS66" i="183" s="1"/>
  <c r="AR65" i="183"/>
  <c r="AS65" i="183" s="1"/>
  <c r="AR64" i="183"/>
  <c r="AS64" i="183" s="1"/>
  <c r="AQ62" i="183"/>
  <c r="AP62" i="183"/>
  <c r="AO62" i="183"/>
  <c r="AR61" i="183"/>
  <c r="AR60" i="183"/>
  <c r="AR59" i="183"/>
  <c r="AR58" i="183"/>
  <c r="AR57" i="183"/>
  <c r="AR56" i="183"/>
  <c r="AQ54" i="183"/>
  <c r="AP54" i="183"/>
  <c r="AO54" i="183"/>
  <c r="AR53" i="183"/>
  <c r="AS53" i="183" s="1"/>
  <c r="AR52" i="183"/>
  <c r="AS52" i="183" s="1"/>
  <c r="AR44" i="183"/>
  <c r="AS44" i="183" s="1"/>
  <c r="AR42" i="183"/>
  <c r="AS42" i="183" s="1"/>
  <c r="AQ40" i="183"/>
  <c r="AQ45" i="183" s="1"/>
  <c r="AP40" i="183"/>
  <c r="AP45" i="183" s="1"/>
  <c r="AO40" i="183"/>
  <c r="AO45" i="183" s="1"/>
  <c r="AR39" i="183"/>
  <c r="AR38" i="183"/>
  <c r="AR37" i="183"/>
  <c r="AR36" i="183"/>
  <c r="AR35" i="183"/>
  <c r="AR34" i="183"/>
  <c r="AR33" i="183"/>
  <c r="AR32" i="183"/>
  <c r="AR31" i="183"/>
  <c r="AQ23" i="183"/>
  <c r="AP23" i="183"/>
  <c r="AO23" i="183"/>
  <c r="AR22" i="183"/>
  <c r="AS22" i="183" s="1"/>
  <c r="AR21" i="183"/>
  <c r="AS21" i="183" s="1"/>
  <c r="AR20" i="183"/>
  <c r="AS20" i="183" s="1"/>
  <c r="AR19" i="183"/>
  <c r="AS19" i="183" s="1"/>
  <c r="AR18" i="183"/>
  <c r="AS18" i="183" s="1"/>
  <c r="AQ16" i="183"/>
  <c r="AP16" i="183"/>
  <c r="AO16" i="183"/>
  <c r="AR15" i="183"/>
  <c r="AR14" i="183"/>
  <c r="AR13" i="183"/>
  <c r="AR12" i="183"/>
  <c r="AR11" i="183"/>
  <c r="AR10" i="183"/>
  <c r="AR9" i="183"/>
  <c r="AR8" i="183"/>
  <c r="AR7" i="183"/>
  <c r="AS123" i="184" l="1"/>
  <c r="AS105" i="184"/>
  <c r="AR108" i="184"/>
  <c r="AS108" i="184" s="1"/>
  <c r="AR62" i="184"/>
  <c r="AS62" i="184" s="1"/>
  <c r="AS56" i="184"/>
  <c r="AS54" i="184"/>
  <c r="AR40" i="184"/>
  <c r="AS31" i="184"/>
  <c r="AR24" i="184"/>
  <c r="AS24" i="184" s="1"/>
  <c r="AS23" i="184"/>
  <c r="AR108" i="183"/>
  <c r="AS108" i="183" s="1"/>
  <c r="AQ109" i="183"/>
  <c r="AS105" i="183"/>
  <c r="AO24" i="183"/>
  <c r="AR96" i="183"/>
  <c r="AS96" i="183" s="1"/>
  <c r="AP109" i="183"/>
  <c r="AQ24" i="183"/>
  <c r="AR123" i="183"/>
  <c r="AR103" i="183"/>
  <c r="AS103" i="183" s="1"/>
  <c r="AO109" i="183"/>
  <c r="AR76" i="183"/>
  <c r="AS76" i="183" s="1"/>
  <c r="AR62" i="183"/>
  <c r="AO85" i="183"/>
  <c r="AP85" i="183"/>
  <c r="AQ85" i="183"/>
  <c r="AR40" i="183"/>
  <c r="AP24" i="183"/>
  <c r="AR16" i="183"/>
  <c r="AS116" i="183"/>
  <c r="AR84" i="183"/>
  <c r="AR54" i="183"/>
  <c r="AR69" i="183"/>
  <c r="AS69" i="183" s="1"/>
  <c r="AR23" i="183"/>
  <c r="H37" i="21"/>
  <c r="E37" i="21"/>
  <c r="H35" i="21"/>
  <c r="E35" i="21"/>
  <c r="H33" i="21"/>
  <c r="E33" i="21"/>
  <c r="H31" i="21"/>
  <c r="E31" i="21"/>
  <c r="AE12" i="181"/>
  <c r="AE11" i="181"/>
  <c r="AE10" i="181"/>
  <c r="AE9" i="181"/>
  <c r="AE8" i="181"/>
  <c r="AE7" i="181"/>
  <c r="AE6" i="181"/>
  <c r="AE5" i="181"/>
  <c r="Q24" i="181"/>
  <c r="R24" i="181" s="1"/>
  <c r="R22" i="181"/>
  <c r="R20" i="181"/>
  <c r="Q18" i="181"/>
  <c r="R16" i="181"/>
  <c r="R14" i="181"/>
  <c r="R12" i="181"/>
  <c r="R10" i="181"/>
  <c r="R8" i="181"/>
  <c r="R6" i="181"/>
  <c r="Q3" i="181"/>
  <c r="AR109" i="184" l="1"/>
  <c r="AS109" i="184" s="1"/>
  <c r="AR85" i="184"/>
  <c r="AS40" i="184"/>
  <c r="AR45" i="184"/>
  <c r="AS45" i="184" s="1"/>
  <c r="AR45" i="183"/>
  <c r="AQ126" i="183"/>
  <c r="AO126" i="183"/>
  <c r="AR109" i="183"/>
  <c r="AS109" i="183" s="1"/>
  <c r="AP126" i="183"/>
  <c r="AR85" i="183"/>
  <c r="AS54" i="183"/>
  <c r="AR24" i="183"/>
  <c r="AS23" i="183"/>
  <c r="AE13" i="181"/>
  <c r="Q26" i="181"/>
  <c r="R26" i="181" s="1"/>
  <c r="R18" i="181"/>
  <c r="AR126" i="184" l="1"/>
  <c r="AR126" i="183"/>
  <c r="M51" i="48"/>
  <c r="M55" i="48" s="1"/>
  <c r="M2" i="48"/>
  <c r="M58" i="49"/>
  <c r="M42" i="50"/>
  <c r="M46" i="50" s="1"/>
  <c r="G19" i="259" l="1"/>
  <c r="P13" i="37"/>
  <c r="N13" i="37"/>
  <c r="R13" i="37" s="1"/>
  <c r="L13" i="37"/>
  <c r="M13" i="37" s="1"/>
  <c r="F13" i="37"/>
  <c r="P11" i="37"/>
  <c r="N11" i="37"/>
  <c r="L11" i="37"/>
  <c r="F11" i="37"/>
  <c r="P9" i="37"/>
  <c r="N9" i="37"/>
  <c r="L9" i="37"/>
  <c r="F9" i="37"/>
  <c r="P7" i="37"/>
  <c r="N7" i="37"/>
  <c r="R7" i="37" s="1"/>
  <c r="L7" i="37"/>
  <c r="F7" i="37"/>
  <c r="J51" i="35"/>
  <c r="J55" i="35" s="1"/>
  <c r="J53" i="34"/>
  <c r="J64" i="36"/>
  <c r="J68" i="36" s="1"/>
  <c r="M11" i="37" l="1"/>
  <c r="O11" i="37"/>
  <c r="G9" i="37"/>
  <c r="R11" i="37"/>
  <c r="Q11" i="37" s="1"/>
  <c r="G13" i="37"/>
  <c r="S13" i="37" s="1"/>
  <c r="R9" i="37"/>
  <c r="I9" i="37" s="1"/>
  <c r="G7" i="37"/>
  <c r="Q13" i="37"/>
  <c r="Q7" i="37"/>
  <c r="M7" i="37"/>
  <c r="S7" i="37" s="1"/>
  <c r="C7" i="37"/>
  <c r="K7" i="37"/>
  <c r="I7" i="37"/>
  <c r="E7" i="37"/>
  <c r="E9" i="37"/>
  <c r="C9" i="37"/>
  <c r="K9" i="37"/>
  <c r="K13" i="37"/>
  <c r="I13" i="37"/>
  <c r="E13" i="37"/>
  <c r="C13" i="37"/>
  <c r="I11" i="37"/>
  <c r="K11" i="37"/>
  <c r="O13" i="37"/>
  <c r="O7" i="37"/>
  <c r="C11" i="37"/>
  <c r="E11" i="37"/>
  <c r="G11" i="37"/>
  <c r="J13" i="33"/>
  <c r="I13" i="33"/>
  <c r="H13" i="33"/>
  <c r="G13" i="33"/>
  <c r="D13" i="33"/>
  <c r="I11" i="33"/>
  <c r="H11" i="33"/>
  <c r="J11" i="33" s="1"/>
  <c r="G11" i="33"/>
  <c r="D11" i="33"/>
  <c r="I9" i="33"/>
  <c r="H9" i="33"/>
  <c r="J9" i="33" s="1"/>
  <c r="G9" i="33"/>
  <c r="D9" i="33"/>
  <c r="I7" i="33"/>
  <c r="H7" i="33"/>
  <c r="J7" i="33" s="1"/>
  <c r="G7" i="33"/>
  <c r="D7" i="33"/>
  <c r="S9" i="37" l="1"/>
  <c r="S11" i="37"/>
  <c r="O9" i="37"/>
  <c r="Q9" i="37"/>
  <c r="M9" i="37"/>
  <c r="S26" i="29"/>
  <c r="Q26" i="29"/>
  <c r="O26" i="29"/>
  <c r="M26" i="29"/>
  <c r="K26" i="29"/>
  <c r="I26" i="29"/>
  <c r="G26" i="29"/>
  <c r="E26" i="29"/>
  <c r="S54" i="29"/>
  <c r="S53" i="29"/>
  <c r="R52" i="29"/>
  <c r="S51" i="29"/>
  <c r="S50" i="29"/>
  <c r="S49" i="29"/>
  <c r="S48" i="29"/>
  <c r="S47" i="29"/>
  <c r="S46" i="29"/>
  <c r="S45" i="29"/>
  <c r="S44" i="29"/>
  <c r="S43" i="29"/>
  <c r="S42" i="29"/>
  <c r="S41" i="29"/>
  <c r="S40" i="29"/>
  <c r="S39" i="29"/>
  <c r="S38" i="29"/>
  <c r="S37" i="29"/>
  <c r="S36" i="29"/>
  <c r="S35" i="29"/>
  <c r="S34" i="29"/>
  <c r="S33" i="29"/>
  <c r="S32" i="29"/>
  <c r="S31" i="29"/>
  <c r="S30" i="29"/>
  <c r="S29" i="29"/>
  <c r="S28" i="29"/>
  <c r="S27" i="29"/>
  <c r="S25" i="29"/>
  <c r="S24" i="29"/>
  <c r="S23" i="29"/>
  <c r="S22" i="29"/>
  <c r="S21" i="29"/>
  <c r="S20" i="29"/>
  <c r="S19" i="29"/>
  <c r="S18" i="29"/>
  <c r="S17" i="29"/>
  <c r="S16" i="29"/>
  <c r="S15" i="29"/>
  <c r="S14" i="29"/>
  <c r="S13" i="29"/>
  <c r="S12" i="29"/>
  <c r="S11" i="29"/>
  <c r="S10" i="29"/>
  <c r="S9" i="29"/>
  <c r="S8" i="29"/>
  <c r="S7" i="29"/>
  <c r="S6" i="29"/>
  <c r="J11" i="305"/>
  <c r="G116" i="274"/>
  <c r="AK116" i="274"/>
  <c r="AI116" i="274"/>
  <c r="AG116" i="274"/>
  <c r="AE116" i="274"/>
  <c r="AC116" i="274"/>
  <c r="AA116" i="274"/>
  <c r="Y116" i="274"/>
  <c r="W116" i="274"/>
  <c r="U116" i="274"/>
  <c r="S116" i="274"/>
  <c r="Q116" i="274"/>
  <c r="O116" i="274"/>
  <c r="M116" i="274"/>
  <c r="K116" i="274"/>
  <c r="I116" i="274"/>
  <c r="AJ144" i="274"/>
  <c r="AK144" i="274" s="1"/>
  <c r="AK143" i="274"/>
  <c r="AK142" i="274"/>
  <c r="AK141" i="274"/>
  <c r="AK140" i="274"/>
  <c r="AJ137" i="274"/>
  <c r="AK137" i="274" s="1"/>
  <c r="AK136" i="274"/>
  <c r="AK135" i="274"/>
  <c r="AK134" i="274"/>
  <c r="AK133" i="274"/>
  <c r="AK132" i="274"/>
  <c r="AK131" i="274"/>
  <c r="AK130" i="274"/>
  <c r="AK129" i="274"/>
  <c r="AK128" i="274"/>
  <c r="AK127" i="274"/>
  <c r="AK126" i="274"/>
  <c r="AK125" i="274"/>
  <c r="AK124" i="274"/>
  <c r="AK123" i="274"/>
  <c r="AJ121" i="274"/>
  <c r="AK120" i="274"/>
  <c r="AK119" i="274"/>
  <c r="AK118" i="274"/>
  <c r="AK117" i="274"/>
  <c r="AK115" i="274"/>
  <c r="AK114" i="274"/>
  <c r="AJ112" i="274"/>
  <c r="AJ109" i="274"/>
  <c r="AK109" i="274" s="1"/>
  <c r="AK108" i="274"/>
  <c r="AK107" i="274"/>
  <c r="AK106" i="274"/>
  <c r="AK105" i="274"/>
  <c r="AK104" i="274"/>
  <c r="AJ102" i="274"/>
  <c r="AK102" i="274" s="1"/>
  <c r="AK101" i="274"/>
  <c r="AK100" i="274"/>
  <c r="AK99" i="274"/>
  <c r="AK98" i="274"/>
  <c r="AK97" i="274"/>
  <c r="AK96" i="274"/>
  <c r="AK95" i="274"/>
  <c r="AJ93" i="274"/>
  <c r="AK93" i="274" s="1"/>
  <c r="AK92" i="274"/>
  <c r="AK91" i="274"/>
  <c r="AK90" i="274"/>
  <c r="AK89" i="274"/>
  <c r="AK88" i="274"/>
  <c r="AK87" i="274"/>
  <c r="AK86" i="274"/>
  <c r="AK85" i="274"/>
  <c r="AK84" i="274"/>
  <c r="AK83" i="274"/>
  <c r="AK82" i="274"/>
  <c r="AK81" i="274"/>
  <c r="AK80" i="274"/>
  <c r="AK79" i="274"/>
  <c r="AK78" i="274"/>
  <c r="AK77" i="274"/>
  <c r="AK76" i="274"/>
  <c r="AK75" i="274"/>
  <c r="AJ73" i="274"/>
  <c r="AJ70" i="274"/>
  <c r="AK70" i="274" s="1"/>
  <c r="AK69" i="274"/>
  <c r="AK68" i="274"/>
  <c r="AK67" i="274"/>
  <c r="AK66" i="274"/>
  <c r="AK65" i="274"/>
  <c r="AK64" i="274"/>
  <c r="AK63" i="274"/>
  <c r="AK62" i="274"/>
  <c r="AK61" i="274"/>
  <c r="AK60" i="274"/>
  <c r="AJ58" i="274"/>
  <c r="AK58" i="274" s="1"/>
  <c r="AK57" i="274"/>
  <c r="AK56" i="274"/>
  <c r="AK55" i="274"/>
  <c r="AJ53" i="274"/>
  <c r="AK53" i="274" s="1"/>
  <c r="AK52" i="274"/>
  <c r="AK51" i="274"/>
  <c r="AJ49" i="274"/>
  <c r="AK49" i="274" s="1"/>
  <c r="AK48" i="274"/>
  <c r="AK47" i="274"/>
  <c r="AK46" i="274"/>
  <c r="AK45" i="274"/>
  <c r="AJ43" i="274"/>
  <c r="AK43" i="274" s="1"/>
  <c r="AK42" i="274"/>
  <c r="AK41" i="274"/>
  <c r="AK40" i="274"/>
  <c r="AJ38" i="274"/>
  <c r="AJ35" i="274"/>
  <c r="AK35" i="274" s="1"/>
  <c r="AK34" i="274"/>
  <c r="AK33" i="274"/>
  <c r="AK32" i="274"/>
  <c r="AK31" i="274"/>
  <c r="AJ29" i="274"/>
  <c r="AK29" i="274" s="1"/>
  <c r="AK28" i="274"/>
  <c r="AK27" i="274"/>
  <c r="AK26" i="274"/>
  <c r="AK25" i="274"/>
  <c r="AK24" i="274"/>
  <c r="AJ22" i="274"/>
  <c r="AK22" i="274" s="1"/>
  <c r="AK21" i="274"/>
  <c r="AK20" i="274"/>
  <c r="AK19" i="274"/>
  <c r="AK18" i="274"/>
  <c r="AK17" i="274"/>
  <c r="AK16" i="274"/>
  <c r="AK15" i="274"/>
  <c r="AJ13" i="274"/>
  <c r="AK13" i="274" s="1"/>
  <c r="AK12" i="274"/>
  <c r="AK11" i="274"/>
  <c r="AK10" i="274"/>
  <c r="AK9" i="274"/>
  <c r="AK8" i="274"/>
  <c r="AK7" i="274"/>
  <c r="AK6" i="274"/>
  <c r="R56" i="29" l="1"/>
  <c r="AJ138" i="274"/>
  <c r="AJ110" i="274"/>
  <c r="AK110" i="274" s="1"/>
  <c r="AJ71" i="274"/>
  <c r="AK71" i="274" s="1"/>
  <c r="AJ36" i="274"/>
  <c r="AK36" i="274" s="1"/>
  <c r="R108" i="159"/>
  <c r="P108" i="159"/>
  <c r="N108" i="159"/>
  <c r="L108" i="159"/>
  <c r="J108" i="159"/>
  <c r="H108" i="159"/>
  <c r="F108" i="159"/>
  <c r="D108" i="159"/>
  <c r="AJ145" i="274" l="1"/>
  <c r="R134" i="159"/>
  <c r="R133" i="159"/>
  <c r="R132" i="159"/>
  <c r="R131" i="159"/>
  <c r="Q135" i="159"/>
  <c r="Q128" i="159"/>
  <c r="R127" i="159"/>
  <c r="R126" i="159"/>
  <c r="R125" i="159"/>
  <c r="R124" i="159"/>
  <c r="R123" i="159"/>
  <c r="R122" i="159"/>
  <c r="R121" i="159"/>
  <c r="R120" i="159"/>
  <c r="R119" i="159"/>
  <c r="R118" i="159"/>
  <c r="R117" i="159"/>
  <c r="R116" i="159"/>
  <c r="R115" i="159"/>
  <c r="Q113" i="159"/>
  <c r="R112" i="159"/>
  <c r="R111" i="159"/>
  <c r="R110" i="159"/>
  <c r="R109" i="159"/>
  <c r="R107" i="159"/>
  <c r="R106" i="159"/>
  <c r="Q104" i="159"/>
  <c r="Q101" i="159"/>
  <c r="R100" i="159"/>
  <c r="R99" i="159"/>
  <c r="R98" i="159"/>
  <c r="R97" i="159"/>
  <c r="R96" i="159"/>
  <c r="Q94" i="159"/>
  <c r="R94" i="159" s="1"/>
  <c r="R93" i="159"/>
  <c r="R92" i="159"/>
  <c r="R91" i="159"/>
  <c r="R90" i="159"/>
  <c r="R89" i="159"/>
  <c r="R88" i="159"/>
  <c r="Q86" i="159"/>
  <c r="R86" i="159" s="1"/>
  <c r="R85" i="159"/>
  <c r="R84" i="159"/>
  <c r="R83" i="159"/>
  <c r="R82" i="159"/>
  <c r="R81" i="159"/>
  <c r="R80" i="159"/>
  <c r="R79" i="159"/>
  <c r="R78" i="159"/>
  <c r="R77" i="159"/>
  <c r="R76" i="159"/>
  <c r="R75" i="159"/>
  <c r="R74" i="159"/>
  <c r="R73" i="159"/>
  <c r="R72" i="159"/>
  <c r="Q70" i="159"/>
  <c r="Q67" i="159"/>
  <c r="R67" i="159" s="1"/>
  <c r="R66" i="159"/>
  <c r="R65" i="159"/>
  <c r="R64" i="159"/>
  <c r="R63" i="159"/>
  <c r="R62" i="159"/>
  <c r="R61" i="159"/>
  <c r="R60" i="159"/>
  <c r="R59" i="159"/>
  <c r="R58" i="159"/>
  <c r="R57" i="159"/>
  <c r="Q55" i="159"/>
  <c r="R55" i="159" s="1"/>
  <c r="R54" i="159"/>
  <c r="R53" i="159"/>
  <c r="R52" i="159"/>
  <c r="Q50" i="159"/>
  <c r="R50" i="159" s="1"/>
  <c r="R49" i="159"/>
  <c r="R48" i="159"/>
  <c r="Q46" i="159"/>
  <c r="R46" i="159" s="1"/>
  <c r="R45" i="159"/>
  <c r="R44" i="159"/>
  <c r="R43" i="159"/>
  <c r="Q41" i="159"/>
  <c r="R41" i="159" s="1"/>
  <c r="R40" i="159"/>
  <c r="R39" i="159"/>
  <c r="Q37" i="159"/>
  <c r="Q34" i="159"/>
  <c r="R34" i="159" s="1"/>
  <c r="R33" i="159"/>
  <c r="R32" i="159"/>
  <c r="R31" i="159"/>
  <c r="R30" i="159"/>
  <c r="Q28" i="159"/>
  <c r="R28" i="159" s="1"/>
  <c r="R27" i="159"/>
  <c r="R26" i="159"/>
  <c r="R25" i="159"/>
  <c r="R24" i="159"/>
  <c r="Q22" i="159"/>
  <c r="R22" i="159" s="1"/>
  <c r="R21" i="159"/>
  <c r="R20" i="159"/>
  <c r="R19" i="159"/>
  <c r="R18" i="159"/>
  <c r="R17" i="159"/>
  <c r="R16" i="159"/>
  <c r="R15" i="159"/>
  <c r="Q13" i="159"/>
  <c r="R13" i="159" s="1"/>
  <c r="R12" i="159"/>
  <c r="R11" i="159"/>
  <c r="R10" i="159"/>
  <c r="R9" i="159"/>
  <c r="R8" i="159"/>
  <c r="R7" i="159"/>
  <c r="R6" i="159"/>
  <c r="Q4" i="159"/>
  <c r="Q68" i="159" l="1"/>
  <c r="R68" i="159" s="1"/>
  <c r="Q102" i="159"/>
  <c r="R102" i="159" s="1"/>
  <c r="Q129" i="159"/>
  <c r="R135" i="159"/>
  <c r="R128" i="159"/>
  <c r="R101" i="159"/>
  <c r="Q35" i="159"/>
  <c r="R35" i="159" s="1"/>
  <c r="AO81" i="161"/>
  <c r="N77" i="160"/>
  <c r="AR81" i="160"/>
  <c r="AS81" i="160" s="1"/>
  <c r="AM81" i="160"/>
  <c r="AN81" i="160"/>
  <c r="AH81" i="160"/>
  <c r="AI81" i="160" s="1"/>
  <c r="AC81" i="160"/>
  <c r="AD81" i="160" s="1"/>
  <c r="X81" i="160"/>
  <c r="Y81" i="160"/>
  <c r="S81" i="160"/>
  <c r="T81" i="160"/>
  <c r="N81" i="160"/>
  <c r="O81" i="160" s="1"/>
  <c r="I81" i="160"/>
  <c r="J81" i="160"/>
  <c r="E81" i="160"/>
  <c r="AQ81" i="161"/>
  <c r="AP81" i="161"/>
  <c r="AL81" i="161"/>
  <c r="AK81" i="161"/>
  <c r="AJ81" i="161"/>
  <c r="AG81" i="161"/>
  <c r="AF81" i="161"/>
  <c r="AE81" i="161"/>
  <c r="AB81" i="161"/>
  <c r="AA81" i="161"/>
  <c r="Z81" i="161"/>
  <c r="W81" i="161"/>
  <c r="V81" i="161"/>
  <c r="U81" i="161"/>
  <c r="AQ78" i="161"/>
  <c r="AP78" i="161"/>
  <c r="AO78" i="161"/>
  <c r="AL78" i="161"/>
  <c r="AK78" i="161"/>
  <c r="AJ78" i="161"/>
  <c r="AM78" i="161" s="1"/>
  <c r="AG78" i="161"/>
  <c r="AF78" i="161"/>
  <c r="AE78" i="161"/>
  <c r="AB78" i="161"/>
  <c r="AA78" i="161"/>
  <c r="Z78" i="161"/>
  <c r="W78" i="161"/>
  <c r="V78" i="161"/>
  <c r="U78" i="161"/>
  <c r="R78" i="161"/>
  <c r="Q78" i="161"/>
  <c r="S78" i="161" s="1"/>
  <c r="P78" i="161"/>
  <c r="M78" i="161"/>
  <c r="L78" i="161"/>
  <c r="K78" i="161"/>
  <c r="N78" i="161" s="1"/>
  <c r="H78" i="161"/>
  <c r="G78" i="161"/>
  <c r="F78" i="161"/>
  <c r="D78" i="161"/>
  <c r="C78" i="161"/>
  <c r="B78" i="161"/>
  <c r="AR78" i="160"/>
  <c r="AS78" i="160" s="1"/>
  <c r="AM78" i="160"/>
  <c r="AH78" i="160"/>
  <c r="AC78" i="160"/>
  <c r="AI78" i="160" s="1"/>
  <c r="X78" i="160"/>
  <c r="S78" i="160"/>
  <c r="Y78" i="160" s="1"/>
  <c r="N78" i="160"/>
  <c r="T78" i="160" s="1"/>
  <c r="I78" i="160"/>
  <c r="O78" i="160" s="1"/>
  <c r="E78" i="160"/>
  <c r="AQ121" i="160"/>
  <c r="AO83" i="160"/>
  <c r="AP121" i="160"/>
  <c r="AO121" i="160"/>
  <c r="AR120" i="160"/>
  <c r="AR119" i="160"/>
  <c r="AR118" i="160"/>
  <c r="AR117" i="160"/>
  <c r="AR116" i="160"/>
  <c r="AR115" i="160"/>
  <c r="AR114" i="160"/>
  <c r="AR113" i="160"/>
  <c r="AR112" i="160"/>
  <c r="AR111" i="160"/>
  <c r="AQ106" i="160"/>
  <c r="AP106" i="160"/>
  <c r="AO106" i="160"/>
  <c r="AR105" i="160"/>
  <c r="AR104" i="160"/>
  <c r="AR103" i="160"/>
  <c r="AQ101" i="160"/>
  <c r="AP101" i="160"/>
  <c r="AO101" i="160"/>
  <c r="AR100" i="160"/>
  <c r="AR99" i="160"/>
  <c r="AR98" i="160"/>
  <c r="AR97" i="160"/>
  <c r="AQ95" i="160"/>
  <c r="AP95" i="160"/>
  <c r="AO95" i="160"/>
  <c r="AR94" i="160"/>
  <c r="AR93" i="160"/>
  <c r="AR91" i="160"/>
  <c r="AQ83" i="160"/>
  <c r="AP83" i="160"/>
  <c r="AR82" i="160"/>
  <c r="AR79" i="160"/>
  <c r="AR77" i="160"/>
  <c r="AQ75" i="160"/>
  <c r="AP75" i="160"/>
  <c r="AO75" i="160"/>
  <c r="AR74" i="160"/>
  <c r="AR73" i="160"/>
  <c r="AR72" i="160"/>
  <c r="AR71" i="160"/>
  <c r="AR70" i="160"/>
  <c r="AQ68" i="160"/>
  <c r="AP68" i="160"/>
  <c r="AO68" i="160"/>
  <c r="AR67" i="160"/>
  <c r="AR66" i="160"/>
  <c r="AR65" i="160"/>
  <c r="AR64" i="160"/>
  <c r="AR63" i="160"/>
  <c r="AQ61" i="160"/>
  <c r="AP61" i="160"/>
  <c r="AO61" i="160"/>
  <c r="AR60" i="160"/>
  <c r="AR59" i="160"/>
  <c r="AR58" i="160"/>
  <c r="AR57" i="160"/>
  <c r="AR56" i="160"/>
  <c r="AQ54" i="160"/>
  <c r="AP54" i="160"/>
  <c r="AO54" i="160"/>
  <c r="AR53" i="160"/>
  <c r="AR52" i="160"/>
  <c r="AR51" i="160"/>
  <c r="AR43" i="160"/>
  <c r="AR41" i="160"/>
  <c r="AQ39" i="160"/>
  <c r="AQ44" i="160" s="1"/>
  <c r="AP39" i="160"/>
  <c r="AP44" i="160" s="1"/>
  <c r="AO39" i="160"/>
  <c r="AO44" i="160" s="1"/>
  <c r="AR38" i="160"/>
  <c r="AR37" i="160"/>
  <c r="AR36" i="160"/>
  <c r="AR35" i="160"/>
  <c r="AR34" i="160"/>
  <c r="AR33" i="160"/>
  <c r="AR32" i="160"/>
  <c r="AR31" i="160"/>
  <c r="AR30" i="160"/>
  <c r="AO28" i="160"/>
  <c r="AO49" i="160" s="1"/>
  <c r="AO89" i="160" s="1"/>
  <c r="AQ22" i="160"/>
  <c r="AP22" i="160"/>
  <c r="AO22" i="160"/>
  <c r="AR21" i="160"/>
  <c r="AR20" i="160"/>
  <c r="AR19" i="160"/>
  <c r="AR18" i="160"/>
  <c r="AR17" i="160"/>
  <c r="AQ15" i="160"/>
  <c r="AP15" i="160"/>
  <c r="AO15" i="160"/>
  <c r="AR14" i="160"/>
  <c r="AR13" i="160"/>
  <c r="AR12" i="160"/>
  <c r="AR11" i="160"/>
  <c r="AR10" i="160"/>
  <c r="AR9" i="160"/>
  <c r="AR8" i="160"/>
  <c r="AR7" i="160"/>
  <c r="AQ120" i="161"/>
  <c r="AP120" i="161"/>
  <c r="AO120" i="161"/>
  <c r="AQ119" i="161"/>
  <c r="AP119" i="161"/>
  <c r="AO119" i="161"/>
  <c r="AQ118" i="161"/>
  <c r="AP118" i="161"/>
  <c r="AO118" i="161"/>
  <c r="AQ117" i="161"/>
  <c r="AP117" i="161"/>
  <c r="AO117" i="161"/>
  <c r="AQ116" i="161"/>
  <c r="AP116" i="161"/>
  <c r="AO116" i="161"/>
  <c r="AQ115" i="161"/>
  <c r="AP115" i="161"/>
  <c r="AO115" i="161"/>
  <c r="AQ114" i="161"/>
  <c r="AP114" i="161"/>
  <c r="AO114" i="161"/>
  <c r="AQ113" i="161"/>
  <c r="AP113" i="161"/>
  <c r="AO113" i="161"/>
  <c r="AQ112" i="161"/>
  <c r="AP112" i="161"/>
  <c r="AO112" i="161"/>
  <c r="AQ111" i="161"/>
  <c r="AP111" i="161"/>
  <c r="AO111" i="161"/>
  <c r="AQ105" i="161"/>
  <c r="AP105" i="161"/>
  <c r="AO105" i="161"/>
  <c r="AQ104" i="161"/>
  <c r="AP104" i="161"/>
  <c r="AO104" i="161"/>
  <c r="AQ103" i="161"/>
  <c r="AP103" i="161"/>
  <c r="AO103" i="161"/>
  <c r="AQ100" i="161"/>
  <c r="AP100" i="161"/>
  <c r="AO100" i="161"/>
  <c r="AQ99" i="161"/>
  <c r="AP99" i="161"/>
  <c r="AO99" i="161"/>
  <c r="AQ98" i="161"/>
  <c r="AP98" i="161"/>
  <c r="AO98" i="161"/>
  <c r="AQ97" i="161"/>
  <c r="AP97" i="161"/>
  <c r="AO97" i="161"/>
  <c r="AQ94" i="161"/>
  <c r="AP94" i="161"/>
  <c r="AO94" i="161"/>
  <c r="AQ93" i="161"/>
  <c r="AP93" i="161"/>
  <c r="AO93" i="161"/>
  <c r="AQ91" i="161"/>
  <c r="AP91" i="161"/>
  <c r="AO91" i="161"/>
  <c r="AQ82" i="161"/>
  <c r="AP82" i="161"/>
  <c r="AO82" i="161"/>
  <c r="AQ80" i="161"/>
  <c r="AP80" i="161"/>
  <c r="AO80" i="161"/>
  <c r="AQ79" i="161"/>
  <c r="AP79" i="161"/>
  <c r="AO79" i="161"/>
  <c r="AQ77" i="161"/>
  <c r="AP77" i="161"/>
  <c r="AO77" i="161"/>
  <c r="AQ74" i="161"/>
  <c r="AP74" i="161"/>
  <c r="AO74" i="161"/>
  <c r="AQ73" i="161"/>
  <c r="AP73" i="161"/>
  <c r="AO73" i="161"/>
  <c r="AQ72" i="161"/>
  <c r="AP72" i="161"/>
  <c r="AO72" i="161"/>
  <c r="AQ71" i="161"/>
  <c r="AP71" i="161"/>
  <c r="AO71" i="161"/>
  <c r="AQ70" i="161"/>
  <c r="AP70" i="161"/>
  <c r="AO70" i="161"/>
  <c r="AQ67" i="161"/>
  <c r="AP67" i="161"/>
  <c r="AO67" i="161"/>
  <c r="AQ66" i="161"/>
  <c r="AP66" i="161"/>
  <c r="AO66" i="161"/>
  <c r="AQ65" i="161"/>
  <c r="AP65" i="161"/>
  <c r="AO65" i="161"/>
  <c r="AQ64" i="161"/>
  <c r="AP64" i="161"/>
  <c r="AO64" i="161"/>
  <c r="AQ63" i="161"/>
  <c r="AP63" i="161"/>
  <c r="AO63" i="161"/>
  <c r="AQ60" i="161"/>
  <c r="AP60" i="161"/>
  <c r="AO60" i="161"/>
  <c r="AQ59" i="161"/>
  <c r="AP59" i="161"/>
  <c r="AO59" i="161"/>
  <c r="AQ58" i="161"/>
  <c r="AP58" i="161"/>
  <c r="AO58" i="161"/>
  <c r="AQ57" i="161"/>
  <c r="AP57" i="161"/>
  <c r="AO57" i="161"/>
  <c r="AQ56" i="161"/>
  <c r="AP56" i="161"/>
  <c r="AO56" i="161"/>
  <c r="AQ53" i="161"/>
  <c r="AP53" i="161"/>
  <c r="AO53" i="161"/>
  <c r="AQ52" i="161"/>
  <c r="AP52" i="161"/>
  <c r="AO52" i="161"/>
  <c r="AQ51" i="161"/>
  <c r="AP51" i="161"/>
  <c r="AO51" i="161"/>
  <c r="AQ43" i="161"/>
  <c r="AP43" i="161"/>
  <c r="AO43" i="161"/>
  <c r="AQ41" i="161"/>
  <c r="AP41" i="161"/>
  <c r="AO41" i="161"/>
  <c r="AQ38" i="161"/>
  <c r="AP38" i="161"/>
  <c r="AO38" i="161"/>
  <c r="AQ37" i="161"/>
  <c r="AP37" i="161"/>
  <c r="AO37" i="161"/>
  <c r="AQ36" i="161"/>
  <c r="AP36" i="161"/>
  <c r="AO36" i="161"/>
  <c r="AQ35" i="161"/>
  <c r="AP35" i="161"/>
  <c r="AO35" i="161"/>
  <c r="AQ34" i="161"/>
  <c r="AP34" i="161"/>
  <c r="AO34" i="161"/>
  <c r="AQ33" i="161"/>
  <c r="AP33" i="161"/>
  <c r="AO33" i="161"/>
  <c r="AQ32" i="161"/>
  <c r="AP32" i="161"/>
  <c r="AO32" i="161"/>
  <c r="AQ31" i="161"/>
  <c r="AP31" i="161"/>
  <c r="AO31" i="161"/>
  <c r="AQ30" i="161"/>
  <c r="AP30" i="161"/>
  <c r="AO30" i="161"/>
  <c r="AO28" i="161"/>
  <c r="AO49" i="161" s="1"/>
  <c r="AO89" i="161" s="1"/>
  <c r="AQ21" i="161"/>
  <c r="AP21" i="161"/>
  <c r="AO21" i="161"/>
  <c r="AQ20" i="161"/>
  <c r="AP20" i="161"/>
  <c r="AO20" i="161"/>
  <c r="AQ19" i="161"/>
  <c r="AP19" i="161"/>
  <c r="AO19" i="161"/>
  <c r="AQ18" i="161"/>
  <c r="AP18" i="161"/>
  <c r="AO18" i="161"/>
  <c r="AQ17" i="161"/>
  <c r="AP17" i="161"/>
  <c r="AO17" i="161"/>
  <c r="AQ14" i="161"/>
  <c r="AP14" i="161"/>
  <c r="AO14" i="161"/>
  <c r="AQ13" i="161"/>
  <c r="AP13" i="161"/>
  <c r="AO13" i="161"/>
  <c r="AQ12" i="161"/>
  <c r="AP12" i="161"/>
  <c r="AO12" i="161"/>
  <c r="AQ11" i="161"/>
  <c r="AP11" i="161"/>
  <c r="AO11" i="161"/>
  <c r="AQ10" i="161"/>
  <c r="AP10" i="161"/>
  <c r="AO10" i="161"/>
  <c r="AQ9" i="161"/>
  <c r="AP9" i="161"/>
  <c r="AO9" i="161"/>
  <c r="AQ8" i="161"/>
  <c r="AP8" i="161"/>
  <c r="AO8" i="161"/>
  <c r="AQ7" i="161"/>
  <c r="AP7" i="161"/>
  <c r="AO7" i="161"/>
  <c r="Q136" i="159" l="1"/>
  <c r="AR81" i="161"/>
  <c r="AM81" i="161"/>
  <c r="AH81" i="161"/>
  <c r="AN81" i="161" s="1"/>
  <c r="AC81" i="161"/>
  <c r="AI81" i="161" s="1"/>
  <c r="X81" i="161"/>
  <c r="Y81" i="161"/>
  <c r="E78" i="161"/>
  <c r="AC78" i="161"/>
  <c r="AR78" i="161"/>
  <c r="T78" i="161"/>
  <c r="AR80" i="161"/>
  <c r="J78" i="160"/>
  <c r="AN78" i="160"/>
  <c r="X78" i="161"/>
  <c r="I78" i="161"/>
  <c r="O78" i="161" s="1"/>
  <c r="AH78" i="161"/>
  <c r="AN78" i="161" s="1"/>
  <c r="AS78" i="161"/>
  <c r="AD78" i="160"/>
  <c r="AR114" i="161"/>
  <c r="AP121" i="161"/>
  <c r="AQ106" i="161"/>
  <c r="AR106" i="160"/>
  <c r="AR99" i="161"/>
  <c r="AQ107" i="160"/>
  <c r="AO107" i="160"/>
  <c r="AQ95" i="161"/>
  <c r="AR80" i="160"/>
  <c r="AQ83" i="161"/>
  <c r="AR72" i="161"/>
  <c r="AQ75" i="161"/>
  <c r="AR68" i="160"/>
  <c r="AR64" i="161"/>
  <c r="AR61" i="160"/>
  <c r="AR52" i="161"/>
  <c r="AR54" i="160"/>
  <c r="AR41" i="161"/>
  <c r="AR38" i="161"/>
  <c r="AR34" i="161"/>
  <c r="AR19" i="161"/>
  <c r="AR18" i="161"/>
  <c r="AO23" i="160"/>
  <c r="AR8" i="161"/>
  <c r="AP23" i="160"/>
  <c r="AR20" i="161"/>
  <c r="AR14" i="161"/>
  <c r="AR12" i="161"/>
  <c r="AR7" i="161"/>
  <c r="AR112" i="161"/>
  <c r="AR120" i="161"/>
  <c r="AR115" i="161"/>
  <c r="AQ121" i="161"/>
  <c r="AR116" i="161"/>
  <c r="AR119" i="161"/>
  <c r="AP107" i="160"/>
  <c r="AR101" i="160"/>
  <c r="AP101" i="161"/>
  <c r="AR100" i="161"/>
  <c r="AQ101" i="161"/>
  <c r="AR95" i="160"/>
  <c r="AO95" i="161"/>
  <c r="AP75" i="161"/>
  <c r="AR73" i="161"/>
  <c r="AP84" i="160"/>
  <c r="AR75" i="160"/>
  <c r="AP68" i="161"/>
  <c r="AR66" i="161"/>
  <c r="AQ68" i="161"/>
  <c r="AR65" i="161"/>
  <c r="AQ84" i="160"/>
  <c r="AQ61" i="161"/>
  <c r="AR57" i="161"/>
  <c r="AO84" i="160"/>
  <c r="AO124" i="160" s="1"/>
  <c r="AR35" i="161"/>
  <c r="AR39" i="160"/>
  <c r="AQ39" i="161"/>
  <c r="AQ44" i="161" s="1"/>
  <c r="AR36" i="161"/>
  <c r="AR31" i="161"/>
  <c r="AR21" i="161"/>
  <c r="AR15" i="160"/>
  <c r="AR10" i="161"/>
  <c r="AR13" i="161"/>
  <c r="AQ23" i="160"/>
  <c r="AR121" i="160"/>
  <c r="AP95" i="161"/>
  <c r="AO101" i="161"/>
  <c r="AO106" i="161"/>
  <c r="AP106" i="161"/>
  <c r="AR94" i="161"/>
  <c r="AR117" i="161"/>
  <c r="AR103" i="161"/>
  <c r="AR105" i="161"/>
  <c r="AR113" i="161"/>
  <c r="AR118" i="161"/>
  <c r="AR104" i="161"/>
  <c r="AR111" i="161"/>
  <c r="AR59" i="161"/>
  <c r="AR71" i="161"/>
  <c r="AR79" i="161"/>
  <c r="AO54" i="161"/>
  <c r="AR60" i="161"/>
  <c r="AR67" i="161"/>
  <c r="AR74" i="161"/>
  <c r="AP54" i="161"/>
  <c r="AR51" i="161"/>
  <c r="AQ54" i="161"/>
  <c r="AR58" i="161"/>
  <c r="AR56" i="161"/>
  <c r="AO68" i="161"/>
  <c r="AO83" i="161"/>
  <c r="AP61" i="161"/>
  <c r="AR70" i="161"/>
  <c r="AP83" i="161"/>
  <c r="AR82" i="161"/>
  <c r="AP39" i="161"/>
  <c r="AP44" i="161" s="1"/>
  <c r="AR33" i="161"/>
  <c r="AR32" i="161"/>
  <c r="AR37" i="161"/>
  <c r="AO39" i="161"/>
  <c r="AO44" i="161" s="1"/>
  <c r="AR22" i="160"/>
  <c r="AO15" i="161"/>
  <c r="AR9" i="161"/>
  <c r="AO22" i="161"/>
  <c r="AP22" i="161"/>
  <c r="AQ22" i="161"/>
  <c r="AQ15" i="161"/>
  <c r="AR11" i="161"/>
  <c r="AR91" i="161"/>
  <c r="AR98" i="161"/>
  <c r="AR97" i="161"/>
  <c r="AR93" i="161"/>
  <c r="AO121" i="161"/>
  <c r="AR53" i="161"/>
  <c r="AO61" i="161"/>
  <c r="AR63" i="161"/>
  <c r="AO75" i="161"/>
  <c r="AR77" i="161"/>
  <c r="AR43" i="161"/>
  <c r="AR30" i="161"/>
  <c r="AR17" i="161"/>
  <c r="AP15" i="161"/>
  <c r="AS81" i="161" l="1"/>
  <c r="AD81" i="161"/>
  <c r="AD78" i="161"/>
  <c r="AI78" i="161"/>
  <c r="Y78" i="161"/>
  <c r="J78" i="161"/>
  <c r="AQ107" i="161"/>
  <c r="AR106" i="161"/>
  <c r="AO107" i="161"/>
  <c r="AP124" i="160"/>
  <c r="AR83" i="160"/>
  <c r="AR61" i="161"/>
  <c r="AQ84" i="161"/>
  <c r="AQ124" i="160"/>
  <c r="AP23" i="161"/>
  <c r="AQ23" i="161"/>
  <c r="AP107" i="161"/>
  <c r="AR107" i="160"/>
  <c r="AO84" i="161"/>
  <c r="AR44" i="160"/>
  <c r="AO23" i="161"/>
  <c r="AR121" i="161"/>
  <c r="AP84" i="161"/>
  <c r="AR75" i="161"/>
  <c r="AR15" i="161"/>
  <c r="AR23" i="160"/>
  <c r="AR95" i="161"/>
  <c r="AR101" i="161"/>
  <c r="AR68" i="161"/>
  <c r="AR54" i="161"/>
  <c r="AR83" i="161"/>
  <c r="AR39" i="161"/>
  <c r="AR22" i="161"/>
  <c r="AR84" i="160" l="1"/>
  <c r="AQ124" i="161"/>
  <c r="AO124" i="161"/>
  <c r="AP124" i="161"/>
  <c r="AR107" i="161"/>
  <c r="AR84" i="161"/>
  <c r="AR44" i="161"/>
  <c r="AR23" i="161"/>
  <c r="H20" i="21"/>
  <c r="E20" i="21"/>
  <c r="AR124" i="160" l="1"/>
  <c r="AR124" i="161"/>
  <c r="Z11" i="239"/>
  <c r="AA11" i="239" s="1"/>
  <c r="AA9" i="239"/>
  <c r="AA7" i="239"/>
  <c r="AA5" i="239"/>
  <c r="K44" i="281"/>
  <c r="Q44" i="281" s="1"/>
  <c r="J44" i="281"/>
  <c r="P44" i="281" s="1"/>
  <c r="I44" i="281"/>
  <c r="O44" i="281" s="1"/>
  <c r="Q27" i="279"/>
  <c r="P27" i="279" s="1"/>
  <c r="J27" i="279"/>
  <c r="Q19" i="279"/>
  <c r="N19" i="279" s="1"/>
  <c r="P19" i="279"/>
  <c r="J19" i="279"/>
  <c r="H19" i="279"/>
  <c r="Q11" i="279"/>
  <c r="N11" i="279" s="1"/>
  <c r="P11" i="279"/>
  <c r="J11" i="279"/>
  <c r="H11" i="279"/>
  <c r="F54" i="278"/>
  <c r="D54" i="278"/>
  <c r="G36" i="278"/>
  <c r="D36" i="278" s="1"/>
  <c r="F36" i="278"/>
  <c r="G18" i="278"/>
  <c r="F18" i="278" s="1"/>
  <c r="G17" i="277"/>
  <c r="F17" i="277"/>
  <c r="D17" i="277"/>
  <c r="L27" i="279" l="1"/>
  <c r="F27" i="279"/>
  <c r="N27" i="279"/>
  <c r="D27" i="279"/>
  <c r="H27" i="279"/>
  <c r="D19" i="279"/>
  <c r="L19" i="279"/>
  <c r="F19" i="279"/>
  <c r="D11" i="279"/>
  <c r="L11" i="279"/>
  <c r="F11" i="279"/>
  <c r="D18" i="278"/>
  <c r="T115" i="323"/>
  <c r="R115" i="323"/>
  <c r="P115" i="323"/>
  <c r="N115" i="323"/>
  <c r="J115" i="323"/>
  <c r="S138" i="323" l="1"/>
  <c r="V138" i="323" s="1"/>
  <c r="T137" i="323"/>
  <c r="T136" i="323"/>
  <c r="T135" i="323"/>
  <c r="T134" i="323"/>
  <c r="T133" i="323"/>
  <c r="T132" i="323"/>
  <c r="T131" i="323"/>
  <c r="T130" i="323"/>
  <c r="T129" i="323"/>
  <c r="S126" i="323"/>
  <c r="V126" i="323" s="1"/>
  <c r="T125" i="323"/>
  <c r="T124" i="323"/>
  <c r="T123" i="323"/>
  <c r="T122" i="323"/>
  <c r="T121" i="323"/>
  <c r="T120" i="323"/>
  <c r="T119" i="323"/>
  <c r="T118" i="323"/>
  <c r="T117" i="323"/>
  <c r="T116" i="323"/>
  <c r="T114" i="323"/>
  <c r="S112" i="323"/>
  <c r="T111" i="323"/>
  <c r="T110" i="323"/>
  <c r="T109" i="323"/>
  <c r="T108" i="323"/>
  <c r="T107" i="323"/>
  <c r="T105" i="323"/>
  <c r="T104" i="323"/>
  <c r="S99" i="323"/>
  <c r="V99" i="323" s="1"/>
  <c r="T98" i="323"/>
  <c r="T97" i="323"/>
  <c r="T96" i="323"/>
  <c r="T95" i="323"/>
  <c r="T94" i="323"/>
  <c r="S92" i="323"/>
  <c r="T91" i="323"/>
  <c r="T90" i="323"/>
  <c r="T89" i="323"/>
  <c r="T88" i="323"/>
  <c r="T87" i="323"/>
  <c r="T86" i="323"/>
  <c r="T85" i="323"/>
  <c r="S83" i="323"/>
  <c r="T82" i="323"/>
  <c r="T81" i="323"/>
  <c r="T80" i="323"/>
  <c r="T79" i="323"/>
  <c r="T78" i="323"/>
  <c r="T77" i="323"/>
  <c r="T76" i="323"/>
  <c r="T75" i="323"/>
  <c r="T74" i="323"/>
  <c r="T73" i="323"/>
  <c r="T72" i="323"/>
  <c r="T71" i="323"/>
  <c r="T70" i="323"/>
  <c r="T69" i="323"/>
  <c r="S64" i="323"/>
  <c r="V64" i="323" s="1"/>
  <c r="T63" i="323"/>
  <c r="T62" i="323"/>
  <c r="T61" i="323"/>
  <c r="T60" i="323"/>
  <c r="T59" i="323"/>
  <c r="T58" i="323"/>
  <c r="T57" i="323"/>
  <c r="T56" i="323"/>
  <c r="T55" i="323"/>
  <c r="T54" i="323"/>
  <c r="S52" i="323"/>
  <c r="T51" i="323"/>
  <c r="T50" i="323"/>
  <c r="T49" i="323"/>
  <c r="S47" i="323"/>
  <c r="T46" i="323"/>
  <c r="T45" i="323"/>
  <c r="S43" i="323"/>
  <c r="T42" i="323"/>
  <c r="T41" i="323"/>
  <c r="T40" i="323"/>
  <c r="T39" i="323"/>
  <c r="S37" i="323"/>
  <c r="T36" i="323"/>
  <c r="T35" i="323"/>
  <c r="S30" i="323"/>
  <c r="T29" i="323"/>
  <c r="T28" i="323"/>
  <c r="T27" i="323"/>
  <c r="S25" i="323"/>
  <c r="V25" i="323" s="1"/>
  <c r="T24" i="323"/>
  <c r="T23" i="323"/>
  <c r="T22" i="323"/>
  <c r="T21" i="323"/>
  <c r="T20" i="323"/>
  <c r="S18" i="323"/>
  <c r="T17" i="323"/>
  <c r="T16" i="323"/>
  <c r="T15" i="323"/>
  <c r="T14" i="323"/>
  <c r="T13" i="323"/>
  <c r="T12" i="323"/>
  <c r="T11" i="323"/>
  <c r="S9" i="323"/>
  <c r="T8" i="323"/>
  <c r="T7" i="323"/>
  <c r="T6" i="323"/>
  <c r="T5" i="323"/>
  <c r="AG107" i="330"/>
  <c r="AF107" i="330"/>
  <c r="AE107" i="330"/>
  <c r="AC107" i="330"/>
  <c r="AB107" i="330"/>
  <c r="AA107" i="330"/>
  <c r="Z107" i="330"/>
  <c r="W107" i="330"/>
  <c r="V107" i="330"/>
  <c r="U107" i="330"/>
  <c r="R107" i="330"/>
  <c r="Q107" i="330"/>
  <c r="P107" i="330"/>
  <c r="M107" i="330"/>
  <c r="L107" i="330"/>
  <c r="K107" i="330"/>
  <c r="H107" i="330"/>
  <c r="G107" i="330"/>
  <c r="F107" i="330"/>
  <c r="I107" i="330" s="1"/>
  <c r="D107" i="330"/>
  <c r="C107" i="330"/>
  <c r="B107" i="330"/>
  <c r="AM107" i="329"/>
  <c r="AH107" i="329"/>
  <c r="AN107" i="329" s="1"/>
  <c r="AC107" i="329"/>
  <c r="AD107" i="329" s="1"/>
  <c r="X107" i="329"/>
  <c r="S107" i="329"/>
  <c r="N107" i="329"/>
  <c r="I107" i="329"/>
  <c r="E107" i="329"/>
  <c r="AH18" i="330"/>
  <c r="AN18" i="330" s="1"/>
  <c r="AC18" i="330"/>
  <c r="X18" i="330"/>
  <c r="S18" i="330"/>
  <c r="N18" i="330"/>
  <c r="I18" i="330"/>
  <c r="E18" i="330"/>
  <c r="AM18" i="329"/>
  <c r="AH18" i="329"/>
  <c r="AC18" i="329"/>
  <c r="X18" i="329"/>
  <c r="S18" i="329"/>
  <c r="N18" i="329"/>
  <c r="I18" i="329"/>
  <c r="E18" i="329"/>
  <c r="E107" i="330" l="1"/>
  <c r="N107" i="330"/>
  <c r="O107" i="330" s="1"/>
  <c r="J107" i="330"/>
  <c r="S107" i="330"/>
  <c r="AD18" i="330"/>
  <c r="X107" i="330"/>
  <c r="AD107" i="330" s="1"/>
  <c r="AH107" i="330"/>
  <c r="AN107" i="330" s="1"/>
  <c r="T107" i="330"/>
  <c r="V112" i="323"/>
  <c r="V37" i="323"/>
  <c r="V47" i="323"/>
  <c r="V43" i="323"/>
  <c r="V9" i="323"/>
  <c r="V18" i="323"/>
  <c r="V83" i="323"/>
  <c r="V92" i="323"/>
  <c r="V30" i="323"/>
  <c r="V52" i="323"/>
  <c r="S127" i="323"/>
  <c r="V127" i="323" s="1"/>
  <c r="S100" i="323"/>
  <c r="S65" i="323"/>
  <c r="S31" i="323"/>
  <c r="AI107" i="330"/>
  <c r="AI107" i="329"/>
  <c r="Y107" i="329"/>
  <c r="O107" i="329"/>
  <c r="T107" i="329"/>
  <c r="O18" i="330"/>
  <c r="AI18" i="330"/>
  <c r="T18" i="330"/>
  <c r="Y18" i="330"/>
  <c r="J18" i="330"/>
  <c r="AN18" i="329"/>
  <c r="AI18" i="329"/>
  <c r="AD18" i="329"/>
  <c r="Y18" i="329"/>
  <c r="T18" i="329"/>
  <c r="O18" i="329"/>
  <c r="AL63" i="329"/>
  <c r="AL56" i="329"/>
  <c r="AL15" i="329"/>
  <c r="AJ44" i="329"/>
  <c r="AJ81" i="329" s="1"/>
  <c r="AJ27" i="329"/>
  <c r="AL111" i="329"/>
  <c r="AK111" i="329"/>
  <c r="AJ111" i="329"/>
  <c r="AM110" i="329"/>
  <c r="AM109" i="329"/>
  <c r="AM108" i="329"/>
  <c r="AM106" i="329"/>
  <c r="AL101" i="329"/>
  <c r="AK101" i="329"/>
  <c r="AJ101" i="329"/>
  <c r="AM100" i="329"/>
  <c r="AM99" i="329"/>
  <c r="AM98" i="329"/>
  <c r="AL96" i="329"/>
  <c r="AK96" i="329"/>
  <c r="AJ96" i="329"/>
  <c r="AM95" i="329"/>
  <c r="AM94" i="329"/>
  <c r="AM93" i="329"/>
  <c r="AM92" i="329"/>
  <c r="AM91" i="329"/>
  <c r="AL89" i="329"/>
  <c r="AK89" i="329"/>
  <c r="AJ89" i="329"/>
  <c r="AM88" i="329"/>
  <c r="AM87" i="329"/>
  <c r="AL85" i="329"/>
  <c r="AK85" i="329"/>
  <c r="AJ85" i="329"/>
  <c r="AM84" i="329"/>
  <c r="AM83" i="329"/>
  <c r="AL75" i="329"/>
  <c r="AK75" i="329"/>
  <c r="AJ75" i="329"/>
  <c r="AM74" i="329"/>
  <c r="AM73" i="329"/>
  <c r="AL71" i="329"/>
  <c r="AK71" i="329"/>
  <c r="AJ71" i="329"/>
  <c r="AM70" i="329"/>
  <c r="AM69" i="329"/>
  <c r="AM68" i="329"/>
  <c r="AM67" i="329"/>
  <c r="AM66" i="329"/>
  <c r="AM65" i="329"/>
  <c r="AK63" i="329"/>
  <c r="AJ63" i="329"/>
  <c r="AM62" i="329"/>
  <c r="AM61" i="329"/>
  <c r="AM60" i="329"/>
  <c r="AM59" i="329"/>
  <c r="AM58" i="329"/>
  <c r="AK56" i="329"/>
  <c r="AJ56" i="329"/>
  <c r="AM55" i="329"/>
  <c r="AM54" i="329"/>
  <c r="AM53" i="329"/>
  <c r="AM52" i="329"/>
  <c r="AM51" i="329"/>
  <c r="AM50" i="329"/>
  <c r="AL48" i="329"/>
  <c r="AK48" i="329"/>
  <c r="AJ48" i="329"/>
  <c r="AM47" i="329"/>
  <c r="AM46" i="329"/>
  <c r="AM38" i="329"/>
  <c r="AM36" i="329"/>
  <c r="AL34" i="329"/>
  <c r="AL39" i="329" s="1"/>
  <c r="AK34" i="329"/>
  <c r="AK39" i="329" s="1"/>
  <c r="AJ34" i="329"/>
  <c r="AJ39" i="329" s="1"/>
  <c r="AM33" i="329"/>
  <c r="AM32" i="329"/>
  <c r="AM31" i="329"/>
  <c r="AM30" i="329"/>
  <c r="AM29" i="329"/>
  <c r="AL21" i="329"/>
  <c r="AK21" i="329"/>
  <c r="AJ21" i="329"/>
  <c r="AM20" i="329"/>
  <c r="AM19" i="329"/>
  <c r="AM17" i="329"/>
  <c r="AK15" i="329"/>
  <c r="AJ15" i="329"/>
  <c r="AM14" i="329"/>
  <c r="AM13" i="329"/>
  <c r="AM12" i="329"/>
  <c r="AM11" i="329"/>
  <c r="AM10" i="329"/>
  <c r="AM9" i="329"/>
  <c r="AM8" i="329"/>
  <c r="AM7" i="329"/>
  <c r="AE13" i="322"/>
  <c r="AE12" i="322"/>
  <c r="AE11" i="322"/>
  <c r="AE10" i="322"/>
  <c r="AE9" i="322"/>
  <c r="AE8" i="322"/>
  <c r="AE7" i="322"/>
  <c r="AE6" i="322"/>
  <c r="O24" i="322"/>
  <c r="P24" i="322" s="1"/>
  <c r="P22" i="322"/>
  <c r="P20" i="322"/>
  <c r="O18" i="322"/>
  <c r="O26" i="322" s="1"/>
  <c r="P26" i="322" s="1"/>
  <c r="P16" i="322"/>
  <c r="P14" i="322"/>
  <c r="P12" i="322"/>
  <c r="P10" i="322"/>
  <c r="P8" i="322"/>
  <c r="P6" i="322"/>
  <c r="AC12" i="27"/>
  <c r="AC11" i="27"/>
  <c r="AC10" i="27"/>
  <c r="AC9" i="27"/>
  <c r="AC8" i="27"/>
  <c r="AC7" i="27"/>
  <c r="AC6" i="27"/>
  <c r="AC5" i="27"/>
  <c r="Q24" i="27"/>
  <c r="R24" i="27" s="1"/>
  <c r="R22" i="27"/>
  <c r="R20" i="27"/>
  <c r="Q18" i="27"/>
  <c r="R16" i="27"/>
  <c r="R14" i="27"/>
  <c r="R12" i="27"/>
  <c r="R10" i="27"/>
  <c r="R8" i="27"/>
  <c r="R6" i="27"/>
  <c r="Q3" i="27"/>
  <c r="G19" i="331"/>
  <c r="D19" i="331"/>
  <c r="G17" i="331"/>
  <c r="D17" i="331"/>
  <c r="G15" i="331"/>
  <c r="D15" i="331"/>
  <c r="G13" i="331"/>
  <c r="D13" i="331"/>
  <c r="G11" i="331"/>
  <c r="D11" i="331"/>
  <c r="G9" i="331"/>
  <c r="D9" i="331"/>
  <c r="G7" i="331"/>
  <c r="D7" i="331"/>
  <c r="AG110" i="330"/>
  <c r="AF110" i="330"/>
  <c r="AE110" i="330"/>
  <c r="AB110" i="330"/>
  <c r="AA110" i="330"/>
  <c r="Z110" i="330"/>
  <c r="W110" i="330"/>
  <c r="V110" i="330"/>
  <c r="U110" i="330"/>
  <c r="R110" i="330"/>
  <c r="Q110" i="330"/>
  <c r="P110" i="330"/>
  <c r="M110" i="330"/>
  <c r="L110" i="330"/>
  <c r="K110" i="330"/>
  <c r="H110" i="330"/>
  <c r="G110" i="330"/>
  <c r="F110" i="330"/>
  <c r="D110" i="330"/>
  <c r="C110" i="330"/>
  <c r="B110" i="330"/>
  <c r="AG109" i="330"/>
  <c r="AF109" i="330"/>
  <c r="AE109" i="330"/>
  <c r="AB109" i="330"/>
  <c r="AA109" i="330"/>
  <c r="Z109" i="330"/>
  <c r="W109" i="330"/>
  <c r="V109" i="330"/>
  <c r="U109" i="330"/>
  <c r="R109" i="330"/>
  <c r="Q109" i="330"/>
  <c r="P109" i="330"/>
  <c r="M109" i="330"/>
  <c r="L109" i="330"/>
  <c r="K109" i="330"/>
  <c r="H109" i="330"/>
  <c r="G109" i="330"/>
  <c r="F109" i="330"/>
  <c r="D109" i="330"/>
  <c r="C109" i="330"/>
  <c r="B109" i="330"/>
  <c r="AG108" i="330"/>
  <c r="AF108" i="330"/>
  <c r="AE108" i="330"/>
  <c r="AB108" i="330"/>
  <c r="AA108" i="330"/>
  <c r="Z108" i="330"/>
  <c r="W108" i="330"/>
  <c r="V108" i="330"/>
  <c r="U108" i="330"/>
  <c r="R108" i="330"/>
  <c r="Q108" i="330"/>
  <c r="P108" i="330"/>
  <c r="M108" i="330"/>
  <c r="L108" i="330"/>
  <c r="K108" i="330"/>
  <c r="H108" i="330"/>
  <c r="G108" i="330"/>
  <c r="F108" i="330"/>
  <c r="D108" i="330"/>
  <c r="C108" i="330"/>
  <c r="B108" i="330"/>
  <c r="AG106" i="330"/>
  <c r="AF106" i="330"/>
  <c r="AE106" i="330"/>
  <c r="AB106" i="330"/>
  <c r="AA106" i="330"/>
  <c r="Z106" i="330"/>
  <c r="W106" i="330"/>
  <c r="V106" i="330"/>
  <c r="U106" i="330"/>
  <c r="R106" i="330"/>
  <c r="Q106" i="330"/>
  <c r="P106" i="330"/>
  <c r="M106" i="330"/>
  <c r="L106" i="330"/>
  <c r="K106" i="330"/>
  <c r="H106" i="330"/>
  <c r="G106" i="330"/>
  <c r="F106" i="330"/>
  <c r="D106" i="330"/>
  <c r="C106" i="330"/>
  <c r="B106" i="330"/>
  <c r="AG100" i="330"/>
  <c r="AF100" i="330"/>
  <c r="AE100" i="330"/>
  <c r="AB100" i="330"/>
  <c r="AA100" i="330"/>
  <c r="Z100" i="330"/>
  <c r="W100" i="330"/>
  <c r="V100" i="330"/>
  <c r="U100" i="330"/>
  <c r="R100" i="330"/>
  <c r="Q100" i="330"/>
  <c r="P100" i="330"/>
  <c r="M100" i="330"/>
  <c r="L100" i="330"/>
  <c r="K100" i="330"/>
  <c r="H100" i="330"/>
  <c r="G100" i="330"/>
  <c r="F100" i="330"/>
  <c r="D100" i="330"/>
  <c r="C100" i="330"/>
  <c r="B100" i="330"/>
  <c r="AG99" i="330"/>
  <c r="AF99" i="330"/>
  <c r="AE99" i="330"/>
  <c r="AB99" i="330"/>
  <c r="AA99" i="330"/>
  <c r="Z99" i="330"/>
  <c r="W99" i="330"/>
  <c r="V99" i="330"/>
  <c r="U99" i="330"/>
  <c r="R99" i="330"/>
  <c r="Q99" i="330"/>
  <c r="P99" i="330"/>
  <c r="M99" i="330"/>
  <c r="L99" i="330"/>
  <c r="K99" i="330"/>
  <c r="H99" i="330"/>
  <c r="G99" i="330"/>
  <c r="F99" i="330"/>
  <c r="D99" i="330"/>
  <c r="C99" i="330"/>
  <c r="B99" i="330"/>
  <c r="AG98" i="330"/>
  <c r="AF98" i="330"/>
  <c r="AE98" i="330"/>
  <c r="AB98" i="330"/>
  <c r="AA98" i="330"/>
  <c r="Z98" i="330"/>
  <c r="W98" i="330"/>
  <c r="V98" i="330"/>
  <c r="U98" i="330"/>
  <c r="R98" i="330"/>
  <c r="Q98" i="330"/>
  <c r="P98" i="330"/>
  <c r="M98" i="330"/>
  <c r="L98" i="330"/>
  <c r="K98" i="330"/>
  <c r="H98" i="330"/>
  <c r="G98" i="330"/>
  <c r="F98" i="330"/>
  <c r="D98" i="330"/>
  <c r="C98" i="330"/>
  <c r="B98" i="330"/>
  <c r="AG95" i="330"/>
  <c r="AF95" i="330"/>
  <c r="AE95" i="330"/>
  <c r="AB95" i="330"/>
  <c r="AA95" i="330"/>
  <c r="Z95" i="330"/>
  <c r="W95" i="330"/>
  <c r="V95" i="330"/>
  <c r="U95" i="330"/>
  <c r="R95" i="330"/>
  <c r="Q95" i="330"/>
  <c r="P95" i="330"/>
  <c r="M95" i="330"/>
  <c r="L95" i="330"/>
  <c r="K95" i="330"/>
  <c r="H95" i="330"/>
  <c r="G95" i="330"/>
  <c r="F95" i="330"/>
  <c r="D95" i="330"/>
  <c r="C95" i="330"/>
  <c r="B95" i="330"/>
  <c r="AG94" i="330"/>
  <c r="AF94" i="330"/>
  <c r="AE94" i="330"/>
  <c r="AB94" i="330"/>
  <c r="AA94" i="330"/>
  <c r="Z94" i="330"/>
  <c r="W94" i="330"/>
  <c r="V94" i="330"/>
  <c r="U94" i="330"/>
  <c r="R94" i="330"/>
  <c r="Q94" i="330"/>
  <c r="P94" i="330"/>
  <c r="M94" i="330"/>
  <c r="L94" i="330"/>
  <c r="K94" i="330"/>
  <c r="H94" i="330"/>
  <c r="G94" i="330"/>
  <c r="F94" i="330"/>
  <c r="D94" i="330"/>
  <c r="C94" i="330"/>
  <c r="B94" i="330"/>
  <c r="AG93" i="330"/>
  <c r="AF93" i="330"/>
  <c r="AE93" i="330"/>
  <c r="AB93" i="330"/>
  <c r="AA93" i="330"/>
  <c r="Z93" i="330"/>
  <c r="W93" i="330"/>
  <c r="V93" i="330"/>
  <c r="U93" i="330"/>
  <c r="R93" i="330"/>
  <c r="Q93" i="330"/>
  <c r="P93" i="330"/>
  <c r="M93" i="330"/>
  <c r="L93" i="330"/>
  <c r="K93" i="330"/>
  <c r="H93" i="330"/>
  <c r="G93" i="330"/>
  <c r="F93" i="330"/>
  <c r="D93" i="330"/>
  <c r="C93" i="330"/>
  <c r="B93" i="330"/>
  <c r="AG92" i="330"/>
  <c r="AF92" i="330"/>
  <c r="AE92" i="330"/>
  <c r="AB92" i="330"/>
  <c r="AA92" i="330"/>
  <c r="Z92" i="330"/>
  <c r="W92" i="330"/>
  <c r="V92" i="330"/>
  <c r="U92" i="330"/>
  <c r="R92" i="330"/>
  <c r="Q92" i="330"/>
  <c r="P92" i="330"/>
  <c r="M92" i="330"/>
  <c r="L92" i="330"/>
  <c r="K92" i="330"/>
  <c r="H92" i="330"/>
  <c r="G92" i="330"/>
  <c r="F92" i="330"/>
  <c r="D92" i="330"/>
  <c r="C92" i="330"/>
  <c r="B92" i="330"/>
  <c r="AG91" i="330"/>
  <c r="AF91" i="330"/>
  <c r="AE91" i="330"/>
  <c r="AB91" i="330"/>
  <c r="AA91" i="330"/>
  <c r="Z91" i="330"/>
  <c r="W91" i="330"/>
  <c r="V91" i="330"/>
  <c r="U91" i="330"/>
  <c r="R91" i="330"/>
  <c r="Q91" i="330"/>
  <c r="P91" i="330"/>
  <c r="M91" i="330"/>
  <c r="L91" i="330"/>
  <c r="K91" i="330"/>
  <c r="H91" i="330"/>
  <c r="G91" i="330"/>
  <c r="F91" i="330"/>
  <c r="D91" i="330"/>
  <c r="C91" i="330"/>
  <c r="B91" i="330"/>
  <c r="AG88" i="330"/>
  <c r="AF88" i="330"/>
  <c r="AE88" i="330"/>
  <c r="AB88" i="330"/>
  <c r="AA88" i="330"/>
  <c r="Z88" i="330"/>
  <c r="W88" i="330"/>
  <c r="V88" i="330"/>
  <c r="U88" i="330"/>
  <c r="R88" i="330"/>
  <c r="Q88" i="330"/>
  <c r="P88" i="330"/>
  <c r="M88" i="330"/>
  <c r="L88" i="330"/>
  <c r="K88" i="330"/>
  <c r="H88" i="330"/>
  <c r="G88" i="330"/>
  <c r="F88" i="330"/>
  <c r="D88" i="330"/>
  <c r="C88" i="330"/>
  <c r="B88" i="330"/>
  <c r="AG87" i="330"/>
  <c r="AF87" i="330"/>
  <c r="AE87" i="330"/>
  <c r="AB87" i="330"/>
  <c r="AA87" i="330"/>
  <c r="Z87" i="330"/>
  <c r="W87" i="330"/>
  <c r="W89" i="330" s="1"/>
  <c r="V87" i="330"/>
  <c r="U87" i="330"/>
  <c r="R87" i="330"/>
  <c r="Q87" i="330"/>
  <c r="P87" i="330"/>
  <c r="M87" i="330"/>
  <c r="L87" i="330"/>
  <c r="K87" i="330"/>
  <c r="H87" i="330"/>
  <c r="G87" i="330"/>
  <c r="F87" i="330"/>
  <c r="D87" i="330"/>
  <c r="C87" i="330"/>
  <c r="B87" i="330"/>
  <c r="AG84" i="330"/>
  <c r="AF84" i="330"/>
  <c r="AE84" i="330"/>
  <c r="AB84" i="330"/>
  <c r="AA84" i="330"/>
  <c r="Z84" i="330"/>
  <c r="W84" i="330"/>
  <c r="V84" i="330"/>
  <c r="U84" i="330"/>
  <c r="R84" i="330"/>
  <c r="Q84" i="330"/>
  <c r="P84" i="330"/>
  <c r="M84" i="330"/>
  <c r="L84" i="330"/>
  <c r="K84" i="330"/>
  <c r="H84" i="330"/>
  <c r="G84" i="330"/>
  <c r="F84" i="330"/>
  <c r="D84" i="330"/>
  <c r="C84" i="330"/>
  <c r="B84" i="330"/>
  <c r="AG83" i="330"/>
  <c r="AF83" i="330"/>
  <c r="AE83" i="330"/>
  <c r="AB83" i="330"/>
  <c r="AA83" i="330"/>
  <c r="Z83" i="330"/>
  <c r="W83" i="330"/>
  <c r="V83" i="330"/>
  <c r="U83" i="330"/>
  <c r="R83" i="330"/>
  <c r="Q83" i="330"/>
  <c r="P83" i="330"/>
  <c r="M83" i="330"/>
  <c r="L83" i="330"/>
  <c r="K83" i="330"/>
  <c r="H83" i="330"/>
  <c r="G83" i="330"/>
  <c r="F83" i="330"/>
  <c r="D83" i="330"/>
  <c r="C83" i="330"/>
  <c r="B83" i="330"/>
  <c r="AE81" i="330"/>
  <c r="AG74" i="330"/>
  <c r="AF74" i="330"/>
  <c r="AE74" i="330"/>
  <c r="AB74" i="330"/>
  <c r="AA74" i="330"/>
  <c r="Z74" i="330"/>
  <c r="W74" i="330"/>
  <c r="V74" i="330"/>
  <c r="U74" i="330"/>
  <c r="R74" i="330"/>
  <c r="Q74" i="330"/>
  <c r="P74" i="330"/>
  <c r="M74" i="330"/>
  <c r="L74" i="330"/>
  <c r="K74" i="330"/>
  <c r="H74" i="330"/>
  <c r="G74" i="330"/>
  <c r="F74" i="330"/>
  <c r="D74" i="330"/>
  <c r="C74" i="330"/>
  <c r="B74" i="330"/>
  <c r="AG73" i="330"/>
  <c r="AF73" i="330"/>
  <c r="AE73" i="330"/>
  <c r="AB73" i="330"/>
  <c r="AA73" i="330"/>
  <c r="Z73" i="330"/>
  <c r="W73" i="330"/>
  <c r="V73" i="330"/>
  <c r="U73" i="330"/>
  <c r="R73" i="330"/>
  <c r="R75" i="330" s="1"/>
  <c r="Q73" i="330"/>
  <c r="P73" i="330"/>
  <c r="M73" i="330"/>
  <c r="L73" i="330"/>
  <c r="K73" i="330"/>
  <c r="H73" i="330"/>
  <c r="G73" i="330"/>
  <c r="F73" i="330"/>
  <c r="D73" i="330"/>
  <c r="C73" i="330"/>
  <c r="B73" i="330"/>
  <c r="AG70" i="330"/>
  <c r="AF70" i="330"/>
  <c r="AE70" i="330"/>
  <c r="AB70" i="330"/>
  <c r="AA70" i="330"/>
  <c r="Z70" i="330"/>
  <c r="W70" i="330"/>
  <c r="V70" i="330"/>
  <c r="U70" i="330"/>
  <c r="R70" i="330"/>
  <c r="Q70" i="330"/>
  <c r="P70" i="330"/>
  <c r="M70" i="330"/>
  <c r="L70" i="330"/>
  <c r="K70" i="330"/>
  <c r="H70" i="330"/>
  <c r="G70" i="330"/>
  <c r="F70" i="330"/>
  <c r="D70" i="330"/>
  <c r="C70" i="330"/>
  <c r="B70" i="330"/>
  <c r="AG69" i="330"/>
  <c r="AF69" i="330"/>
  <c r="AE69" i="330"/>
  <c r="AB69" i="330"/>
  <c r="AA69" i="330"/>
  <c r="Z69" i="330"/>
  <c r="W69" i="330"/>
  <c r="V69" i="330"/>
  <c r="U69" i="330"/>
  <c r="R69" i="330"/>
  <c r="Q69" i="330"/>
  <c r="P69" i="330"/>
  <c r="M69" i="330"/>
  <c r="L69" i="330"/>
  <c r="K69" i="330"/>
  <c r="H69" i="330"/>
  <c r="G69" i="330"/>
  <c r="F69" i="330"/>
  <c r="D69" i="330"/>
  <c r="C69" i="330"/>
  <c r="B69" i="330"/>
  <c r="AG68" i="330"/>
  <c r="AF68" i="330"/>
  <c r="AE68" i="330"/>
  <c r="AB68" i="330"/>
  <c r="AA68" i="330"/>
  <c r="Z68" i="330"/>
  <c r="W68" i="330"/>
  <c r="V68" i="330"/>
  <c r="U68" i="330"/>
  <c r="R68" i="330"/>
  <c r="Q68" i="330"/>
  <c r="P68" i="330"/>
  <c r="M68" i="330"/>
  <c r="L68" i="330"/>
  <c r="K68" i="330"/>
  <c r="H68" i="330"/>
  <c r="G68" i="330"/>
  <c r="F68" i="330"/>
  <c r="D68" i="330"/>
  <c r="C68" i="330"/>
  <c r="B68" i="330"/>
  <c r="AG67" i="330"/>
  <c r="AF67" i="330"/>
  <c r="AE67" i="330"/>
  <c r="AB67" i="330"/>
  <c r="AA67" i="330"/>
  <c r="Z67" i="330"/>
  <c r="W67" i="330"/>
  <c r="V67" i="330"/>
  <c r="U67" i="330"/>
  <c r="R67" i="330"/>
  <c r="Q67" i="330"/>
  <c r="P67" i="330"/>
  <c r="M67" i="330"/>
  <c r="L67" i="330"/>
  <c r="K67" i="330"/>
  <c r="H67" i="330"/>
  <c r="G67" i="330"/>
  <c r="F67" i="330"/>
  <c r="D67" i="330"/>
  <c r="C67" i="330"/>
  <c r="B67" i="330"/>
  <c r="AG66" i="330"/>
  <c r="AF66" i="330"/>
  <c r="AE66" i="330"/>
  <c r="AB66" i="330"/>
  <c r="AA66" i="330"/>
  <c r="Z66" i="330"/>
  <c r="W66" i="330"/>
  <c r="V66" i="330"/>
  <c r="U66" i="330"/>
  <c r="R66" i="330"/>
  <c r="Q66" i="330"/>
  <c r="P66" i="330"/>
  <c r="M66" i="330"/>
  <c r="L66" i="330"/>
  <c r="K66" i="330"/>
  <c r="H66" i="330"/>
  <c r="G66" i="330"/>
  <c r="F66" i="330"/>
  <c r="D66" i="330"/>
  <c r="C66" i="330"/>
  <c r="B66" i="330"/>
  <c r="AG65" i="330"/>
  <c r="AF65" i="330"/>
  <c r="AE65" i="330"/>
  <c r="AB65" i="330"/>
  <c r="AA65" i="330"/>
  <c r="Z65" i="330"/>
  <c r="W65" i="330"/>
  <c r="V65" i="330"/>
  <c r="U65" i="330"/>
  <c r="R65" i="330"/>
  <c r="Q65" i="330"/>
  <c r="P65" i="330"/>
  <c r="M65" i="330"/>
  <c r="L65" i="330"/>
  <c r="K65" i="330"/>
  <c r="H65" i="330"/>
  <c r="G65" i="330"/>
  <c r="F65" i="330"/>
  <c r="D65" i="330"/>
  <c r="C65" i="330"/>
  <c r="B65" i="330"/>
  <c r="AG62" i="330"/>
  <c r="AF62" i="330"/>
  <c r="AE62" i="330"/>
  <c r="AB62" i="330"/>
  <c r="AA62" i="330"/>
  <c r="Z62" i="330"/>
  <c r="W62" i="330"/>
  <c r="V62" i="330"/>
  <c r="U62" i="330"/>
  <c r="R62" i="330"/>
  <c r="Q62" i="330"/>
  <c r="P62" i="330"/>
  <c r="M62" i="330"/>
  <c r="L62" i="330"/>
  <c r="K62" i="330"/>
  <c r="H62" i="330"/>
  <c r="G62" i="330"/>
  <c r="F62" i="330"/>
  <c r="D62" i="330"/>
  <c r="C62" i="330"/>
  <c r="B62" i="330"/>
  <c r="AG61" i="330"/>
  <c r="AF61" i="330"/>
  <c r="AE61" i="330"/>
  <c r="AB61" i="330"/>
  <c r="AA61" i="330"/>
  <c r="Z61" i="330"/>
  <c r="W61" i="330"/>
  <c r="V61" i="330"/>
  <c r="U61" i="330"/>
  <c r="R61" i="330"/>
  <c r="Q61" i="330"/>
  <c r="P61" i="330"/>
  <c r="M61" i="330"/>
  <c r="L61" i="330"/>
  <c r="K61" i="330"/>
  <c r="H61" i="330"/>
  <c r="G61" i="330"/>
  <c r="F61" i="330"/>
  <c r="D61" i="330"/>
  <c r="C61" i="330"/>
  <c r="B61" i="330"/>
  <c r="AG60" i="330"/>
  <c r="AF60" i="330"/>
  <c r="AE60" i="330"/>
  <c r="AB60" i="330"/>
  <c r="AA60" i="330"/>
  <c r="Z60" i="330"/>
  <c r="W60" i="330"/>
  <c r="V60" i="330"/>
  <c r="U60" i="330"/>
  <c r="R60" i="330"/>
  <c r="Q60" i="330"/>
  <c r="P60" i="330"/>
  <c r="M60" i="330"/>
  <c r="L60" i="330"/>
  <c r="K60" i="330"/>
  <c r="H60" i="330"/>
  <c r="G60" i="330"/>
  <c r="F60" i="330"/>
  <c r="D60" i="330"/>
  <c r="C60" i="330"/>
  <c r="B60" i="330"/>
  <c r="AG59" i="330"/>
  <c r="AF59" i="330"/>
  <c r="AE59" i="330"/>
  <c r="AB59" i="330"/>
  <c r="AA59" i="330"/>
  <c r="Z59" i="330"/>
  <c r="W59" i="330"/>
  <c r="V59" i="330"/>
  <c r="U59" i="330"/>
  <c r="R59" i="330"/>
  <c r="Q59" i="330"/>
  <c r="P59" i="330"/>
  <c r="M59" i="330"/>
  <c r="L59" i="330"/>
  <c r="K59" i="330"/>
  <c r="H59" i="330"/>
  <c r="G59" i="330"/>
  <c r="F59" i="330"/>
  <c r="D59" i="330"/>
  <c r="C59" i="330"/>
  <c r="B59" i="330"/>
  <c r="AG58" i="330"/>
  <c r="AF58" i="330"/>
  <c r="AE58" i="330"/>
  <c r="AB58" i="330"/>
  <c r="AA58" i="330"/>
  <c r="Z58" i="330"/>
  <c r="W58" i="330"/>
  <c r="V58" i="330"/>
  <c r="U58" i="330"/>
  <c r="R58" i="330"/>
  <c r="Q58" i="330"/>
  <c r="P58" i="330"/>
  <c r="M58" i="330"/>
  <c r="L58" i="330"/>
  <c r="K58" i="330"/>
  <c r="H58" i="330"/>
  <c r="G58" i="330"/>
  <c r="F58" i="330"/>
  <c r="D58" i="330"/>
  <c r="C58" i="330"/>
  <c r="B58" i="330"/>
  <c r="AG55" i="330"/>
  <c r="AF55" i="330"/>
  <c r="AE55" i="330"/>
  <c r="AB55" i="330"/>
  <c r="AA55" i="330"/>
  <c r="Z55" i="330"/>
  <c r="W55" i="330"/>
  <c r="V55" i="330"/>
  <c r="U55" i="330"/>
  <c r="R55" i="330"/>
  <c r="Q55" i="330"/>
  <c r="P55" i="330"/>
  <c r="M55" i="330"/>
  <c r="L55" i="330"/>
  <c r="K55" i="330"/>
  <c r="H55" i="330"/>
  <c r="G55" i="330"/>
  <c r="F55" i="330"/>
  <c r="D55" i="330"/>
  <c r="C55" i="330"/>
  <c r="B55" i="330"/>
  <c r="AG54" i="330"/>
  <c r="AF54" i="330"/>
  <c r="AE54" i="330"/>
  <c r="AB54" i="330"/>
  <c r="AA54" i="330"/>
  <c r="Z54" i="330"/>
  <c r="W54" i="330"/>
  <c r="V54" i="330"/>
  <c r="U54" i="330"/>
  <c r="R54" i="330"/>
  <c r="Q54" i="330"/>
  <c r="P54" i="330"/>
  <c r="M54" i="330"/>
  <c r="L54" i="330"/>
  <c r="K54" i="330"/>
  <c r="H54" i="330"/>
  <c r="G54" i="330"/>
  <c r="F54" i="330"/>
  <c r="D54" i="330"/>
  <c r="C54" i="330"/>
  <c r="B54" i="330"/>
  <c r="AG53" i="330"/>
  <c r="AF53" i="330"/>
  <c r="AE53" i="330"/>
  <c r="AB53" i="330"/>
  <c r="AA53" i="330"/>
  <c r="Z53" i="330"/>
  <c r="W53" i="330"/>
  <c r="V53" i="330"/>
  <c r="U53" i="330"/>
  <c r="R53" i="330"/>
  <c r="Q53" i="330"/>
  <c r="P53" i="330"/>
  <c r="M53" i="330"/>
  <c r="L53" i="330"/>
  <c r="K53" i="330"/>
  <c r="H53" i="330"/>
  <c r="G53" i="330"/>
  <c r="F53" i="330"/>
  <c r="E53" i="330"/>
  <c r="AG52" i="330"/>
  <c r="AF52" i="330"/>
  <c r="AE52" i="330"/>
  <c r="AB52" i="330"/>
  <c r="AA52" i="330"/>
  <c r="Z52" i="330"/>
  <c r="W52" i="330"/>
  <c r="V52" i="330"/>
  <c r="U52" i="330"/>
  <c r="R52" i="330"/>
  <c r="Q52" i="330"/>
  <c r="P52" i="330"/>
  <c r="M52" i="330"/>
  <c r="L52" i="330"/>
  <c r="K52" i="330"/>
  <c r="H52" i="330"/>
  <c r="G52" i="330"/>
  <c r="F52" i="330"/>
  <c r="D52" i="330"/>
  <c r="C52" i="330"/>
  <c r="B52" i="330"/>
  <c r="AG51" i="330"/>
  <c r="AF51" i="330"/>
  <c r="AE51" i="330"/>
  <c r="AB51" i="330"/>
  <c r="AA51" i="330"/>
  <c r="Z51" i="330"/>
  <c r="W51" i="330"/>
  <c r="V51" i="330"/>
  <c r="U51" i="330"/>
  <c r="R51" i="330"/>
  <c r="Q51" i="330"/>
  <c r="P51" i="330"/>
  <c r="M51" i="330"/>
  <c r="L51" i="330"/>
  <c r="K51" i="330"/>
  <c r="H51" i="330"/>
  <c r="G51" i="330"/>
  <c r="F51" i="330"/>
  <c r="D51" i="330"/>
  <c r="C51" i="330"/>
  <c r="B51" i="330"/>
  <c r="AG50" i="330"/>
  <c r="AF50" i="330"/>
  <c r="AE50" i="330"/>
  <c r="AB50" i="330"/>
  <c r="AA50" i="330"/>
  <c r="Z50" i="330"/>
  <c r="W50" i="330"/>
  <c r="V50" i="330"/>
  <c r="U50" i="330"/>
  <c r="R50" i="330"/>
  <c r="Q50" i="330"/>
  <c r="P50" i="330"/>
  <c r="M50" i="330"/>
  <c r="L50" i="330"/>
  <c r="K50" i="330"/>
  <c r="H50" i="330"/>
  <c r="G50" i="330"/>
  <c r="F50" i="330"/>
  <c r="D50" i="330"/>
  <c r="C50" i="330"/>
  <c r="B50" i="330"/>
  <c r="AG47" i="330"/>
  <c r="AF47" i="330"/>
  <c r="AE47" i="330"/>
  <c r="AB47" i="330"/>
  <c r="AA47" i="330"/>
  <c r="Z47" i="330"/>
  <c r="W47" i="330"/>
  <c r="V47" i="330"/>
  <c r="U47" i="330"/>
  <c r="R47" i="330"/>
  <c r="Q47" i="330"/>
  <c r="P47" i="330"/>
  <c r="M47" i="330"/>
  <c r="L47" i="330"/>
  <c r="K47" i="330"/>
  <c r="H47" i="330"/>
  <c r="G47" i="330"/>
  <c r="F47" i="330"/>
  <c r="D47" i="330"/>
  <c r="C47" i="330"/>
  <c r="B47" i="330"/>
  <c r="AG46" i="330"/>
  <c r="AF46" i="330"/>
  <c r="AE46" i="330"/>
  <c r="AB46" i="330"/>
  <c r="AA46" i="330"/>
  <c r="Z46" i="330"/>
  <c r="W46" i="330"/>
  <c r="V46" i="330"/>
  <c r="U46" i="330"/>
  <c r="R46" i="330"/>
  <c r="Q46" i="330"/>
  <c r="P46" i="330"/>
  <c r="M46" i="330"/>
  <c r="L46" i="330"/>
  <c r="K46" i="330"/>
  <c r="H46" i="330"/>
  <c r="G46" i="330"/>
  <c r="F46" i="330"/>
  <c r="D46" i="330"/>
  <c r="C46" i="330"/>
  <c r="B46" i="330"/>
  <c r="AG38" i="330"/>
  <c r="AF38" i="330"/>
  <c r="AE38" i="330"/>
  <c r="AB38" i="330"/>
  <c r="AA38" i="330"/>
  <c r="Z38" i="330"/>
  <c r="W38" i="330"/>
  <c r="V38" i="330"/>
  <c r="U38" i="330"/>
  <c r="R38" i="330"/>
  <c r="Q38" i="330"/>
  <c r="P38" i="330"/>
  <c r="M38" i="330"/>
  <c r="L38" i="330"/>
  <c r="K38" i="330"/>
  <c r="H38" i="330"/>
  <c r="G38" i="330"/>
  <c r="F38" i="330"/>
  <c r="D38" i="330"/>
  <c r="C38" i="330"/>
  <c r="B38" i="330"/>
  <c r="AG36" i="330"/>
  <c r="AF36" i="330"/>
  <c r="AE36" i="330"/>
  <c r="AB36" i="330"/>
  <c r="AA36" i="330"/>
  <c r="Z36" i="330"/>
  <c r="W36" i="330"/>
  <c r="V36" i="330"/>
  <c r="U36" i="330"/>
  <c r="R36" i="330"/>
  <c r="Q36" i="330"/>
  <c r="P36" i="330"/>
  <c r="M36" i="330"/>
  <c r="L36" i="330"/>
  <c r="K36" i="330"/>
  <c r="H36" i="330"/>
  <c r="G36" i="330"/>
  <c r="F36" i="330"/>
  <c r="D36" i="330"/>
  <c r="C36" i="330"/>
  <c r="B36" i="330"/>
  <c r="AG33" i="330"/>
  <c r="AF33" i="330"/>
  <c r="AE33" i="330"/>
  <c r="AB33" i="330"/>
  <c r="AA33" i="330"/>
  <c r="Z33" i="330"/>
  <c r="W33" i="330"/>
  <c r="V33" i="330"/>
  <c r="U33" i="330"/>
  <c r="R33" i="330"/>
  <c r="Q33" i="330"/>
  <c r="P33" i="330"/>
  <c r="M33" i="330"/>
  <c r="L33" i="330"/>
  <c r="K33" i="330"/>
  <c r="H33" i="330"/>
  <c r="G33" i="330"/>
  <c r="F33" i="330"/>
  <c r="D33" i="330"/>
  <c r="C33" i="330"/>
  <c r="B33" i="330"/>
  <c r="AG32" i="330"/>
  <c r="AF32" i="330"/>
  <c r="AE32" i="330"/>
  <c r="AB32" i="330"/>
  <c r="AA32" i="330"/>
  <c r="Z32" i="330"/>
  <c r="W32" i="330"/>
  <c r="V32" i="330"/>
  <c r="U32" i="330"/>
  <c r="R32" i="330"/>
  <c r="Q32" i="330"/>
  <c r="P32" i="330"/>
  <c r="M32" i="330"/>
  <c r="L32" i="330"/>
  <c r="K32" i="330"/>
  <c r="H32" i="330"/>
  <c r="G32" i="330"/>
  <c r="F32" i="330"/>
  <c r="D32" i="330"/>
  <c r="C32" i="330"/>
  <c r="B32" i="330"/>
  <c r="AG31" i="330"/>
  <c r="AF31" i="330"/>
  <c r="AE31" i="330"/>
  <c r="AB31" i="330"/>
  <c r="AA31" i="330"/>
  <c r="Z31" i="330"/>
  <c r="W31" i="330"/>
  <c r="V31" i="330"/>
  <c r="U31" i="330"/>
  <c r="R31" i="330"/>
  <c r="Q31" i="330"/>
  <c r="P31" i="330"/>
  <c r="M31" i="330"/>
  <c r="L31" i="330"/>
  <c r="K31" i="330"/>
  <c r="H31" i="330"/>
  <c r="G31" i="330"/>
  <c r="F31" i="330"/>
  <c r="D31" i="330"/>
  <c r="C31" i="330"/>
  <c r="B31" i="330"/>
  <c r="AG30" i="330"/>
  <c r="AF30" i="330"/>
  <c r="AE30" i="330"/>
  <c r="AB30" i="330"/>
  <c r="AA30" i="330"/>
  <c r="Z30" i="330"/>
  <c r="W30" i="330"/>
  <c r="V30" i="330"/>
  <c r="U30" i="330"/>
  <c r="R30" i="330"/>
  <c r="Q30" i="330"/>
  <c r="P30" i="330"/>
  <c r="M30" i="330"/>
  <c r="L30" i="330"/>
  <c r="K30" i="330"/>
  <c r="H30" i="330"/>
  <c r="G30" i="330"/>
  <c r="F30" i="330"/>
  <c r="D30" i="330"/>
  <c r="C30" i="330"/>
  <c r="B30" i="330"/>
  <c r="AG29" i="330"/>
  <c r="AF29" i="330"/>
  <c r="AE29" i="330"/>
  <c r="AB29" i="330"/>
  <c r="AA29" i="330"/>
  <c r="Z29" i="330"/>
  <c r="W29" i="330"/>
  <c r="V29" i="330"/>
  <c r="U29" i="330"/>
  <c r="R29" i="330"/>
  <c r="Q29" i="330"/>
  <c r="P29" i="330"/>
  <c r="M29" i="330"/>
  <c r="L29" i="330"/>
  <c r="K29" i="330"/>
  <c r="H29" i="330"/>
  <c r="G29" i="330"/>
  <c r="F29" i="330"/>
  <c r="D29" i="330"/>
  <c r="C29" i="330"/>
  <c r="B29" i="330"/>
  <c r="Z27" i="330"/>
  <c r="Z44" i="330" s="1"/>
  <c r="Z81" i="330" s="1"/>
  <c r="AG20" i="330"/>
  <c r="AF20" i="330"/>
  <c r="AE20" i="330"/>
  <c r="AB20" i="330"/>
  <c r="AA20" i="330"/>
  <c r="Z20" i="330"/>
  <c r="W20" i="330"/>
  <c r="V20" i="330"/>
  <c r="U20" i="330"/>
  <c r="R20" i="330"/>
  <c r="Q20" i="330"/>
  <c r="P20" i="330"/>
  <c r="M20" i="330"/>
  <c r="L20" i="330"/>
  <c r="K20" i="330"/>
  <c r="H20" i="330"/>
  <c r="G20" i="330"/>
  <c r="F20" i="330"/>
  <c r="D20" i="330"/>
  <c r="C20" i="330"/>
  <c r="B20" i="330"/>
  <c r="AG19" i="330"/>
  <c r="AF19" i="330"/>
  <c r="AE19" i="330"/>
  <c r="AB19" i="330"/>
  <c r="AA19" i="330"/>
  <c r="Z19" i="330"/>
  <c r="W19" i="330"/>
  <c r="V19" i="330"/>
  <c r="U19" i="330"/>
  <c r="R19" i="330"/>
  <c r="Q19" i="330"/>
  <c r="P19" i="330"/>
  <c r="M19" i="330"/>
  <c r="L19" i="330"/>
  <c r="K19" i="330"/>
  <c r="H19" i="330"/>
  <c r="G19" i="330"/>
  <c r="F19" i="330"/>
  <c r="D19" i="330"/>
  <c r="C19" i="330"/>
  <c r="B19" i="330"/>
  <c r="AG17" i="330"/>
  <c r="AF17" i="330"/>
  <c r="AE17" i="330"/>
  <c r="AB17" i="330"/>
  <c r="AA17" i="330"/>
  <c r="Z17" i="330"/>
  <c r="W17" i="330"/>
  <c r="V17" i="330"/>
  <c r="U17" i="330"/>
  <c r="R17" i="330"/>
  <c r="Q17" i="330"/>
  <c r="P17" i="330"/>
  <c r="M17" i="330"/>
  <c r="L17" i="330"/>
  <c r="K17" i="330"/>
  <c r="H17" i="330"/>
  <c r="G17" i="330"/>
  <c r="F17" i="330"/>
  <c r="D17" i="330"/>
  <c r="C17" i="330"/>
  <c r="B17" i="330"/>
  <c r="AG14" i="330"/>
  <c r="AF14" i="330"/>
  <c r="AE14" i="330"/>
  <c r="AB14" i="330"/>
  <c r="AA14" i="330"/>
  <c r="Z14" i="330"/>
  <c r="W14" i="330"/>
  <c r="V14" i="330"/>
  <c r="U14" i="330"/>
  <c r="R14" i="330"/>
  <c r="Q14" i="330"/>
  <c r="P14" i="330"/>
  <c r="M14" i="330"/>
  <c r="L14" i="330"/>
  <c r="K14" i="330"/>
  <c r="H14" i="330"/>
  <c r="G14" i="330"/>
  <c r="F14" i="330"/>
  <c r="D14" i="330"/>
  <c r="C14" i="330"/>
  <c r="B14" i="330"/>
  <c r="AG13" i="330"/>
  <c r="AF13" i="330"/>
  <c r="AE13" i="330"/>
  <c r="AB13" i="330"/>
  <c r="AA13" i="330"/>
  <c r="Z13" i="330"/>
  <c r="W13" i="330"/>
  <c r="V13" i="330"/>
  <c r="U13" i="330"/>
  <c r="R13" i="330"/>
  <c r="Q13" i="330"/>
  <c r="P13" i="330"/>
  <c r="M13" i="330"/>
  <c r="L13" i="330"/>
  <c r="K13" i="330"/>
  <c r="H13" i="330"/>
  <c r="G13" i="330"/>
  <c r="F13" i="330"/>
  <c r="D13" i="330"/>
  <c r="C13" i="330"/>
  <c r="B13" i="330"/>
  <c r="AG12" i="330"/>
  <c r="AF12" i="330"/>
  <c r="AE12" i="330"/>
  <c r="AB12" i="330"/>
  <c r="AA12" i="330"/>
  <c r="Z12" i="330"/>
  <c r="W12" i="330"/>
  <c r="V12" i="330"/>
  <c r="U12" i="330"/>
  <c r="R12" i="330"/>
  <c r="Q12" i="330"/>
  <c r="P12" i="330"/>
  <c r="M12" i="330"/>
  <c r="L12" i="330"/>
  <c r="K12" i="330"/>
  <c r="H12" i="330"/>
  <c r="G12" i="330"/>
  <c r="F12" i="330"/>
  <c r="D12" i="330"/>
  <c r="C12" i="330"/>
  <c r="B12" i="330"/>
  <c r="AG11" i="330"/>
  <c r="AF11" i="330"/>
  <c r="AE11" i="330"/>
  <c r="AB11" i="330"/>
  <c r="AA11" i="330"/>
  <c r="Z11" i="330"/>
  <c r="W11" i="330"/>
  <c r="V11" i="330"/>
  <c r="U11" i="330"/>
  <c r="R11" i="330"/>
  <c r="Q11" i="330"/>
  <c r="P11" i="330"/>
  <c r="M11" i="330"/>
  <c r="L11" i="330"/>
  <c r="K11" i="330"/>
  <c r="H11" i="330"/>
  <c r="G11" i="330"/>
  <c r="F11" i="330"/>
  <c r="D11" i="330"/>
  <c r="C11" i="330"/>
  <c r="B11" i="330"/>
  <c r="AG10" i="330"/>
  <c r="AF10" i="330"/>
  <c r="AE10" i="330"/>
  <c r="AB10" i="330"/>
  <c r="AA10" i="330"/>
  <c r="Z10" i="330"/>
  <c r="W10" i="330"/>
  <c r="V10" i="330"/>
  <c r="U10" i="330"/>
  <c r="R10" i="330"/>
  <c r="Q10" i="330"/>
  <c r="P10" i="330"/>
  <c r="M10" i="330"/>
  <c r="L10" i="330"/>
  <c r="K10" i="330"/>
  <c r="H10" i="330"/>
  <c r="G10" i="330"/>
  <c r="F10" i="330"/>
  <c r="D10" i="330"/>
  <c r="C10" i="330"/>
  <c r="B10" i="330"/>
  <c r="AG9" i="330"/>
  <c r="AF9" i="330"/>
  <c r="AE9" i="330"/>
  <c r="AB9" i="330"/>
  <c r="AA9" i="330"/>
  <c r="Z9" i="330"/>
  <c r="W9" i="330"/>
  <c r="V9" i="330"/>
  <c r="U9" i="330"/>
  <c r="R9" i="330"/>
  <c r="Q9" i="330"/>
  <c r="P9" i="330"/>
  <c r="M9" i="330"/>
  <c r="L9" i="330"/>
  <c r="K9" i="330"/>
  <c r="H9" i="330"/>
  <c r="G9" i="330"/>
  <c r="F9" i="330"/>
  <c r="D9" i="330"/>
  <c r="C9" i="330"/>
  <c r="B9" i="330"/>
  <c r="AG8" i="330"/>
  <c r="AF8" i="330"/>
  <c r="AE8" i="330"/>
  <c r="AB8" i="330"/>
  <c r="AA8" i="330"/>
  <c r="Z8" i="330"/>
  <c r="W8" i="330"/>
  <c r="V8" i="330"/>
  <c r="U8" i="330"/>
  <c r="R8" i="330"/>
  <c r="Q8" i="330"/>
  <c r="P8" i="330"/>
  <c r="M8" i="330"/>
  <c r="L8" i="330"/>
  <c r="K8" i="330"/>
  <c r="H8" i="330"/>
  <c r="G8" i="330"/>
  <c r="F8" i="330"/>
  <c r="D8" i="330"/>
  <c r="C8" i="330"/>
  <c r="B8" i="330"/>
  <c r="AG7" i="330"/>
  <c r="AF7" i="330"/>
  <c r="AE7" i="330"/>
  <c r="AB7" i="330"/>
  <c r="AA7" i="330"/>
  <c r="Z7" i="330"/>
  <c r="W7" i="330"/>
  <c r="V7" i="330"/>
  <c r="U7" i="330"/>
  <c r="R7" i="330"/>
  <c r="Q7" i="330"/>
  <c r="P7" i="330"/>
  <c r="M7" i="330"/>
  <c r="L7" i="330"/>
  <c r="K7" i="330"/>
  <c r="H7" i="330"/>
  <c r="G7" i="330"/>
  <c r="F7" i="330"/>
  <c r="D7" i="330"/>
  <c r="C7" i="330"/>
  <c r="B7" i="330"/>
  <c r="AG111" i="329"/>
  <c r="AF111" i="329"/>
  <c r="AE111" i="329"/>
  <c r="AB111" i="329"/>
  <c r="AA111" i="329"/>
  <c r="Z111" i="329"/>
  <c r="W111" i="329"/>
  <c r="V111" i="329"/>
  <c r="U111" i="329"/>
  <c r="R111" i="329"/>
  <c r="Q111" i="329"/>
  <c r="P111" i="329"/>
  <c r="M111" i="329"/>
  <c r="L111" i="329"/>
  <c r="K111" i="329"/>
  <c r="H111" i="329"/>
  <c r="G111" i="329"/>
  <c r="F111" i="329"/>
  <c r="D111" i="329"/>
  <c r="C111" i="329"/>
  <c r="B111" i="329"/>
  <c r="AH110" i="329"/>
  <c r="AC110" i="329"/>
  <c r="X110" i="329"/>
  <c r="S110" i="329"/>
  <c r="N110" i="329"/>
  <c r="I110" i="329"/>
  <c r="E110" i="329"/>
  <c r="AH109" i="329"/>
  <c r="AC109" i="329"/>
  <c r="X109" i="329"/>
  <c r="Y109" i="329" s="1"/>
  <c r="S109" i="329"/>
  <c r="N109" i="329"/>
  <c r="I109" i="329"/>
  <c r="O109" i="329" s="1"/>
  <c r="E109" i="329"/>
  <c r="J109" i="329" s="1"/>
  <c r="AH108" i="329"/>
  <c r="AC108" i="329"/>
  <c r="X108" i="329"/>
  <c r="S108" i="329"/>
  <c r="N108" i="329"/>
  <c r="I108" i="329"/>
  <c r="E108" i="329"/>
  <c r="AH106" i="329"/>
  <c r="AC106" i="329"/>
  <c r="X106" i="329"/>
  <c r="AD106" i="329" s="1"/>
  <c r="S106" i="329"/>
  <c r="S111" i="329" s="1"/>
  <c r="N106" i="329"/>
  <c r="I106" i="329"/>
  <c r="E106" i="329"/>
  <c r="AG101" i="329"/>
  <c r="AF101" i="329"/>
  <c r="AE101" i="329"/>
  <c r="AB101" i="329"/>
  <c r="AA101" i="329"/>
  <c r="Z101" i="329"/>
  <c r="W101" i="329"/>
  <c r="V101" i="329"/>
  <c r="U101" i="329"/>
  <c r="R101" i="329"/>
  <c r="Q101" i="329"/>
  <c r="P101" i="329"/>
  <c r="M101" i="329"/>
  <c r="L101" i="329"/>
  <c r="K101" i="329"/>
  <c r="H101" i="329"/>
  <c r="G101" i="329"/>
  <c r="F101" i="329"/>
  <c r="D101" i="329"/>
  <c r="C101" i="329"/>
  <c r="B101" i="329"/>
  <c r="AH100" i="329"/>
  <c r="AC100" i="329"/>
  <c r="X100" i="329"/>
  <c r="S100" i="329"/>
  <c r="N100" i="329"/>
  <c r="I100" i="329"/>
  <c r="E100" i="329"/>
  <c r="J100" i="329" s="1"/>
  <c r="AH99" i="329"/>
  <c r="AI99" i="329" s="1"/>
  <c r="AC99" i="329"/>
  <c r="X99" i="329"/>
  <c r="S99" i="329"/>
  <c r="Y99" i="329" s="1"/>
  <c r="N99" i="329"/>
  <c r="I99" i="329"/>
  <c r="E99" i="329"/>
  <c r="J99" i="329" s="1"/>
  <c r="AH98" i="329"/>
  <c r="AC98" i="329"/>
  <c r="X98" i="329"/>
  <c r="S98" i="329"/>
  <c r="Y98" i="329" s="1"/>
  <c r="N98" i="329"/>
  <c r="I98" i="329"/>
  <c r="E98" i="329"/>
  <c r="AG96" i="329"/>
  <c r="AF96" i="329"/>
  <c r="AE96" i="329"/>
  <c r="AB96" i="329"/>
  <c r="AA96" i="329"/>
  <c r="Z96" i="329"/>
  <c r="W96" i="329"/>
  <c r="V96" i="329"/>
  <c r="U96" i="329"/>
  <c r="R96" i="329"/>
  <c r="Q96" i="329"/>
  <c r="P96" i="329"/>
  <c r="M96" i="329"/>
  <c r="L96" i="329"/>
  <c r="K96" i="329"/>
  <c r="H96" i="329"/>
  <c r="G96" i="329"/>
  <c r="F96" i="329"/>
  <c r="D96" i="329"/>
  <c r="C96" i="329"/>
  <c r="B96" i="329"/>
  <c r="AH95" i="329"/>
  <c r="AC95" i="329"/>
  <c r="X95" i="329"/>
  <c r="S95" i="329"/>
  <c r="N95" i="329"/>
  <c r="O95" i="329" s="1"/>
  <c r="I95" i="329"/>
  <c r="E95" i="329"/>
  <c r="J95" i="329" s="1"/>
  <c r="AH94" i="329"/>
  <c r="AC94" i="329"/>
  <c r="X94" i="329"/>
  <c r="S94" i="329"/>
  <c r="Y94" i="329" s="1"/>
  <c r="N94" i="329"/>
  <c r="I94" i="329"/>
  <c r="O94" i="329" s="1"/>
  <c r="E94" i="329"/>
  <c r="AH93" i="329"/>
  <c r="AC93" i="329"/>
  <c r="X93" i="329"/>
  <c r="S93" i="329"/>
  <c r="N93" i="329"/>
  <c r="T93" i="329" s="1"/>
  <c r="I93" i="329"/>
  <c r="E93" i="329"/>
  <c r="AH92" i="329"/>
  <c r="AI92" i="329" s="1"/>
  <c r="AC92" i="329"/>
  <c r="X92" i="329"/>
  <c r="AD92" i="329" s="1"/>
  <c r="S92" i="329"/>
  <c r="N92" i="329"/>
  <c r="T92" i="329" s="1"/>
  <c r="I92" i="329"/>
  <c r="E92" i="329"/>
  <c r="J92" i="329" s="1"/>
  <c r="AH91" i="329"/>
  <c r="AN91" i="329" s="1"/>
  <c r="AC91" i="329"/>
  <c r="X91" i="329"/>
  <c r="Y91" i="329" s="1"/>
  <c r="S91" i="329"/>
  <c r="N91" i="329"/>
  <c r="I91" i="329"/>
  <c r="E91" i="329"/>
  <c r="J91" i="329" s="1"/>
  <c r="AG89" i="329"/>
  <c r="AF89" i="329"/>
  <c r="AE89" i="329"/>
  <c r="AB89" i="329"/>
  <c r="AA89" i="329"/>
  <c r="Z89" i="329"/>
  <c r="W89" i="329"/>
  <c r="V89" i="329"/>
  <c r="U89" i="329"/>
  <c r="R89" i="329"/>
  <c r="Q89" i="329"/>
  <c r="P89" i="329"/>
  <c r="M89" i="329"/>
  <c r="L89" i="329"/>
  <c r="K89" i="329"/>
  <c r="H89" i="329"/>
  <c r="G89" i="329"/>
  <c r="F89" i="329"/>
  <c r="D89" i="329"/>
  <c r="C89" i="329"/>
  <c r="B89" i="329"/>
  <c r="AH88" i="329"/>
  <c r="AC88" i="329"/>
  <c r="X88" i="329"/>
  <c r="AD88" i="329" s="1"/>
  <c r="S88" i="329"/>
  <c r="N88" i="329"/>
  <c r="T88" i="329" s="1"/>
  <c r="I88" i="329"/>
  <c r="E88" i="329"/>
  <c r="J88" i="329" s="1"/>
  <c r="AH87" i="329"/>
  <c r="AC87" i="329"/>
  <c r="X87" i="329"/>
  <c r="S87" i="329"/>
  <c r="N87" i="329"/>
  <c r="I87" i="329"/>
  <c r="I89" i="329" s="1"/>
  <c r="E87" i="329"/>
  <c r="AG85" i="329"/>
  <c r="AG102" i="329" s="1"/>
  <c r="AF85" i="329"/>
  <c r="AE85" i="329"/>
  <c r="AB85" i="329"/>
  <c r="AB102" i="329" s="1"/>
  <c r="AA85" i="329"/>
  <c r="AA102" i="329" s="1"/>
  <c r="Z85" i="329"/>
  <c r="W85" i="329"/>
  <c r="V85" i="329"/>
  <c r="V102" i="329" s="1"/>
  <c r="U85" i="329"/>
  <c r="U102" i="329" s="1"/>
  <c r="R85" i="329"/>
  <c r="Q85" i="329"/>
  <c r="P85" i="329"/>
  <c r="P102" i="329" s="1"/>
  <c r="M85" i="329"/>
  <c r="M102" i="329" s="1"/>
  <c r="L85" i="329"/>
  <c r="K85" i="329"/>
  <c r="H85" i="329"/>
  <c r="H102" i="329" s="1"/>
  <c r="G85" i="329"/>
  <c r="G102" i="329" s="1"/>
  <c r="F85" i="329"/>
  <c r="D85" i="329"/>
  <c r="C85" i="329"/>
  <c r="C102" i="329" s="1"/>
  <c r="B85" i="329"/>
  <c r="B102" i="329" s="1"/>
  <c r="AH84" i="329"/>
  <c r="AC84" i="329"/>
  <c r="X84" i="329"/>
  <c r="AD84" i="329" s="1"/>
  <c r="S84" i="329"/>
  <c r="N84" i="329"/>
  <c r="I84" i="329"/>
  <c r="E84" i="329"/>
  <c r="J84" i="329" s="1"/>
  <c r="AH83" i="329"/>
  <c r="AI83" i="329" s="1"/>
  <c r="AC83" i="329"/>
  <c r="X83" i="329"/>
  <c r="S83" i="329"/>
  <c r="Y83" i="329" s="1"/>
  <c r="N83" i="329"/>
  <c r="I83" i="329"/>
  <c r="I85" i="329" s="1"/>
  <c r="E83" i="329"/>
  <c r="J83" i="329" s="1"/>
  <c r="AG75" i="329"/>
  <c r="AF75" i="329"/>
  <c r="AE75" i="329"/>
  <c r="AB75" i="329"/>
  <c r="AA75" i="329"/>
  <c r="Z75" i="329"/>
  <c r="W75" i="329"/>
  <c r="V75" i="329"/>
  <c r="U75" i="329"/>
  <c r="R75" i="329"/>
  <c r="Q75" i="329"/>
  <c r="P75" i="329"/>
  <c r="N75" i="329"/>
  <c r="M75" i="329"/>
  <c r="L75" i="329"/>
  <c r="K75" i="329"/>
  <c r="H75" i="329"/>
  <c r="G75" i="329"/>
  <c r="F75" i="329"/>
  <c r="D75" i="329"/>
  <c r="C75" i="329"/>
  <c r="B75" i="329"/>
  <c r="AH74" i="329"/>
  <c r="AC74" i="329"/>
  <c r="X74" i="329"/>
  <c r="S74" i="329"/>
  <c r="N74" i="329"/>
  <c r="I74" i="329"/>
  <c r="E74" i="329"/>
  <c r="AH73" i="329"/>
  <c r="AC73" i="329"/>
  <c r="X73" i="329"/>
  <c r="S73" i="329"/>
  <c r="N73" i="329"/>
  <c r="I73" i="329"/>
  <c r="I75" i="329" s="1"/>
  <c r="E73" i="329"/>
  <c r="J73" i="329" s="1"/>
  <c r="AG71" i="329"/>
  <c r="AF71" i="329"/>
  <c r="AE71" i="329"/>
  <c r="AB71" i="329"/>
  <c r="AA71" i="329"/>
  <c r="Z71" i="329"/>
  <c r="W71" i="329"/>
  <c r="V71" i="329"/>
  <c r="U71" i="329"/>
  <c r="R71" i="329"/>
  <c r="Q71" i="329"/>
  <c r="P71" i="329"/>
  <c r="M71" i="329"/>
  <c r="L71" i="329"/>
  <c r="K71" i="329"/>
  <c r="H71" i="329"/>
  <c r="G71" i="329"/>
  <c r="F71" i="329"/>
  <c r="D71" i="329"/>
  <c r="C71" i="329"/>
  <c r="B71" i="329"/>
  <c r="AH70" i="329"/>
  <c r="AC70" i="329"/>
  <c r="X70" i="329"/>
  <c r="S70" i="329"/>
  <c r="I70" i="329"/>
  <c r="O70" i="329" s="1"/>
  <c r="E70" i="329"/>
  <c r="AH69" i="329"/>
  <c r="AC69" i="329"/>
  <c r="X69" i="329"/>
  <c r="S69" i="329"/>
  <c r="N69" i="329"/>
  <c r="I69" i="329"/>
  <c r="E69" i="329"/>
  <c r="AH68" i="329"/>
  <c r="AC68" i="329"/>
  <c r="X68" i="329"/>
  <c r="S68" i="329"/>
  <c r="N68" i="329"/>
  <c r="T68" i="329" s="1"/>
  <c r="I68" i="329"/>
  <c r="E68" i="329"/>
  <c r="AH67" i="329"/>
  <c r="AC67" i="329"/>
  <c r="X67" i="329"/>
  <c r="S67" i="329"/>
  <c r="N67" i="329"/>
  <c r="I67" i="329"/>
  <c r="E67" i="329"/>
  <c r="AH66" i="329"/>
  <c r="AC66" i="329"/>
  <c r="AD66" i="329" s="1"/>
  <c r="X66" i="329"/>
  <c r="S66" i="329"/>
  <c r="N66" i="329"/>
  <c r="I66" i="329"/>
  <c r="E66" i="329"/>
  <c r="J66" i="329" s="1"/>
  <c r="AH65" i="329"/>
  <c r="AC65" i="329"/>
  <c r="X65" i="329"/>
  <c r="S65" i="329"/>
  <c r="N65" i="329"/>
  <c r="I65" i="329"/>
  <c r="E65" i="329"/>
  <c r="AG63" i="329"/>
  <c r="AF63" i="329"/>
  <c r="AE63" i="329"/>
  <c r="AB63" i="329"/>
  <c r="AA63" i="329"/>
  <c r="Z63" i="329"/>
  <c r="W63" i="329"/>
  <c r="V63" i="329"/>
  <c r="U63" i="329"/>
  <c r="R63" i="329"/>
  <c r="Q63" i="329"/>
  <c r="P63" i="329"/>
  <c r="M63" i="329"/>
  <c r="L63" i="329"/>
  <c r="K63" i="329"/>
  <c r="H63" i="329"/>
  <c r="G63" i="329"/>
  <c r="F63" i="329"/>
  <c r="D63" i="329"/>
  <c r="C63" i="329"/>
  <c r="B63" i="329"/>
  <c r="AH62" i="329"/>
  <c r="AC62" i="329"/>
  <c r="X62" i="329"/>
  <c r="S62" i="329"/>
  <c r="T62" i="329" s="1"/>
  <c r="N62" i="329"/>
  <c r="I62" i="329"/>
  <c r="O62" i="329" s="1"/>
  <c r="E62" i="329"/>
  <c r="AH61" i="329"/>
  <c r="AC61" i="329"/>
  <c r="X61" i="329"/>
  <c r="S61" i="329"/>
  <c r="N61" i="329"/>
  <c r="I61" i="329"/>
  <c r="E61" i="329"/>
  <c r="AH60" i="329"/>
  <c r="AC60" i="329"/>
  <c r="X60" i="329"/>
  <c r="S60" i="329"/>
  <c r="N60" i="329"/>
  <c r="T60" i="329" s="1"/>
  <c r="I60" i="329"/>
  <c r="E60" i="329"/>
  <c r="AH59" i="329"/>
  <c r="AC59" i="329"/>
  <c r="X59" i="329"/>
  <c r="S59" i="329"/>
  <c r="N59" i="329"/>
  <c r="I59" i="329"/>
  <c r="E59" i="329"/>
  <c r="AH58" i="329"/>
  <c r="AC58" i="329"/>
  <c r="X58" i="329"/>
  <c r="Y58" i="329" s="1"/>
  <c r="S58" i="329"/>
  <c r="N58" i="329"/>
  <c r="I58" i="329"/>
  <c r="E58" i="329"/>
  <c r="AG56" i="329"/>
  <c r="AF56" i="329"/>
  <c r="AE56" i="329"/>
  <c r="AB56" i="329"/>
  <c r="AA56" i="329"/>
  <c r="Z56" i="329"/>
  <c r="W56" i="329"/>
  <c r="V56" i="329"/>
  <c r="U56" i="329"/>
  <c r="R56" i="329"/>
  <c r="Q56" i="329"/>
  <c r="P56" i="329"/>
  <c r="M56" i="329"/>
  <c r="L56" i="329"/>
  <c r="K56" i="329"/>
  <c r="H56" i="329"/>
  <c r="G56" i="329"/>
  <c r="F56" i="329"/>
  <c r="D56" i="329"/>
  <c r="C56" i="329"/>
  <c r="B56" i="329"/>
  <c r="AH55" i="329"/>
  <c r="AC55" i="329"/>
  <c r="X55" i="329"/>
  <c r="S55" i="329"/>
  <c r="Y55" i="329" s="1"/>
  <c r="N55" i="329"/>
  <c r="I55" i="329"/>
  <c r="E55" i="329"/>
  <c r="J55" i="329" s="1"/>
  <c r="AH54" i="329"/>
  <c r="AI54" i="329" s="1"/>
  <c r="AC54" i="329"/>
  <c r="X54" i="329"/>
  <c r="S54" i="329"/>
  <c r="N54" i="329"/>
  <c r="I54" i="329"/>
  <c r="E54" i="329"/>
  <c r="AH53" i="329"/>
  <c r="AC53" i="329"/>
  <c r="X53" i="329"/>
  <c r="Y53" i="329" s="1"/>
  <c r="N53" i="329"/>
  <c r="T53" i="329" s="1"/>
  <c r="I53" i="329"/>
  <c r="E53" i="329"/>
  <c r="AH52" i="329"/>
  <c r="AC52" i="329"/>
  <c r="X52" i="329"/>
  <c r="AD52" i="329" s="1"/>
  <c r="S52" i="329"/>
  <c r="N52" i="329"/>
  <c r="I52" i="329"/>
  <c r="E52" i="329"/>
  <c r="AH51" i="329"/>
  <c r="AC51" i="329"/>
  <c r="X51" i="329"/>
  <c r="S51" i="329"/>
  <c r="N51" i="329"/>
  <c r="I51" i="329"/>
  <c r="E51" i="329"/>
  <c r="J51" i="329" s="1"/>
  <c r="AH50" i="329"/>
  <c r="AC50" i="329"/>
  <c r="X50" i="329"/>
  <c r="S50" i="329"/>
  <c r="N50" i="329"/>
  <c r="I50" i="329"/>
  <c r="E50" i="329"/>
  <c r="J50" i="329" s="1"/>
  <c r="AG48" i="329"/>
  <c r="AF48" i="329"/>
  <c r="AF76" i="329" s="1"/>
  <c r="AE48" i="329"/>
  <c r="AE76" i="329" s="1"/>
  <c r="AB48" i="329"/>
  <c r="AB76" i="329" s="1"/>
  <c r="AA48" i="329"/>
  <c r="AA76" i="329" s="1"/>
  <c r="Z48" i="329"/>
  <c r="W48" i="329"/>
  <c r="W76" i="329" s="1"/>
  <c r="V48" i="329"/>
  <c r="V76" i="329" s="1"/>
  <c r="U48" i="329"/>
  <c r="U76" i="329" s="1"/>
  <c r="R48" i="329"/>
  <c r="Q48" i="329"/>
  <c r="Q76" i="329" s="1"/>
  <c r="P48" i="329"/>
  <c r="P76" i="329" s="1"/>
  <c r="M48" i="329"/>
  <c r="M76" i="329" s="1"/>
  <c r="L48" i="329"/>
  <c r="K48" i="329"/>
  <c r="K76" i="329" s="1"/>
  <c r="H48" i="329"/>
  <c r="G48" i="329"/>
  <c r="G76" i="329" s="1"/>
  <c r="F48" i="329"/>
  <c r="D48" i="329"/>
  <c r="D76" i="329" s="1"/>
  <c r="C48" i="329"/>
  <c r="B48" i="329"/>
  <c r="B76" i="329" s="1"/>
  <c r="AH47" i="329"/>
  <c r="AC47" i="329"/>
  <c r="AC48" i="329" s="1"/>
  <c r="X47" i="329"/>
  <c r="S47" i="329"/>
  <c r="N47" i="329"/>
  <c r="I47" i="329"/>
  <c r="E47" i="329"/>
  <c r="AH46" i="329"/>
  <c r="AC46" i="329"/>
  <c r="X46" i="329"/>
  <c r="AD46" i="329" s="1"/>
  <c r="S46" i="329"/>
  <c r="N46" i="329"/>
  <c r="I46" i="329"/>
  <c r="E46" i="329"/>
  <c r="AH38" i="329"/>
  <c r="AC38" i="329"/>
  <c r="X38" i="329"/>
  <c r="S38" i="329"/>
  <c r="N38" i="329"/>
  <c r="I38" i="329"/>
  <c r="E38" i="329"/>
  <c r="AH36" i="329"/>
  <c r="AC36" i="329"/>
  <c r="AI36" i="329" s="1"/>
  <c r="X36" i="329"/>
  <c r="S36" i="329"/>
  <c r="N36" i="329"/>
  <c r="T36" i="329" s="1"/>
  <c r="I36" i="329"/>
  <c r="J36" i="329" s="1"/>
  <c r="E36" i="329"/>
  <c r="AG34" i="329"/>
  <c r="AG39" i="329" s="1"/>
  <c r="AF34" i="329"/>
  <c r="AF39" i="329" s="1"/>
  <c r="AE34" i="329"/>
  <c r="AE39" i="329" s="1"/>
  <c r="AB34" i="329"/>
  <c r="AB39" i="329" s="1"/>
  <c r="AA34" i="329"/>
  <c r="AA39" i="329" s="1"/>
  <c r="Z34" i="329"/>
  <c r="Z39" i="329" s="1"/>
  <c r="W34" i="329"/>
  <c r="W39" i="329" s="1"/>
  <c r="V34" i="329"/>
  <c r="V39" i="329" s="1"/>
  <c r="U34" i="329"/>
  <c r="U39" i="329" s="1"/>
  <c r="R34" i="329"/>
  <c r="R39" i="329" s="1"/>
  <c r="Q34" i="329"/>
  <c r="Q39" i="329" s="1"/>
  <c r="P34" i="329"/>
  <c r="P39" i="329" s="1"/>
  <c r="M34" i="329"/>
  <c r="M39" i="329" s="1"/>
  <c r="L34" i="329"/>
  <c r="L39" i="329" s="1"/>
  <c r="K34" i="329"/>
  <c r="K39" i="329" s="1"/>
  <c r="H34" i="329"/>
  <c r="H39" i="329" s="1"/>
  <c r="G34" i="329"/>
  <c r="G39" i="329" s="1"/>
  <c r="F34" i="329"/>
  <c r="F39" i="329" s="1"/>
  <c r="D34" i="329"/>
  <c r="D39" i="329" s="1"/>
  <c r="C34" i="329"/>
  <c r="C39" i="329" s="1"/>
  <c r="B34" i="329"/>
  <c r="B39" i="329" s="1"/>
  <c r="AH33" i="329"/>
  <c r="AC33" i="329"/>
  <c r="X33" i="329"/>
  <c r="S33" i="329"/>
  <c r="N33" i="329"/>
  <c r="I33" i="329"/>
  <c r="E33" i="329"/>
  <c r="AH32" i="329"/>
  <c r="AC32" i="329"/>
  <c r="AI32" i="329" s="1"/>
  <c r="X32" i="329"/>
  <c r="S32" i="329"/>
  <c r="Y32" i="329" s="1"/>
  <c r="N32" i="329"/>
  <c r="I32" i="329"/>
  <c r="E32" i="329"/>
  <c r="AH31" i="329"/>
  <c r="AC31" i="329"/>
  <c r="X31" i="329"/>
  <c r="S31" i="329"/>
  <c r="N31" i="329"/>
  <c r="I31" i="329"/>
  <c r="E31" i="329"/>
  <c r="AH30" i="329"/>
  <c r="AC30" i="329"/>
  <c r="X30" i="329"/>
  <c r="AD30" i="329" s="1"/>
  <c r="S30" i="329"/>
  <c r="N30" i="329"/>
  <c r="T30" i="329" s="1"/>
  <c r="I30" i="329"/>
  <c r="E30" i="329"/>
  <c r="AH29" i="329"/>
  <c r="AC29" i="329"/>
  <c r="AD29" i="329" s="1"/>
  <c r="X29" i="329"/>
  <c r="S29" i="329"/>
  <c r="N29" i="329"/>
  <c r="I29" i="329"/>
  <c r="I34" i="329" s="1"/>
  <c r="E29" i="329"/>
  <c r="M22" i="329"/>
  <c r="AG21" i="329"/>
  <c r="AF21" i="329"/>
  <c r="AE21" i="329"/>
  <c r="AB21" i="329"/>
  <c r="AA21" i="329"/>
  <c r="Z21" i="329"/>
  <c r="W21" i="329"/>
  <c r="V21" i="329"/>
  <c r="U21" i="329"/>
  <c r="R21" i="329"/>
  <c r="Q21" i="329"/>
  <c r="P21" i="329"/>
  <c r="M21" i="329"/>
  <c r="L21" i="329"/>
  <c r="K21" i="329"/>
  <c r="K22" i="329" s="1"/>
  <c r="H21" i="329"/>
  <c r="G21" i="329"/>
  <c r="F21" i="329"/>
  <c r="D21" i="329"/>
  <c r="C21" i="329"/>
  <c r="B21" i="329"/>
  <c r="AH20" i="329"/>
  <c r="AD20" i="329"/>
  <c r="AC20" i="329"/>
  <c r="AI20" i="329" s="1"/>
  <c r="X20" i="329"/>
  <c r="S20" i="329"/>
  <c r="Y20" i="329" s="1"/>
  <c r="N20" i="329"/>
  <c r="I20" i="329"/>
  <c r="O20" i="329" s="1"/>
  <c r="E20" i="329"/>
  <c r="AH19" i="329"/>
  <c r="AC19" i="329"/>
  <c r="X19" i="329"/>
  <c r="S19" i="329"/>
  <c r="N19" i="329"/>
  <c r="I19" i="329"/>
  <c r="E19" i="329"/>
  <c r="J19" i="329" s="1"/>
  <c r="AH17" i="329"/>
  <c r="AC17" i="329"/>
  <c r="Y17" i="329"/>
  <c r="X17" i="329"/>
  <c r="AD17" i="329" s="1"/>
  <c r="S17" i="329"/>
  <c r="N17" i="329"/>
  <c r="T17" i="329" s="1"/>
  <c r="I17" i="329"/>
  <c r="E17" i="329"/>
  <c r="AG15" i="329"/>
  <c r="AF15" i="329"/>
  <c r="AF22" i="329" s="1"/>
  <c r="AE15" i="329"/>
  <c r="AB15" i="329"/>
  <c r="AA15" i="329"/>
  <c r="Z15" i="329"/>
  <c r="W15" i="329"/>
  <c r="V15" i="329"/>
  <c r="U15" i="329"/>
  <c r="U22" i="329" s="1"/>
  <c r="R15" i="329"/>
  <c r="Q15" i="329"/>
  <c r="P15" i="329"/>
  <c r="P22" i="329" s="1"/>
  <c r="M15" i="329"/>
  <c r="L15" i="329"/>
  <c r="L22" i="329" s="1"/>
  <c r="K15" i="329"/>
  <c r="H15" i="329"/>
  <c r="H22" i="329" s="1"/>
  <c r="G15" i="329"/>
  <c r="F15" i="329"/>
  <c r="D15" i="329"/>
  <c r="C15" i="329"/>
  <c r="B15" i="329"/>
  <c r="AH14" i="329"/>
  <c r="AC14" i="329"/>
  <c r="X14" i="329"/>
  <c r="S14" i="329"/>
  <c r="N14" i="329"/>
  <c r="I14" i="329"/>
  <c r="E14" i="329"/>
  <c r="J14" i="329" s="1"/>
  <c r="AH13" i="329"/>
  <c r="AC13" i="329"/>
  <c r="X13" i="329"/>
  <c r="S13" i="329"/>
  <c r="Y13" i="329" s="1"/>
  <c r="N13" i="329"/>
  <c r="I13" i="329"/>
  <c r="O13" i="329" s="1"/>
  <c r="E13" i="329"/>
  <c r="J13" i="329" s="1"/>
  <c r="AH12" i="329"/>
  <c r="AC12" i="329"/>
  <c r="X12" i="329"/>
  <c r="S12" i="329"/>
  <c r="N12" i="329"/>
  <c r="I12" i="329"/>
  <c r="E12" i="329"/>
  <c r="AH11" i="329"/>
  <c r="AC11" i="329"/>
  <c r="X11" i="329"/>
  <c r="S11" i="329"/>
  <c r="N11" i="329"/>
  <c r="I11" i="329"/>
  <c r="E11" i="329"/>
  <c r="AH10" i="329"/>
  <c r="AC10" i="329"/>
  <c r="X10" i="329"/>
  <c r="S10" i="329"/>
  <c r="N10" i="329"/>
  <c r="I10" i="329"/>
  <c r="E10" i="329"/>
  <c r="AH9" i="329"/>
  <c r="AC9" i="329"/>
  <c r="X9" i="329"/>
  <c r="S9" i="329"/>
  <c r="N9" i="329"/>
  <c r="I9" i="329"/>
  <c r="O9" i="329" s="1"/>
  <c r="E9" i="329"/>
  <c r="AH8" i="329"/>
  <c r="AC8" i="329"/>
  <c r="X8" i="329"/>
  <c r="S8" i="329"/>
  <c r="N8" i="329"/>
  <c r="I8" i="329"/>
  <c r="E8" i="329"/>
  <c r="AH7" i="329"/>
  <c r="AC7" i="329"/>
  <c r="X7" i="329"/>
  <c r="S7" i="329"/>
  <c r="N7" i="329"/>
  <c r="I7" i="329"/>
  <c r="E7" i="329"/>
  <c r="L75" i="330" l="1"/>
  <c r="Z75" i="330"/>
  <c r="D89" i="330"/>
  <c r="Q89" i="330"/>
  <c r="AE89" i="330"/>
  <c r="X51" i="330"/>
  <c r="AD7" i="329"/>
  <c r="J11" i="329"/>
  <c r="AH21" i="329"/>
  <c r="J20" i="329"/>
  <c r="J38" i="329"/>
  <c r="AI73" i="329"/>
  <c r="T84" i="329"/>
  <c r="AH89" i="329"/>
  <c r="AI95" i="329"/>
  <c r="O98" i="329"/>
  <c r="T100" i="329"/>
  <c r="AI94" i="329"/>
  <c r="T11" i="329"/>
  <c r="T12" i="329"/>
  <c r="I21" i="329"/>
  <c r="Q22" i="329"/>
  <c r="Y30" i="329"/>
  <c r="AD32" i="329"/>
  <c r="J87" i="329"/>
  <c r="AD100" i="329"/>
  <c r="O66" i="329"/>
  <c r="AI93" i="329"/>
  <c r="AN73" i="329"/>
  <c r="AD11" i="329"/>
  <c r="S21" i="329"/>
  <c r="AI30" i="329"/>
  <c r="J32" i="329"/>
  <c r="J33" i="329"/>
  <c r="AI46" i="329"/>
  <c r="J93" i="329"/>
  <c r="AI98" i="329"/>
  <c r="T106" i="329"/>
  <c r="AN100" i="329"/>
  <c r="V22" i="329"/>
  <c r="J30" i="329"/>
  <c r="J31" i="329"/>
  <c r="AD36" i="329"/>
  <c r="Y108" i="329"/>
  <c r="Y107" i="330"/>
  <c r="O31" i="329"/>
  <c r="AC75" i="329"/>
  <c r="AD87" i="329"/>
  <c r="AI88" i="329"/>
  <c r="AN19" i="329"/>
  <c r="AN32" i="329"/>
  <c r="V31" i="323"/>
  <c r="V100" i="323"/>
  <c r="V65" i="323"/>
  <c r="Q26" i="27"/>
  <c r="R26" i="27" s="1"/>
  <c r="S139" i="323"/>
  <c r="V139" i="323" s="1"/>
  <c r="O46" i="329"/>
  <c r="J46" i="329"/>
  <c r="T66" i="329"/>
  <c r="Y66" i="329"/>
  <c r="AD109" i="329"/>
  <c r="AI109" i="329"/>
  <c r="S89" i="329"/>
  <c r="Y87" i="329"/>
  <c r="AN93" i="329"/>
  <c r="T20" i="329"/>
  <c r="O30" i="329"/>
  <c r="T32" i="329"/>
  <c r="E48" i="329"/>
  <c r="J47" i="329"/>
  <c r="X75" i="329"/>
  <c r="AD75" i="329" s="1"/>
  <c r="AD73" i="329"/>
  <c r="O91" i="329"/>
  <c r="T95" i="329"/>
  <c r="Y95" i="329"/>
  <c r="E111" i="329"/>
  <c r="J106" i="329"/>
  <c r="AN88" i="329"/>
  <c r="O50" i="329"/>
  <c r="AD58" i="329"/>
  <c r="AI58" i="329"/>
  <c r="O99" i="329"/>
  <c r="AN70" i="329"/>
  <c r="Y11" i="329"/>
  <c r="O17" i="329"/>
  <c r="AC21" i="329"/>
  <c r="Y19" i="329"/>
  <c r="F22" i="329"/>
  <c r="R22" i="329"/>
  <c r="W22" i="329"/>
  <c r="AE22" i="329"/>
  <c r="Y31" i="329"/>
  <c r="O32" i="329"/>
  <c r="T33" i="329"/>
  <c r="AD38" i="329"/>
  <c r="X48" i="329"/>
  <c r="C76" i="329"/>
  <c r="H76" i="329"/>
  <c r="AG76" i="329"/>
  <c r="AH56" i="329"/>
  <c r="O51" i="329"/>
  <c r="Y52" i="329"/>
  <c r="AI60" i="329"/>
  <c r="J62" i="329"/>
  <c r="J67" i="329"/>
  <c r="AD67" i="329"/>
  <c r="J68" i="329"/>
  <c r="Y68" i="329"/>
  <c r="O69" i="329"/>
  <c r="O73" i="329"/>
  <c r="O74" i="329"/>
  <c r="AI74" i="329"/>
  <c r="AH75" i="329"/>
  <c r="AI75" i="329" s="1"/>
  <c r="O83" i="329"/>
  <c r="AD83" i="329"/>
  <c r="D102" i="329"/>
  <c r="K102" i="329"/>
  <c r="Q102" i="329"/>
  <c r="W102" i="329"/>
  <c r="AE102" i="329"/>
  <c r="AI87" i="329"/>
  <c r="AD91" i="329"/>
  <c r="Y93" i="329"/>
  <c r="AD99" i="329"/>
  <c r="AH111" i="329"/>
  <c r="T109" i="329"/>
  <c r="T110" i="329"/>
  <c r="AI110" i="329"/>
  <c r="AN20" i="329"/>
  <c r="AN33" i="329"/>
  <c r="AN36" i="329"/>
  <c r="AN51" i="329"/>
  <c r="AN55" i="329"/>
  <c r="AN59" i="329"/>
  <c r="AN67" i="329"/>
  <c r="AN94" i="329"/>
  <c r="AN108" i="329"/>
  <c r="E21" i="329"/>
  <c r="B22" i="329"/>
  <c r="G22" i="329"/>
  <c r="Z22" i="329"/>
  <c r="S34" i="329"/>
  <c r="Y36" i="329"/>
  <c r="S56" i="329"/>
  <c r="T55" i="329"/>
  <c r="E75" i="329"/>
  <c r="J75" i="329" s="1"/>
  <c r="T83" i="329"/>
  <c r="AH85" i="329"/>
  <c r="F102" i="329"/>
  <c r="L102" i="329"/>
  <c r="R102" i="329"/>
  <c r="Z102" i="329"/>
  <c r="AF102" i="329"/>
  <c r="N89" i="329"/>
  <c r="T89" i="329" s="1"/>
  <c r="S96" i="329"/>
  <c r="AH96" i="329"/>
  <c r="O93" i="329"/>
  <c r="T99" i="329"/>
  <c r="AH101" i="329"/>
  <c r="Y106" i="329"/>
  <c r="I13" i="330"/>
  <c r="AC13" i="330"/>
  <c r="N74" i="330"/>
  <c r="AN30" i="329"/>
  <c r="AN92" i="329"/>
  <c r="AN95" i="329"/>
  <c r="AN98" i="329"/>
  <c r="AN109" i="329"/>
  <c r="Y7" i="329"/>
  <c r="J9" i="329"/>
  <c r="Y9" i="329"/>
  <c r="O11" i="329"/>
  <c r="J12" i="329"/>
  <c r="AI17" i="329"/>
  <c r="O19" i="329"/>
  <c r="AI19" i="329"/>
  <c r="C22" i="329"/>
  <c r="AA22" i="329"/>
  <c r="AA114" i="329" s="1"/>
  <c r="AG22" i="329"/>
  <c r="J29" i="329"/>
  <c r="X34" i="329"/>
  <c r="X39" i="329" s="1"/>
  <c r="AI31" i="329"/>
  <c r="O33" i="329"/>
  <c r="AD33" i="329"/>
  <c r="O36" i="329"/>
  <c r="S48" i="329"/>
  <c r="Y48" i="329" s="1"/>
  <c r="N48" i="329"/>
  <c r="AH48" i="329"/>
  <c r="F76" i="329"/>
  <c r="L76" i="329"/>
  <c r="R76" i="329"/>
  <c r="Z76" i="329"/>
  <c r="Y51" i="329"/>
  <c r="J52" i="329"/>
  <c r="O52" i="329" s="1"/>
  <c r="T54" i="329"/>
  <c r="O55" i="329"/>
  <c r="I63" i="329"/>
  <c r="J59" i="329"/>
  <c r="J60" i="329"/>
  <c r="Y60" i="329"/>
  <c r="AI62" i="329"/>
  <c r="AI68" i="329"/>
  <c r="Y69" i="329"/>
  <c r="J70" i="329"/>
  <c r="AI70" i="329"/>
  <c r="O75" i="329"/>
  <c r="T73" i="329"/>
  <c r="Y74" i="329"/>
  <c r="S85" i="329"/>
  <c r="O87" i="329"/>
  <c r="I96" i="329"/>
  <c r="X96" i="329"/>
  <c r="AI91" i="329"/>
  <c r="AD93" i="329"/>
  <c r="AD95" i="329"/>
  <c r="I101" i="329"/>
  <c r="S101" i="329"/>
  <c r="N111" i="329"/>
  <c r="AC111" i="329"/>
  <c r="AI111" i="329" s="1"/>
  <c r="O108" i="329"/>
  <c r="AI108" i="329"/>
  <c r="J110" i="329"/>
  <c r="AD110" i="329"/>
  <c r="X11" i="330"/>
  <c r="N13" i="330"/>
  <c r="B21" i="330"/>
  <c r="M21" i="330"/>
  <c r="U21" i="330"/>
  <c r="AA21" i="330"/>
  <c r="AG21" i="330"/>
  <c r="AH31" i="330"/>
  <c r="AN31" i="330" s="1"/>
  <c r="X33" i="330"/>
  <c r="N38" i="330"/>
  <c r="C48" i="330"/>
  <c r="H48" i="330"/>
  <c r="G75" i="330"/>
  <c r="M75" i="330"/>
  <c r="AB85" i="330"/>
  <c r="F89" i="330"/>
  <c r="AN31" i="329"/>
  <c r="AN46" i="329"/>
  <c r="AN84" i="329"/>
  <c r="AN110" i="329"/>
  <c r="N12" i="330"/>
  <c r="N33" i="330"/>
  <c r="AH38" i="330"/>
  <c r="AN38" i="330" s="1"/>
  <c r="AC73" i="330"/>
  <c r="AH99" i="330"/>
  <c r="AN99" i="330" s="1"/>
  <c r="L48" i="330"/>
  <c r="N52" i="330"/>
  <c r="N55" i="330"/>
  <c r="C63" i="330"/>
  <c r="P63" i="330"/>
  <c r="X59" i="330"/>
  <c r="N61" i="330"/>
  <c r="S62" i="330"/>
  <c r="X93" i="330"/>
  <c r="Q101" i="330"/>
  <c r="W101" i="330"/>
  <c r="AE101" i="330"/>
  <c r="Y10" i="329"/>
  <c r="Y14" i="329"/>
  <c r="AI51" i="329"/>
  <c r="AI55" i="329"/>
  <c r="AH10" i="330"/>
  <c r="AN10" i="330" s="1"/>
  <c r="N31" i="330"/>
  <c r="N32" i="330"/>
  <c r="AH32" i="330"/>
  <c r="AN32" i="330" s="1"/>
  <c r="AC50" i="330"/>
  <c r="AH51" i="330"/>
  <c r="AN51" i="330" s="1"/>
  <c r="S53" i="330"/>
  <c r="AC61" i="330"/>
  <c r="P71" i="330"/>
  <c r="V71" i="330"/>
  <c r="AB71" i="330"/>
  <c r="E66" i="330"/>
  <c r="AC66" i="330"/>
  <c r="B96" i="330"/>
  <c r="G96" i="330"/>
  <c r="M96" i="330"/>
  <c r="AH92" i="330"/>
  <c r="AN92" i="330" s="1"/>
  <c r="AN52" i="329"/>
  <c r="AN60" i="329"/>
  <c r="AI7" i="329"/>
  <c r="AD8" i="329"/>
  <c r="T9" i="329"/>
  <c r="AI13" i="329"/>
  <c r="I56" i="329"/>
  <c r="T51" i="329"/>
  <c r="O54" i="329"/>
  <c r="AD54" i="329"/>
  <c r="AD55" i="329"/>
  <c r="O60" i="329"/>
  <c r="Y62" i="329"/>
  <c r="T67" i="329"/>
  <c r="AI67" i="329"/>
  <c r="O68" i="329"/>
  <c r="AI69" i="329"/>
  <c r="Y70" i="329"/>
  <c r="X9" i="330"/>
  <c r="X30" i="330"/>
  <c r="R48" i="330"/>
  <c r="AF48" i="330"/>
  <c r="I74" i="330"/>
  <c r="X84" i="330"/>
  <c r="AH88" i="330"/>
  <c r="AN88" i="330" s="1"/>
  <c r="I95" i="330"/>
  <c r="AC95" i="330"/>
  <c r="B101" i="330"/>
  <c r="G101" i="330"/>
  <c r="M101" i="330"/>
  <c r="AA101" i="330"/>
  <c r="AG101" i="330"/>
  <c r="AN53" i="329"/>
  <c r="AN61" i="329"/>
  <c r="AN65" i="329"/>
  <c r="AN68" i="329"/>
  <c r="T7" i="329"/>
  <c r="AI9" i="329"/>
  <c r="AC56" i="329"/>
  <c r="AI56" i="329" s="1"/>
  <c r="AI52" i="329"/>
  <c r="AI53" i="329"/>
  <c r="E63" i="329"/>
  <c r="J63" i="329" s="1"/>
  <c r="AD60" i="329"/>
  <c r="AD62" i="329"/>
  <c r="E71" i="329"/>
  <c r="X71" i="329"/>
  <c r="AI66" i="329"/>
  <c r="AD68" i="329"/>
  <c r="N8" i="330"/>
  <c r="AH8" i="330"/>
  <c r="AN8" i="330" s="1"/>
  <c r="AH12" i="330"/>
  <c r="AN12" i="330" s="1"/>
  <c r="E14" i="330"/>
  <c r="AC17" i="330"/>
  <c r="AH19" i="330"/>
  <c r="AN19" i="330" s="1"/>
  <c r="N29" i="330"/>
  <c r="G48" i="330"/>
  <c r="M48" i="330"/>
  <c r="U48" i="330"/>
  <c r="AA48" i="330"/>
  <c r="B63" i="330"/>
  <c r="G63" i="330"/>
  <c r="M63" i="330"/>
  <c r="AG63" i="330"/>
  <c r="N60" i="330"/>
  <c r="S67" i="330"/>
  <c r="X68" i="330"/>
  <c r="AC69" i="330"/>
  <c r="N70" i="330"/>
  <c r="AH70" i="330"/>
  <c r="AN70" i="330" s="1"/>
  <c r="C75" i="330"/>
  <c r="H75" i="330"/>
  <c r="D85" i="330"/>
  <c r="M89" i="330"/>
  <c r="U89" i="330"/>
  <c r="N94" i="330"/>
  <c r="N95" i="330"/>
  <c r="AN50" i="329"/>
  <c r="AN54" i="329"/>
  <c r="AN62" i="329"/>
  <c r="AN66" i="329"/>
  <c r="AN69" i="329"/>
  <c r="E11" i="330"/>
  <c r="AC11" i="330"/>
  <c r="S12" i="330"/>
  <c r="T12" i="330" s="1"/>
  <c r="E13" i="330"/>
  <c r="J13" i="330" s="1"/>
  <c r="B34" i="330"/>
  <c r="G34" i="330"/>
  <c r="G39" i="330" s="1"/>
  <c r="M34" i="330"/>
  <c r="Z34" i="330"/>
  <c r="Z39" i="330" s="1"/>
  <c r="AF34" i="330"/>
  <c r="AF39" i="330" s="1"/>
  <c r="X32" i="330"/>
  <c r="AH33" i="330"/>
  <c r="AN33" i="330" s="1"/>
  <c r="N46" i="330"/>
  <c r="Q56" i="330"/>
  <c r="W56" i="330"/>
  <c r="E51" i="330"/>
  <c r="X54" i="330"/>
  <c r="S61" i="330"/>
  <c r="T61" i="330" s="1"/>
  <c r="I62" i="330"/>
  <c r="S70" i="330"/>
  <c r="B85" i="330"/>
  <c r="E93" i="330"/>
  <c r="AC93" i="330"/>
  <c r="S94" i="330"/>
  <c r="E95" i="330"/>
  <c r="C101" i="330"/>
  <c r="H101" i="330"/>
  <c r="E100" i="330"/>
  <c r="AA15" i="330"/>
  <c r="AG15" i="330"/>
  <c r="I8" i="330"/>
  <c r="AH11" i="330"/>
  <c r="X12" i="330"/>
  <c r="H21" i="330"/>
  <c r="V21" i="330"/>
  <c r="AB21" i="330"/>
  <c r="X29" i="330"/>
  <c r="I30" i="330"/>
  <c r="AH30" i="330"/>
  <c r="AN30" i="330" s="1"/>
  <c r="X31" i="330"/>
  <c r="AH52" i="330"/>
  <c r="AN52" i="330" s="1"/>
  <c r="L63" i="330"/>
  <c r="R63" i="330"/>
  <c r="AE63" i="330"/>
  <c r="I61" i="330"/>
  <c r="O61" i="330" s="1"/>
  <c r="L71" i="330"/>
  <c r="R71" i="330"/>
  <c r="N66" i="330"/>
  <c r="S66" i="330"/>
  <c r="I67" i="330"/>
  <c r="I70" i="330"/>
  <c r="O70" i="330" s="1"/>
  <c r="D75" i="330"/>
  <c r="W75" i="330"/>
  <c r="E74" i="330"/>
  <c r="S84" i="330"/>
  <c r="AC88" i="330"/>
  <c r="AH93" i="330"/>
  <c r="AN93" i="330" s="1"/>
  <c r="X94" i="330"/>
  <c r="D111" i="330"/>
  <c r="K111" i="330"/>
  <c r="Q111" i="330"/>
  <c r="W111" i="330"/>
  <c r="AE111" i="330"/>
  <c r="I108" i="330"/>
  <c r="S108" i="330"/>
  <c r="AC108" i="330"/>
  <c r="E109" i="330"/>
  <c r="X109" i="330"/>
  <c r="C15" i="330"/>
  <c r="I7" i="330"/>
  <c r="S7" i="330"/>
  <c r="V15" i="330"/>
  <c r="N10" i="330"/>
  <c r="X13" i="330"/>
  <c r="S14" i="330"/>
  <c r="AC14" i="330"/>
  <c r="S19" i="330"/>
  <c r="E20" i="330"/>
  <c r="AE48" i="330"/>
  <c r="AC53" i="330"/>
  <c r="N54" i="330"/>
  <c r="AH54" i="330"/>
  <c r="AN54" i="330" s="1"/>
  <c r="E55" i="330"/>
  <c r="S55" i="330"/>
  <c r="S58" i="330"/>
  <c r="Z63" i="330"/>
  <c r="AF63" i="330"/>
  <c r="S60" i="330"/>
  <c r="E61" i="330"/>
  <c r="J61" i="330" s="1"/>
  <c r="AG71" i="330"/>
  <c r="I66" i="330"/>
  <c r="I68" i="330"/>
  <c r="AC68" i="330"/>
  <c r="S69" i="330"/>
  <c r="E70" i="330"/>
  <c r="I73" i="330"/>
  <c r="S74" i="330"/>
  <c r="T74" i="330" s="1"/>
  <c r="L85" i="330"/>
  <c r="AC83" i="330"/>
  <c r="H89" i="330"/>
  <c r="P89" i="330"/>
  <c r="V89" i="330"/>
  <c r="E88" i="330"/>
  <c r="Z96" i="330"/>
  <c r="AF96" i="330"/>
  <c r="N92" i="330"/>
  <c r="X95" i="330"/>
  <c r="AD95" i="330" s="1"/>
  <c r="Z101" i="330"/>
  <c r="AF101" i="330"/>
  <c r="N99" i="330"/>
  <c r="I106" i="330"/>
  <c r="AC106" i="330"/>
  <c r="AH108" i="330"/>
  <c r="X110" i="330"/>
  <c r="AB22" i="329"/>
  <c r="D22" i="329"/>
  <c r="B56" i="330"/>
  <c r="E50" i="330"/>
  <c r="K56" i="330"/>
  <c r="E15" i="329"/>
  <c r="J7" i="329"/>
  <c r="J10" i="329"/>
  <c r="X7" i="330"/>
  <c r="N14" i="330"/>
  <c r="AH14" i="330"/>
  <c r="AN14" i="330" s="1"/>
  <c r="C21" i="330"/>
  <c r="I20" i="330"/>
  <c r="C34" i="330"/>
  <c r="C39" i="330" s="1"/>
  <c r="H34" i="330"/>
  <c r="H39" i="330" s="1"/>
  <c r="AA34" i="330"/>
  <c r="AA39" i="330" s="1"/>
  <c r="AG34" i="330"/>
  <c r="AG39" i="330" s="1"/>
  <c r="X47" i="330"/>
  <c r="F56" i="330"/>
  <c r="I50" i="330"/>
  <c r="O7" i="329"/>
  <c r="AH15" i="329"/>
  <c r="AH22" i="329" s="1"/>
  <c r="T8" i="329"/>
  <c r="AD13" i="329"/>
  <c r="O14" i="329"/>
  <c r="AI14" i="329"/>
  <c r="E7" i="330"/>
  <c r="J7" i="330" s="1"/>
  <c r="K15" i="330"/>
  <c r="Q15" i="330"/>
  <c r="W15" i="330"/>
  <c r="AC7" i="330"/>
  <c r="E8" i="330"/>
  <c r="S8" i="330"/>
  <c r="AC8" i="330"/>
  <c r="I9" i="330"/>
  <c r="S9" i="330"/>
  <c r="I10" i="330"/>
  <c r="AH13" i="330"/>
  <c r="AN13" i="330" s="1"/>
  <c r="X14" i="330"/>
  <c r="D21" i="330"/>
  <c r="N17" i="330"/>
  <c r="Q21" i="330"/>
  <c r="W21" i="330"/>
  <c r="AC19" i="330"/>
  <c r="AI19" i="330" s="1"/>
  <c r="X20" i="330"/>
  <c r="D34" i="330"/>
  <c r="D39" i="330" s="1"/>
  <c r="K34" i="330"/>
  <c r="K39" i="330" s="1"/>
  <c r="P34" i="330"/>
  <c r="P39" i="330" s="1"/>
  <c r="V34" i="330"/>
  <c r="V39" i="330" s="1"/>
  <c r="AB34" i="330"/>
  <c r="AB39" i="330" s="1"/>
  <c r="AC30" i="330"/>
  <c r="S31" i="330"/>
  <c r="N36" i="330"/>
  <c r="X36" i="330"/>
  <c r="AH36" i="330"/>
  <c r="AN36" i="330" s="1"/>
  <c r="D48" i="330"/>
  <c r="K48" i="330"/>
  <c r="P48" i="330"/>
  <c r="X46" i="330"/>
  <c r="AB48" i="330"/>
  <c r="AH46" i="330"/>
  <c r="AN46" i="330" s="1"/>
  <c r="I47" i="330"/>
  <c r="N47" i="330"/>
  <c r="C56" i="330"/>
  <c r="G56" i="330"/>
  <c r="L56" i="330"/>
  <c r="R56" i="330"/>
  <c r="AE56" i="330"/>
  <c r="S51" i="330"/>
  <c r="Y51" i="330" s="1"/>
  <c r="AC51" i="330"/>
  <c r="AD51" i="330" s="1"/>
  <c r="X52" i="330"/>
  <c r="X53" i="330"/>
  <c r="I54" i="330"/>
  <c r="AC54" i="330"/>
  <c r="I59" i="330"/>
  <c r="AC59" i="330"/>
  <c r="E68" i="330"/>
  <c r="E73" i="330"/>
  <c r="U96" i="330"/>
  <c r="X91" i="330"/>
  <c r="AH94" i="330"/>
  <c r="AN94" i="330" s="1"/>
  <c r="U101" i="330"/>
  <c r="X98" i="330"/>
  <c r="J8" i="329"/>
  <c r="AD9" i="329"/>
  <c r="O10" i="329"/>
  <c r="AI10" i="329"/>
  <c r="AI11" i="329"/>
  <c r="O12" i="329"/>
  <c r="AD12" i="329"/>
  <c r="T13" i="329"/>
  <c r="F15" i="330"/>
  <c r="L15" i="330"/>
  <c r="R15" i="330"/>
  <c r="AE15" i="330"/>
  <c r="X8" i="330"/>
  <c r="E9" i="330"/>
  <c r="J9" i="330" s="1"/>
  <c r="N9" i="330"/>
  <c r="AC9" i="330"/>
  <c r="E10" i="330"/>
  <c r="S10" i="330"/>
  <c r="AC10" i="330"/>
  <c r="AI10" i="330" s="1"/>
  <c r="I11" i="330"/>
  <c r="S11" i="330"/>
  <c r="I12" i="330"/>
  <c r="O12" i="330" s="1"/>
  <c r="F21" i="330"/>
  <c r="L21" i="330"/>
  <c r="R21" i="330"/>
  <c r="Z21" i="330"/>
  <c r="AH17" i="330"/>
  <c r="AN17" i="330" s="1"/>
  <c r="X19" i="330"/>
  <c r="S20" i="330"/>
  <c r="AC20" i="330"/>
  <c r="F34" i="330"/>
  <c r="L34" i="330"/>
  <c r="L39" i="330" s="1"/>
  <c r="Q34" i="330"/>
  <c r="Q39" i="330" s="1"/>
  <c r="W34" i="330"/>
  <c r="W39" i="330" s="1"/>
  <c r="AE34" i="330"/>
  <c r="AE39" i="330" s="1"/>
  <c r="E30" i="330"/>
  <c r="J30" i="330" s="1"/>
  <c r="S30" i="330"/>
  <c r="I31" i="330"/>
  <c r="O31" i="330" s="1"/>
  <c r="I32" i="330"/>
  <c r="AC32" i="330"/>
  <c r="I33" i="330"/>
  <c r="S33" i="330"/>
  <c r="Y33" i="330" s="1"/>
  <c r="I46" i="330"/>
  <c r="Q48" i="330"/>
  <c r="W48" i="330"/>
  <c r="E47" i="330"/>
  <c r="AC47" i="330"/>
  <c r="AH47" i="330"/>
  <c r="AN47" i="330" s="1"/>
  <c r="M56" i="330"/>
  <c r="U56" i="330"/>
  <c r="AA56" i="330"/>
  <c r="AF56" i="330"/>
  <c r="N51" i="330"/>
  <c r="I52" i="330"/>
  <c r="O52" i="330" s="1"/>
  <c r="N53" i="330"/>
  <c r="E54" i="330"/>
  <c r="E59" i="330"/>
  <c r="AD59" i="330"/>
  <c r="D71" i="330"/>
  <c r="K71" i="330"/>
  <c r="Q71" i="330"/>
  <c r="S73" i="330"/>
  <c r="AG75" i="330"/>
  <c r="AC74" i="330"/>
  <c r="L89" i="330"/>
  <c r="R89" i="330"/>
  <c r="Z89" i="330"/>
  <c r="N15" i="329"/>
  <c r="O8" i="329"/>
  <c r="B15" i="330"/>
  <c r="G15" i="330"/>
  <c r="M15" i="330"/>
  <c r="U15" i="330"/>
  <c r="Z15" i="330"/>
  <c r="AF15" i="330"/>
  <c r="AH9" i="330"/>
  <c r="X10" i="330"/>
  <c r="AD10" i="330" s="1"/>
  <c r="N11" i="330"/>
  <c r="E12" i="330"/>
  <c r="AC12" i="330"/>
  <c r="S13" i="330"/>
  <c r="I14" i="330"/>
  <c r="G21" i="330"/>
  <c r="AF21" i="330"/>
  <c r="N19" i="330"/>
  <c r="N20" i="330"/>
  <c r="AH20" i="330"/>
  <c r="AN20" i="330" s="1"/>
  <c r="R34" i="330"/>
  <c r="R39" i="330" s="1"/>
  <c r="N30" i="330"/>
  <c r="O30" i="330" s="1"/>
  <c r="E31" i="330"/>
  <c r="AC31" i="330"/>
  <c r="AI31" i="330" s="1"/>
  <c r="E32" i="330"/>
  <c r="S32" i="330"/>
  <c r="E33" i="330"/>
  <c r="AC33" i="330"/>
  <c r="S36" i="330"/>
  <c r="E46" i="330"/>
  <c r="AC46" i="330"/>
  <c r="AD46" i="330" s="1"/>
  <c r="S47" i="330"/>
  <c r="AB56" i="330"/>
  <c r="AG56" i="330"/>
  <c r="E52" i="330"/>
  <c r="AC52" i="330"/>
  <c r="AH53" i="330"/>
  <c r="AN53" i="330" s="1"/>
  <c r="I88" i="330"/>
  <c r="AN10" i="329"/>
  <c r="AN14" i="329"/>
  <c r="AH55" i="330"/>
  <c r="AN55" i="330" s="1"/>
  <c r="H63" i="330"/>
  <c r="X58" i="330"/>
  <c r="AA63" i="330"/>
  <c r="AH60" i="330"/>
  <c r="AN60" i="330" s="1"/>
  <c r="AH61" i="330"/>
  <c r="AN61" i="330" s="1"/>
  <c r="E62" i="330"/>
  <c r="X62" i="330"/>
  <c r="AC62" i="330"/>
  <c r="F71" i="330"/>
  <c r="W71" i="330"/>
  <c r="AE71" i="330"/>
  <c r="AH66" i="330"/>
  <c r="E67" i="330"/>
  <c r="X67" i="330"/>
  <c r="AC67" i="330"/>
  <c r="AH69" i="330"/>
  <c r="AH73" i="330"/>
  <c r="AN73" i="330" s="1"/>
  <c r="I83" i="330"/>
  <c r="M85" i="330"/>
  <c r="X83" i="330"/>
  <c r="AF85" i="330"/>
  <c r="V85" i="330"/>
  <c r="B89" i="330"/>
  <c r="S87" i="330"/>
  <c r="X88" i="330"/>
  <c r="C96" i="330"/>
  <c r="H96" i="330"/>
  <c r="V96" i="330"/>
  <c r="AA96" i="330"/>
  <c r="AG96" i="330"/>
  <c r="I92" i="330"/>
  <c r="AH95" i="330"/>
  <c r="AN95" i="330" s="1"/>
  <c r="S98" i="330"/>
  <c r="Y98" i="330" s="1"/>
  <c r="V101" i="330"/>
  <c r="I99" i="330"/>
  <c r="O99" i="330" s="1"/>
  <c r="X100" i="330"/>
  <c r="L111" i="330"/>
  <c r="S106" i="330"/>
  <c r="AF111" i="330"/>
  <c r="E108" i="330"/>
  <c r="N108" i="330"/>
  <c r="T108" i="330" s="1"/>
  <c r="I110" i="330"/>
  <c r="AC110" i="330"/>
  <c r="AN7" i="329"/>
  <c r="AN11" i="329"/>
  <c r="S54" i="330"/>
  <c r="I55" i="330"/>
  <c r="D63" i="330"/>
  <c r="K63" i="330"/>
  <c r="Q63" i="330"/>
  <c r="V63" i="330"/>
  <c r="AB63" i="330"/>
  <c r="N59" i="330"/>
  <c r="S59" i="330"/>
  <c r="Y59" i="330" s="1"/>
  <c r="I60" i="330"/>
  <c r="O60" i="330" s="1"/>
  <c r="X61" i="330"/>
  <c r="N62" i="330"/>
  <c r="B71" i="330"/>
  <c r="G71" i="330"/>
  <c r="M71" i="330"/>
  <c r="S65" i="330"/>
  <c r="Z71" i="330"/>
  <c r="AF71" i="330"/>
  <c r="X66" i="330"/>
  <c r="N67" i="330"/>
  <c r="N68" i="330"/>
  <c r="S68" i="330"/>
  <c r="I69" i="330"/>
  <c r="X69" i="330"/>
  <c r="X70" i="330"/>
  <c r="AC70" i="330"/>
  <c r="P75" i="330"/>
  <c r="X73" i="330"/>
  <c r="AA75" i="330"/>
  <c r="AF75" i="330"/>
  <c r="AH74" i="330"/>
  <c r="AN74" i="330" s="1"/>
  <c r="U75" i="330"/>
  <c r="E83" i="330"/>
  <c r="H85" i="330"/>
  <c r="P85" i="330"/>
  <c r="AG85" i="330"/>
  <c r="F85" i="330"/>
  <c r="R85" i="330"/>
  <c r="W85" i="330"/>
  <c r="AC87" i="330"/>
  <c r="D96" i="330"/>
  <c r="N91" i="330"/>
  <c r="Q96" i="330"/>
  <c r="W96" i="330"/>
  <c r="AB96" i="330"/>
  <c r="E92" i="330"/>
  <c r="S92" i="330"/>
  <c r="AC92" i="330"/>
  <c r="AI92" i="330" s="1"/>
  <c r="I93" i="330"/>
  <c r="J93" i="330" s="1"/>
  <c r="S93" i="330"/>
  <c r="I94" i="330"/>
  <c r="D101" i="330"/>
  <c r="K101" i="330"/>
  <c r="AB101" i="330"/>
  <c r="E99" i="330"/>
  <c r="S99" i="330"/>
  <c r="T99" i="330" s="1"/>
  <c r="AC99" i="330"/>
  <c r="AI99" i="330" s="1"/>
  <c r="I100" i="330"/>
  <c r="S100" i="330"/>
  <c r="AC100" i="330"/>
  <c r="E106" i="330"/>
  <c r="G111" i="330"/>
  <c r="M111" i="330"/>
  <c r="U111" i="330"/>
  <c r="AA111" i="330"/>
  <c r="AG111" i="330"/>
  <c r="N109" i="330"/>
  <c r="S109" i="330"/>
  <c r="AH109" i="330"/>
  <c r="AN109" i="330" s="1"/>
  <c r="E110" i="330"/>
  <c r="S110" i="330"/>
  <c r="AN8" i="329"/>
  <c r="AN12" i="329"/>
  <c r="X55" i="330"/>
  <c r="AC55" i="330"/>
  <c r="F63" i="330"/>
  <c r="W63" i="330"/>
  <c r="AH59" i="330"/>
  <c r="AN59" i="330" s="1"/>
  <c r="E60" i="330"/>
  <c r="X60" i="330"/>
  <c r="AC60" i="330"/>
  <c r="AH62" i="330"/>
  <c r="AN62" i="330" s="1"/>
  <c r="E65" i="330"/>
  <c r="H71" i="330"/>
  <c r="U71" i="330"/>
  <c r="AC65" i="330"/>
  <c r="AH67" i="330"/>
  <c r="AN67" i="330" s="1"/>
  <c r="AH68" i="330"/>
  <c r="AN68" i="330" s="1"/>
  <c r="E69" i="330"/>
  <c r="B75" i="330"/>
  <c r="F75" i="330"/>
  <c r="N73" i="330"/>
  <c r="Q75" i="330"/>
  <c r="V75" i="330"/>
  <c r="AB75" i="330"/>
  <c r="X74" i="330"/>
  <c r="N83" i="330"/>
  <c r="S83" i="330"/>
  <c r="Z85" i="330"/>
  <c r="N88" i="330"/>
  <c r="S88" i="330"/>
  <c r="F96" i="330"/>
  <c r="L96" i="330"/>
  <c r="R96" i="330"/>
  <c r="AH91" i="330"/>
  <c r="AN91" i="330" s="1"/>
  <c r="X92" i="330"/>
  <c r="N93" i="330"/>
  <c r="E94" i="330"/>
  <c r="AC94" i="330"/>
  <c r="S95" i="330"/>
  <c r="F101" i="330"/>
  <c r="L101" i="330"/>
  <c r="R101" i="330"/>
  <c r="X99" i="330"/>
  <c r="N100" i="330"/>
  <c r="AH100" i="330"/>
  <c r="AN100" i="330" s="1"/>
  <c r="C111" i="330"/>
  <c r="H111" i="330"/>
  <c r="P111" i="330"/>
  <c r="V111" i="330"/>
  <c r="AB111" i="330"/>
  <c r="X108" i="330"/>
  <c r="I109" i="330"/>
  <c r="AC109" i="330"/>
  <c r="N110" i="330"/>
  <c r="AH110" i="330"/>
  <c r="AN110" i="330" s="1"/>
  <c r="AN9" i="329"/>
  <c r="AN13" i="329"/>
  <c r="AM111" i="329"/>
  <c r="AN111" i="329" s="1"/>
  <c r="AM96" i="329"/>
  <c r="AN96" i="329" s="1"/>
  <c r="AM89" i="329"/>
  <c r="AN89" i="329" s="1"/>
  <c r="AN87" i="329"/>
  <c r="AM85" i="329"/>
  <c r="AN83" i="329"/>
  <c r="AK76" i="329"/>
  <c r="AM34" i="329"/>
  <c r="AJ22" i="329"/>
  <c r="AN106" i="329"/>
  <c r="AM101" i="329"/>
  <c r="AN101" i="329" s="1"/>
  <c r="AK102" i="329"/>
  <c r="AL102" i="329"/>
  <c r="AJ102" i="329"/>
  <c r="AM75" i="329"/>
  <c r="AN75" i="329" s="1"/>
  <c r="AJ76" i="329"/>
  <c r="AM71" i="329"/>
  <c r="AM63" i="329"/>
  <c r="AM56" i="329"/>
  <c r="AN56" i="329" s="1"/>
  <c r="AM48" i="329"/>
  <c r="AN48" i="329" s="1"/>
  <c r="AL76" i="329"/>
  <c r="AM21" i="329"/>
  <c r="AN21" i="329" s="1"/>
  <c r="AK22" i="329"/>
  <c r="AM15" i="329"/>
  <c r="AL22" i="329"/>
  <c r="AN85" i="329"/>
  <c r="AN99" i="329"/>
  <c r="AN74" i="329"/>
  <c r="AN47" i="329"/>
  <c r="AN58" i="329"/>
  <c r="AN29" i="329"/>
  <c r="AN38" i="329"/>
  <c r="AN17" i="329"/>
  <c r="AE14" i="322"/>
  <c r="P18" i="322"/>
  <c r="R18" i="27"/>
  <c r="AI21" i="329"/>
  <c r="J21" i="329"/>
  <c r="I39" i="329"/>
  <c r="AD48" i="329"/>
  <c r="S39" i="329"/>
  <c r="Y8" i="329"/>
  <c r="AI8" i="329"/>
  <c r="T10" i="329"/>
  <c r="AD10" i="329"/>
  <c r="Y12" i="329"/>
  <c r="AI12" i="329"/>
  <c r="T14" i="329"/>
  <c r="AD14" i="329"/>
  <c r="S15" i="329"/>
  <c r="S22" i="329" s="1"/>
  <c r="T19" i="329"/>
  <c r="AD19" i="329"/>
  <c r="N21" i="329"/>
  <c r="O29" i="329"/>
  <c r="Y29" i="329"/>
  <c r="AI29" i="329"/>
  <c r="T31" i="329"/>
  <c r="AD31" i="329"/>
  <c r="Y33" i="329"/>
  <c r="AI33" i="329"/>
  <c r="E34" i="329"/>
  <c r="J34" i="329" s="1"/>
  <c r="AC34" i="329"/>
  <c r="AD34" i="329" s="1"/>
  <c r="O38" i="329"/>
  <c r="Y38" i="329"/>
  <c r="AI38" i="329"/>
  <c r="T47" i="329"/>
  <c r="AD47" i="329"/>
  <c r="AI48" i="329"/>
  <c r="J54" i="329"/>
  <c r="X63" i="329"/>
  <c r="AC63" i="329"/>
  <c r="F114" i="329"/>
  <c r="R114" i="329"/>
  <c r="Z114" i="329"/>
  <c r="Y96" i="329"/>
  <c r="M114" i="329"/>
  <c r="U114" i="329"/>
  <c r="X15" i="329"/>
  <c r="N34" i="329"/>
  <c r="AH34" i="329"/>
  <c r="AH39" i="329" s="1"/>
  <c r="AD59" i="329"/>
  <c r="Y59" i="329"/>
  <c r="Y61" i="329"/>
  <c r="T61" i="329"/>
  <c r="I71" i="329"/>
  <c r="O65" i="329"/>
  <c r="J65" i="329"/>
  <c r="AC71" i="329"/>
  <c r="AD71" i="329" s="1"/>
  <c r="AI65" i="329"/>
  <c r="AD65" i="329"/>
  <c r="I102" i="329"/>
  <c r="S102" i="329"/>
  <c r="B114" i="329"/>
  <c r="G114" i="329"/>
  <c r="T111" i="329"/>
  <c r="H114" i="329"/>
  <c r="P114" i="329"/>
  <c r="AB114" i="329"/>
  <c r="O13" i="330"/>
  <c r="I15" i="329"/>
  <c r="AC15" i="329"/>
  <c r="AI15" i="329" s="1"/>
  <c r="X21" i="329"/>
  <c r="Y21" i="329" s="1"/>
  <c r="T29" i="329"/>
  <c r="T38" i="329"/>
  <c r="T46" i="329"/>
  <c r="Y46" i="329"/>
  <c r="O47" i="329"/>
  <c r="Y47" i="329"/>
  <c r="AI47" i="329"/>
  <c r="I48" i="329"/>
  <c r="J48" i="329" s="1"/>
  <c r="AD50" i="329"/>
  <c r="AI50" i="329"/>
  <c r="T52" i="329"/>
  <c r="AD53" i="329"/>
  <c r="Y54" i="329"/>
  <c r="X56" i="329"/>
  <c r="AD56" i="329" s="1"/>
  <c r="O58" i="329"/>
  <c r="C114" i="329"/>
  <c r="V114" i="329"/>
  <c r="D114" i="329"/>
  <c r="Q114" i="329"/>
  <c r="J17" i="329"/>
  <c r="T50" i="329"/>
  <c r="N56" i="329"/>
  <c r="T56" i="329" s="1"/>
  <c r="Y50" i="329"/>
  <c r="AD51" i="329"/>
  <c r="J53" i="329"/>
  <c r="O53" i="329" s="1"/>
  <c r="E56" i="329"/>
  <c r="J56" i="329" s="1"/>
  <c r="J58" i="329"/>
  <c r="S63" i="329"/>
  <c r="Y63" i="329" s="1"/>
  <c r="T58" i="329"/>
  <c r="T59" i="329"/>
  <c r="N63" i="329"/>
  <c r="O59" i="329"/>
  <c r="AH63" i="329"/>
  <c r="AI59" i="329"/>
  <c r="O61" i="329"/>
  <c r="J61" i="329"/>
  <c r="AI61" i="329"/>
  <c r="AD61" i="329"/>
  <c r="Y65" i="329"/>
  <c r="S71" i="329"/>
  <c r="Y71" i="329" s="1"/>
  <c r="T65" i="329"/>
  <c r="K114" i="329"/>
  <c r="W114" i="329"/>
  <c r="L114" i="329"/>
  <c r="AF114" i="329"/>
  <c r="N71" i="329"/>
  <c r="AH71" i="329"/>
  <c r="X85" i="329"/>
  <c r="Y85" i="329" s="1"/>
  <c r="X89" i="329"/>
  <c r="Y89" i="329" s="1"/>
  <c r="E96" i="329"/>
  <c r="J96" i="329" s="1"/>
  <c r="AC96" i="329"/>
  <c r="AI96" i="329" s="1"/>
  <c r="X101" i="329"/>
  <c r="Y101" i="329" s="1"/>
  <c r="X111" i="329"/>
  <c r="Y111" i="329" s="1"/>
  <c r="D15" i="330"/>
  <c r="H15" i="330"/>
  <c r="P15" i="330"/>
  <c r="AB15" i="330"/>
  <c r="M39" i="330"/>
  <c r="O67" i="329"/>
  <c r="Y67" i="329"/>
  <c r="J69" i="329"/>
  <c r="T69" i="329"/>
  <c r="AD69" i="329"/>
  <c r="T70" i="329"/>
  <c r="AD70" i="329"/>
  <c r="J74" i="329"/>
  <c r="T74" i="329"/>
  <c r="AD74" i="329"/>
  <c r="S75" i="329"/>
  <c r="Y75" i="329" s="1"/>
  <c r="O84" i="329"/>
  <c r="Y84" i="329"/>
  <c r="AI84" i="329"/>
  <c r="E85" i="329"/>
  <c r="AC85" i="329"/>
  <c r="O88" i="329"/>
  <c r="Y88" i="329"/>
  <c r="E89" i="329"/>
  <c r="J89" i="329" s="1"/>
  <c r="AC89" i="329"/>
  <c r="AI89" i="329" s="1"/>
  <c r="O92" i="329"/>
  <c r="Y92" i="329"/>
  <c r="J94" i="329"/>
  <c r="T94" i="329"/>
  <c r="AD94" i="329"/>
  <c r="N96" i="329"/>
  <c r="T96" i="329" s="1"/>
  <c r="J98" i="329"/>
  <c r="T98" i="329"/>
  <c r="AD98" i="329"/>
  <c r="O100" i="329"/>
  <c r="Y100" i="329"/>
  <c r="AI100" i="329"/>
  <c r="E101" i="329"/>
  <c r="J101" i="329" s="1"/>
  <c r="AC101" i="329"/>
  <c r="AI101" i="329" s="1"/>
  <c r="J108" i="329"/>
  <c r="T108" i="329"/>
  <c r="AD108" i="329"/>
  <c r="O110" i="329"/>
  <c r="Y110" i="329"/>
  <c r="I111" i="329"/>
  <c r="AI46" i="330"/>
  <c r="Y73" i="329"/>
  <c r="N85" i="329"/>
  <c r="T87" i="329"/>
  <c r="T91" i="329"/>
  <c r="N101" i="329"/>
  <c r="T101" i="329" s="1"/>
  <c r="O106" i="329"/>
  <c r="AI106" i="329"/>
  <c r="N7" i="330"/>
  <c r="AH7" i="330"/>
  <c r="AN7" i="330" s="1"/>
  <c r="X17" i="330"/>
  <c r="I19" i="330"/>
  <c r="F39" i="330"/>
  <c r="E17" i="330"/>
  <c r="I17" i="330"/>
  <c r="S17" i="330"/>
  <c r="P21" i="330"/>
  <c r="U22" i="330"/>
  <c r="E19" i="330"/>
  <c r="B39" i="330"/>
  <c r="E29" i="330"/>
  <c r="I29" i="330"/>
  <c r="AC29" i="330"/>
  <c r="E36" i="330"/>
  <c r="I36" i="330"/>
  <c r="AC36" i="330"/>
  <c r="S38" i="330"/>
  <c r="B48" i="330"/>
  <c r="F48" i="330"/>
  <c r="V48" i="330"/>
  <c r="Z48" i="330"/>
  <c r="K21" i="330"/>
  <c r="AE21" i="330"/>
  <c r="AH29" i="330"/>
  <c r="AN29" i="330" s="1"/>
  <c r="X38" i="330"/>
  <c r="S46" i="330"/>
  <c r="N50" i="330"/>
  <c r="X50" i="330"/>
  <c r="I53" i="330"/>
  <c r="S29" i="330"/>
  <c r="T29" i="330" s="1"/>
  <c r="U34" i="330"/>
  <c r="U39" i="330" s="1"/>
  <c r="E38" i="330"/>
  <c r="I38" i="330"/>
  <c r="AC38" i="330"/>
  <c r="S50" i="330"/>
  <c r="P56" i="330"/>
  <c r="S52" i="330"/>
  <c r="O67" i="330"/>
  <c r="AG48" i="330"/>
  <c r="D56" i="330"/>
  <c r="H56" i="330"/>
  <c r="V56" i="330"/>
  <c r="Z56" i="330"/>
  <c r="AH50" i="330"/>
  <c r="AN50" i="330" s="1"/>
  <c r="I51" i="330"/>
  <c r="O54" i="330"/>
  <c r="O59" i="330"/>
  <c r="N58" i="330"/>
  <c r="AH58" i="330"/>
  <c r="AN58" i="330" s="1"/>
  <c r="N65" i="330"/>
  <c r="AH65" i="330"/>
  <c r="AN65" i="330" s="1"/>
  <c r="N69" i="330"/>
  <c r="T69" i="330" s="1"/>
  <c r="AE75" i="330"/>
  <c r="K85" i="330"/>
  <c r="N84" i="330"/>
  <c r="AA85" i="330"/>
  <c r="AC84" i="330"/>
  <c r="AD84" i="330" s="1"/>
  <c r="K89" i="330"/>
  <c r="N87" i="330"/>
  <c r="U63" i="330"/>
  <c r="C71" i="330"/>
  <c r="AA71" i="330"/>
  <c r="Q85" i="330"/>
  <c r="X65" i="330"/>
  <c r="Y65" i="330" s="1"/>
  <c r="K75" i="330"/>
  <c r="G85" i="330"/>
  <c r="I84" i="330"/>
  <c r="AE85" i="330"/>
  <c r="AH84" i="330"/>
  <c r="AN84" i="330" s="1"/>
  <c r="U85" i="330"/>
  <c r="I87" i="330"/>
  <c r="G89" i="330"/>
  <c r="E58" i="330"/>
  <c r="I58" i="330"/>
  <c r="AC58" i="330"/>
  <c r="I65" i="330"/>
  <c r="E75" i="330"/>
  <c r="AH83" i="330"/>
  <c r="AN83" i="330" s="1"/>
  <c r="C85" i="330"/>
  <c r="E84" i="330"/>
  <c r="E87" i="330"/>
  <c r="C89" i="330"/>
  <c r="AH87" i="330"/>
  <c r="AN87" i="330" s="1"/>
  <c r="AA89" i="330"/>
  <c r="E91" i="330"/>
  <c r="I91" i="330"/>
  <c r="S91" i="330"/>
  <c r="P96" i="330"/>
  <c r="AC91" i="330"/>
  <c r="X87" i="330"/>
  <c r="Y87" i="330" s="1"/>
  <c r="AB89" i="330"/>
  <c r="AF89" i="330"/>
  <c r="AG89" i="330"/>
  <c r="N106" i="330"/>
  <c r="AH106" i="330"/>
  <c r="AN106" i="330" s="1"/>
  <c r="B111" i="330"/>
  <c r="F111" i="330"/>
  <c r="R111" i="330"/>
  <c r="Z111" i="330"/>
  <c r="K96" i="330"/>
  <c r="AE96" i="330"/>
  <c r="E98" i="330"/>
  <c r="I98" i="330"/>
  <c r="AC98" i="330"/>
  <c r="N98" i="330"/>
  <c r="AH98" i="330"/>
  <c r="P101" i="330"/>
  <c r="X106" i="330"/>
  <c r="J74" i="330" l="1"/>
  <c r="B102" i="330"/>
  <c r="AD20" i="330"/>
  <c r="Y7" i="330"/>
  <c r="AD11" i="330"/>
  <c r="AI95" i="330"/>
  <c r="AI100" i="330"/>
  <c r="X75" i="330"/>
  <c r="Y11" i="330"/>
  <c r="AD94" i="330"/>
  <c r="O74" i="330"/>
  <c r="AD99" i="330"/>
  <c r="I75" i="330"/>
  <c r="T73" i="330"/>
  <c r="Y30" i="330"/>
  <c r="AD108" i="330"/>
  <c r="O94" i="330"/>
  <c r="J55" i="330"/>
  <c r="AD91" i="330"/>
  <c r="J62" i="330"/>
  <c r="T10" i="330"/>
  <c r="J70" i="330"/>
  <c r="AG102" i="330"/>
  <c r="Y74" i="330"/>
  <c r="AD69" i="330"/>
  <c r="J67" i="330"/>
  <c r="J46" i="330"/>
  <c r="Y13" i="330"/>
  <c r="O33" i="330"/>
  <c r="Y9" i="330"/>
  <c r="AD66" i="330"/>
  <c r="Y110" i="330"/>
  <c r="T92" i="330"/>
  <c r="AD83" i="330"/>
  <c r="AI12" i="330"/>
  <c r="M22" i="330"/>
  <c r="AD9" i="330"/>
  <c r="AA22" i="330"/>
  <c r="O92" i="330"/>
  <c r="H22" i="330"/>
  <c r="J92" i="330"/>
  <c r="Y68" i="330"/>
  <c r="AD110" i="330"/>
  <c r="AI52" i="330"/>
  <c r="AI54" i="330"/>
  <c r="AI8" i="330"/>
  <c r="T55" i="330"/>
  <c r="AC39" i="329"/>
  <c r="AI69" i="330"/>
  <c r="AN69" i="330"/>
  <c r="AI9" i="330"/>
  <c r="AN9" i="330"/>
  <c r="AI108" i="330"/>
  <c r="AN108" i="330"/>
  <c r="AI11" i="330"/>
  <c r="AN11" i="330"/>
  <c r="E22" i="329"/>
  <c r="AG114" i="329"/>
  <c r="AE114" i="329"/>
  <c r="AN34" i="329"/>
  <c r="J69" i="330"/>
  <c r="AI66" i="330"/>
  <c r="AN66" i="330"/>
  <c r="AH101" i="330"/>
  <c r="AN101" i="330" s="1"/>
  <c r="AN98" i="330"/>
  <c r="Y34" i="329"/>
  <c r="T109" i="330"/>
  <c r="AD14" i="330"/>
  <c r="Y94" i="330"/>
  <c r="T32" i="330"/>
  <c r="AG22" i="330"/>
  <c r="AD13" i="330"/>
  <c r="S89" i="330"/>
  <c r="T36" i="330"/>
  <c r="J109" i="330"/>
  <c r="S85" i="330"/>
  <c r="T70" i="330"/>
  <c r="O106" i="330"/>
  <c r="E48" i="330"/>
  <c r="O89" i="329"/>
  <c r="AH76" i="329"/>
  <c r="O96" i="329"/>
  <c r="Y95" i="330"/>
  <c r="X96" i="330"/>
  <c r="J60" i="330"/>
  <c r="AI55" i="330"/>
  <c r="E111" i="330"/>
  <c r="D102" i="330"/>
  <c r="Y70" i="330"/>
  <c r="AI67" i="330"/>
  <c r="J32" i="330"/>
  <c r="T51" i="330"/>
  <c r="Y20" i="330"/>
  <c r="J10" i="330"/>
  <c r="Y8" i="330"/>
  <c r="Y53" i="330"/>
  <c r="J8" i="330"/>
  <c r="T75" i="329"/>
  <c r="AH89" i="330"/>
  <c r="AN89" i="330" s="1"/>
  <c r="Y84" i="330"/>
  <c r="AI83" i="330"/>
  <c r="O36" i="330"/>
  <c r="T48" i="329"/>
  <c r="AD39" i="329"/>
  <c r="AM39" i="329"/>
  <c r="AN39" i="329" s="1"/>
  <c r="Y83" i="330"/>
  <c r="T62" i="330"/>
  <c r="AI33" i="330"/>
  <c r="J54" i="330"/>
  <c r="R76" i="330"/>
  <c r="AI30" i="330"/>
  <c r="Y14" i="330"/>
  <c r="AI93" i="330"/>
  <c r="Y12" i="330"/>
  <c r="AH102" i="329"/>
  <c r="Y39" i="329"/>
  <c r="T84" i="330"/>
  <c r="AG76" i="330"/>
  <c r="AG114" i="330" s="1"/>
  <c r="J52" i="330"/>
  <c r="B22" i="330"/>
  <c r="T53" i="330"/>
  <c r="O32" i="330"/>
  <c r="Q22" i="330"/>
  <c r="AI13" i="330"/>
  <c r="T14" i="330"/>
  <c r="T60" i="330"/>
  <c r="V22" i="330"/>
  <c r="AI88" i="330"/>
  <c r="O66" i="330"/>
  <c r="AD31" i="330"/>
  <c r="AB22" i="330"/>
  <c r="O46" i="330"/>
  <c r="AI17" i="330"/>
  <c r="O8" i="330"/>
  <c r="O95" i="330"/>
  <c r="J66" i="330"/>
  <c r="AD93" i="330"/>
  <c r="L76" i="330"/>
  <c r="AD73" i="330"/>
  <c r="J65" i="330"/>
  <c r="AA76" i="330"/>
  <c r="P22" i="330"/>
  <c r="AC75" i="330"/>
  <c r="R22" i="330"/>
  <c r="F22" i="330"/>
  <c r="J68" i="330"/>
  <c r="AI109" i="330"/>
  <c r="J99" i="330"/>
  <c r="AD61" i="330"/>
  <c r="AD88" i="330"/>
  <c r="AI73" i="330"/>
  <c r="AI61" i="330"/>
  <c r="J31" i="330"/>
  <c r="O14" i="330"/>
  <c r="AE76" i="330"/>
  <c r="Y31" i="330"/>
  <c r="D22" i="330"/>
  <c r="AH34" i="330"/>
  <c r="AN34" i="330" s="1"/>
  <c r="AD70" i="330"/>
  <c r="Y93" i="330"/>
  <c r="C76" i="330"/>
  <c r="AC89" i="330"/>
  <c r="J19" i="330"/>
  <c r="T20" i="330"/>
  <c r="O56" i="329"/>
  <c r="J100" i="330"/>
  <c r="AB102" i="330"/>
  <c r="T91" i="330"/>
  <c r="AI70" i="330"/>
  <c r="AF76" i="330"/>
  <c r="G76" i="330"/>
  <c r="J108" i="330"/>
  <c r="AI62" i="330"/>
  <c r="O88" i="330"/>
  <c r="J33" i="330"/>
  <c r="T11" i="330"/>
  <c r="AI32" i="330"/>
  <c r="AD19" i="330"/>
  <c r="T47" i="330"/>
  <c r="O9" i="330"/>
  <c r="AC15" i="330"/>
  <c r="AI14" i="330"/>
  <c r="J50" i="330"/>
  <c r="T46" i="330"/>
  <c r="T31" i="330"/>
  <c r="AN63" i="329"/>
  <c r="AI94" i="330"/>
  <c r="Y54" i="330"/>
  <c r="M102" i="330"/>
  <c r="T30" i="330"/>
  <c r="T9" i="330"/>
  <c r="J75" i="330"/>
  <c r="AD53" i="330"/>
  <c r="K22" i="330"/>
  <c r="P102" i="330"/>
  <c r="T94" i="330"/>
  <c r="O73" i="330"/>
  <c r="AD33" i="330"/>
  <c r="X15" i="330"/>
  <c r="AD63" i="329"/>
  <c r="AN71" i="329"/>
  <c r="Y109" i="330"/>
  <c r="T67" i="330"/>
  <c r="AD67" i="330"/>
  <c r="AI53" i="330"/>
  <c r="T15" i="329"/>
  <c r="J59" i="330"/>
  <c r="AC21" i="330"/>
  <c r="Z22" i="330"/>
  <c r="J73" i="330"/>
  <c r="T8" i="330"/>
  <c r="T54" i="330"/>
  <c r="AI68" i="330"/>
  <c r="S111" i="330"/>
  <c r="S71" i="330"/>
  <c r="X34" i="330"/>
  <c r="X39" i="330" s="1"/>
  <c r="J95" i="330"/>
  <c r="C22" i="330"/>
  <c r="O47" i="330"/>
  <c r="W22" i="330"/>
  <c r="AD47" i="330"/>
  <c r="T66" i="330"/>
  <c r="T95" i="330"/>
  <c r="O100" i="330"/>
  <c r="AD74" i="330"/>
  <c r="N75" i="330"/>
  <c r="AH39" i="330"/>
  <c r="AN39" i="330" s="1"/>
  <c r="AI36" i="330"/>
  <c r="AH96" i="330"/>
  <c r="AN96" i="330" s="1"/>
  <c r="Y88" i="330"/>
  <c r="T68" i="330"/>
  <c r="AC111" i="330"/>
  <c r="S101" i="330"/>
  <c r="Y108" i="330"/>
  <c r="AF102" i="330"/>
  <c r="J106" i="330"/>
  <c r="Y99" i="330"/>
  <c r="E85" i="330"/>
  <c r="X85" i="330"/>
  <c r="Y85" i="330" s="1"/>
  <c r="O51" i="330"/>
  <c r="H76" i="330"/>
  <c r="Y52" i="330"/>
  <c r="AC71" i="330"/>
  <c r="O55" i="330"/>
  <c r="F76" i="330"/>
  <c r="N34" i="330"/>
  <c r="N39" i="330" s="1"/>
  <c r="E15" i="330"/>
  <c r="S15" i="330"/>
  <c r="Y10" i="330"/>
  <c r="T93" i="330"/>
  <c r="T88" i="330"/>
  <c r="T83" i="330"/>
  <c r="AD55" i="330"/>
  <c r="T59" i="330"/>
  <c r="AD62" i="330"/>
  <c r="L102" i="330"/>
  <c r="Y62" i="330"/>
  <c r="AI47" i="330"/>
  <c r="L22" i="330"/>
  <c r="O11" i="330"/>
  <c r="AD68" i="330"/>
  <c r="O10" i="330"/>
  <c r="J88" i="330"/>
  <c r="AH63" i="330"/>
  <c r="AN63" i="330" s="1"/>
  <c r="N48" i="330"/>
  <c r="S63" i="330"/>
  <c r="Y32" i="330"/>
  <c r="T19" i="330"/>
  <c r="S75" i="330"/>
  <c r="AD98" i="330"/>
  <c r="AD109" i="330"/>
  <c r="O108" i="330"/>
  <c r="O93" i="330"/>
  <c r="U102" i="330"/>
  <c r="Y73" i="330"/>
  <c r="AH71" i="330"/>
  <c r="AN71" i="330" s="1"/>
  <c r="O68" i="330"/>
  <c r="AH56" i="330"/>
  <c r="AN56" i="330" s="1"/>
  <c r="AC56" i="330"/>
  <c r="T33" i="330"/>
  <c r="AD30" i="330"/>
  <c r="O19" i="330"/>
  <c r="Z102" i="330"/>
  <c r="AI60" i="330"/>
  <c r="Y100" i="330"/>
  <c r="W102" i="330"/>
  <c r="M76" i="330"/>
  <c r="O110" i="330"/>
  <c r="O83" i="330"/>
  <c r="Y58" i="330"/>
  <c r="J12" i="330"/>
  <c r="AF22" i="330"/>
  <c r="G22" i="330"/>
  <c r="V102" i="330"/>
  <c r="Y67" i="330"/>
  <c r="J110" i="330"/>
  <c r="J84" i="330"/>
  <c r="G102" i="330"/>
  <c r="U76" i="330"/>
  <c r="AD58" i="330"/>
  <c r="Y66" i="330"/>
  <c r="P76" i="330"/>
  <c r="E71" i="330"/>
  <c r="O53" i="330"/>
  <c r="I56" i="330"/>
  <c r="X48" i="330"/>
  <c r="AD32" i="330"/>
  <c r="AC48" i="330"/>
  <c r="AH114" i="329"/>
  <c r="O15" i="329"/>
  <c r="I22" i="329"/>
  <c r="AN15" i="329"/>
  <c r="T110" i="330"/>
  <c r="J94" i="330"/>
  <c r="AD92" i="330"/>
  <c r="AD60" i="330"/>
  <c r="N96" i="330"/>
  <c r="R102" i="330"/>
  <c r="H102" i="330"/>
  <c r="AH75" i="330"/>
  <c r="AN75" i="330" s="1"/>
  <c r="J11" i="330"/>
  <c r="AI74" i="330"/>
  <c r="O62" i="330"/>
  <c r="J47" i="330"/>
  <c r="AH21" i="330"/>
  <c r="AN21" i="330" s="1"/>
  <c r="AI59" i="330"/>
  <c r="AH48" i="330"/>
  <c r="AN48" i="330" s="1"/>
  <c r="N21" i="330"/>
  <c r="O20" i="330"/>
  <c r="AD12" i="330"/>
  <c r="T13" i="330"/>
  <c r="J20" i="330"/>
  <c r="Y60" i="330"/>
  <c r="AH111" i="330"/>
  <c r="AN111" i="330" s="1"/>
  <c r="I111" i="330"/>
  <c r="X63" i="330"/>
  <c r="Y63" i="330" s="1"/>
  <c r="D76" i="330"/>
  <c r="B76" i="330"/>
  <c r="I48" i="330"/>
  <c r="J48" i="330" s="1"/>
  <c r="I15" i="330"/>
  <c r="F102" i="330"/>
  <c r="J83" i="330"/>
  <c r="AI110" i="330"/>
  <c r="AD100" i="330"/>
  <c r="Y36" i="330"/>
  <c r="AD54" i="330"/>
  <c r="W76" i="330"/>
  <c r="AI20" i="330"/>
  <c r="AB76" i="330"/>
  <c r="Y92" i="330"/>
  <c r="K76" i="330"/>
  <c r="Q102" i="330"/>
  <c r="AI51" i="330"/>
  <c r="AE22" i="330"/>
  <c r="V76" i="330"/>
  <c r="Y19" i="330"/>
  <c r="AH15" i="330"/>
  <c r="AN15" i="330" s="1"/>
  <c r="O109" i="330"/>
  <c r="T100" i="330"/>
  <c r="Y47" i="330"/>
  <c r="Y61" i="330"/>
  <c r="Q76" i="330"/>
  <c r="AD8" i="330"/>
  <c r="X101" i="330"/>
  <c r="AD52" i="330"/>
  <c r="AD7" i="330"/>
  <c r="E56" i="330"/>
  <c r="Y69" i="330"/>
  <c r="Y55" i="330"/>
  <c r="J14" i="330"/>
  <c r="AM102" i="329"/>
  <c r="AN102" i="329" s="1"/>
  <c r="AK114" i="329"/>
  <c r="AM76" i="329"/>
  <c r="AN76" i="329" s="1"/>
  <c r="AJ114" i="329"/>
  <c r="AM22" i="329"/>
  <c r="AN22" i="329" s="1"/>
  <c r="AL114" i="329"/>
  <c r="X111" i="330"/>
  <c r="AD106" i="330"/>
  <c r="I89" i="330"/>
  <c r="O87" i="330"/>
  <c r="AI38" i="330"/>
  <c r="N56" i="330"/>
  <c r="T50" i="330"/>
  <c r="AC34" i="330"/>
  <c r="AI34" i="330" s="1"/>
  <c r="AI29" i="330"/>
  <c r="N15" i="330"/>
  <c r="T7" i="330"/>
  <c r="O111" i="329"/>
  <c r="AC102" i="329"/>
  <c r="AI85" i="329"/>
  <c r="N22" i="329"/>
  <c r="T22" i="329" s="1"/>
  <c r="T21" i="329"/>
  <c r="AC101" i="330"/>
  <c r="AI98" i="330"/>
  <c r="AI106" i="330"/>
  <c r="AC96" i="330"/>
  <c r="AI91" i="330"/>
  <c r="E96" i="330"/>
  <c r="J91" i="330"/>
  <c r="I63" i="330"/>
  <c r="O58" i="330"/>
  <c r="I85" i="330"/>
  <c r="O84" i="330"/>
  <c r="AI87" i="330"/>
  <c r="AI84" i="330"/>
  <c r="AC85" i="330"/>
  <c r="S56" i="330"/>
  <c r="Y50" i="330"/>
  <c r="O38" i="330"/>
  <c r="O69" i="330"/>
  <c r="O50" i="330"/>
  <c r="I34" i="330"/>
  <c r="O29" i="330"/>
  <c r="AD36" i="330"/>
  <c r="E21" i="330"/>
  <c r="J17" i="330"/>
  <c r="E102" i="329"/>
  <c r="J85" i="329"/>
  <c r="T71" i="329"/>
  <c r="AI7" i="330"/>
  <c r="T63" i="329"/>
  <c r="O71" i="329"/>
  <c r="T34" i="329"/>
  <c r="N39" i="329"/>
  <c r="T39" i="329" s="1"/>
  <c r="O63" i="329"/>
  <c r="O34" i="329"/>
  <c r="O21" i="329"/>
  <c r="Y106" i="330"/>
  <c r="X89" i="330"/>
  <c r="AD89" i="330" s="1"/>
  <c r="AD87" i="330"/>
  <c r="I96" i="330"/>
  <c r="O91" i="330"/>
  <c r="N71" i="330"/>
  <c r="T71" i="330" s="1"/>
  <c r="T65" i="330"/>
  <c r="S34" i="330"/>
  <c r="Y29" i="330"/>
  <c r="Y38" i="330"/>
  <c r="AD29" i="330"/>
  <c r="I76" i="329"/>
  <c r="I114" i="329" s="1"/>
  <c r="O48" i="329"/>
  <c r="X22" i="329"/>
  <c r="Y22" i="329" s="1"/>
  <c r="AD21" i="329"/>
  <c r="E63" i="330"/>
  <c r="J58" i="330"/>
  <c r="AA102" i="330"/>
  <c r="AA114" i="330" s="1"/>
  <c r="K102" i="330"/>
  <c r="N85" i="330"/>
  <c r="N63" i="330"/>
  <c r="T58" i="330"/>
  <c r="J38" i="330"/>
  <c r="Y46" i="330"/>
  <c r="S48" i="330"/>
  <c r="T48" i="330" s="1"/>
  <c r="J53" i="330"/>
  <c r="E34" i="330"/>
  <c r="J29" i="330"/>
  <c r="T38" i="330"/>
  <c r="X21" i="330"/>
  <c r="AD17" i="330"/>
  <c r="N102" i="329"/>
  <c r="T85" i="329"/>
  <c r="AD111" i="329"/>
  <c r="AD89" i="329"/>
  <c r="O7" i="330"/>
  <c r="O101" i="329"/>
  <c r="O85" i="329"/>
  <c r="AI71" i="329"/>
  <c r="AD15" i="329"/>
  <c r="J71" i="329"/>
  <c r="AI39" i="329"/>
  <c r="S76" i="329"/>
  <c r="X76" i="329"/>
  <c r="Y56" i="329"/>
  <c r="J15" i="329"/>
  <c r="N101" i="330"/>
  <c r="T98" i="330"/>
  <c r="AE102" i="330"/>
  <c r="X71" i="330"/>
  <c r="AD65" i="330"/>
  <c r="I21" i="330"/>
  <c r="O17" i="330"/>
  <c r="I101" i="330"/>
  <c r="O98" i="330"/>
  <c r="O65" i="330"/>
  <c r="I71" i="330"/>
  <c r="E101" i="330"/>
  <c r="J98" i="330"/>
  <c r="T106" i="330"/>
  <c r="N111" i="330"/>
  <c r="S96" i="330"/>
  <c r="S102" i="330" s="1"/>
  <c r="Y91" i="330"/>
  <c r="E89" i="330"/>
  <c r="J87" i="330"/>
  <c r="C102" i="330"/>
  <c r="AC63" i="330"/>
  <c r="AI58" i="330"/>
  <c r="AH85" i="330"/>
  <c r="AN85" i="330" s="1"/>
  <c r="T87" i="330"/>
  <c r="N89" i="330"/>
  <c r="T89" i="330" s="1"/>
  <c r="AI50" i="330"/>
  <c r="AI65" i="330"/>
  <c r="T52" i="330"/>
  <c r="X56" i="330"/>
  <c r="AD56" i="330" s="1"/>
  <c r="AD50" i="330"/>
  <c r="AD38" i="330"/>
  <c r="J51" i="330"/>
  <c r="Z76" i="330"/>
  <c r="J36" i="330"/>
  <c r="S21" i="330"/>
  <c r="Y17" i="330"/>
  <c r="T17" i="330"/>
  <c r="AD101" i="329"/>
  <c r="X102" i="329"/>
  <c r="AD85" i="329"/>
  <c r="J111" i="329"/>
  <c r="AD96" i="329"/>
  <c r="O102" i="329"/>
  <c r="N76" i="329"/>
  <c r="T76" i="329" s="1"/>
  <c r="AI63" i="329"/>
  <c r="AC76" i="329"/>
  <c r="AI76" i="329" s="1"/>
  <c r="E39" i="329"/>
  <c r="J39" i="329" s="1"/>
  <c r="AI34" i="329"/>
  <c r="Y15" i="329"/>
  <c r="J22" i="329"/>
  <c r="E76" i="329"/>
  <c r="J76" i="329" s="1"/>
  <c r="AC22" i="329"/>
  <c r="AI22" i="329" s="1"/>
  <c r="AD75" i="330" l="1"/>
  <c r="R114" i="330"/>
  <c r="Y75" i="330"/>
  <c r="AI63" i="330"/>
  <c r="AF114" i="330"/>
  <c r="AI89" i="330"/>
  <c r="D114" i="330"/>
  <c r="P114" i="330"/>
  <c r="AC22" i="330"/>
  <c r="M114" i="330"/>
  <c r="O71" i="330"/>
  <c r="T63" i="330"/>
  <c r="O34" i="330"/>
  <c r="J111" i="330"/>
  <c r="Y15" i="330"/>
  <c r="B114" i="330"/>
  <c r="AD102" i="329"/>
  <c r="J34" i="330"/>
  <c r="U114" i="330"/>
  <c r="AE114" i="330"/>
  <c r="AD15" i="330"/>
  <c r="O56" i="330"/>
  <c r="AI75" i="330"/>
  <c r="H114" i="330"/>
  <c r="Y111" i="330"/>
  <c r="AI111" i="330"/>
  <c r="C114" i="330"/>
  <c r="AB114" i="330"/>
  <c r="F114" i="330"/>
  <c r="AH76" i="330"/>
  <c r="AN76" i="330" s="1"/>
  <c r="AD48" i="330"/>
  <c r="O48" i="330"/>
  <c r="Y34" i="330"/>
  <c r="E76" i="330"/>
  <c r="O101" i="330"/>
  <c r="AD71" i="330"/>
  <c r="J63" i="330"/>
  <c r="J15" i="330"/>
  <c r="AI21" i="330"/>
  <c r="T75" i="330"/>
  <c r="I39" i="330"/>
  <c r="Z114" i="330"/>
  <c r="AH102" i="330"/>
  <c r="AN102" i="330" s="1"/>
  <c r="T101" i="330"/>
  <c r="T34" i="330"/>
  <c r="J56" i="330"/>
  <c r="K114" i="330"/>
  <c r="S39" i="330"/>
  <c r="T39" i="330" s="1"/>
  <c r="AI56" i="330"/>
  <c r="L114" i="330"/>
  <c r="AI71" i="330"/>
  <c r="AH22" i="330"/>
  <c r="J89" i="330"/>
  <c r="O15" i="330"/>
  <c r="AI96" i="330"/>
  <c r="Y101" i="330"/>
  <c r="V114" i="330"/>
  <c r="Q114" i="330"/>
  <c r="AI15" i="330"/>
  <c r="W114" i="330"/>
  <c r="O75" i="330"/>
  <c r="G114" i="330"/>
  <c r="X102" i="330"/>
  <c r="Y102" i="330" s="1"/>
  <c r="O96" i="330"/>
  <c r="O111" i="330"/>
  <c r="AI48" i="330"/>
  <c r="AM114" i="329"/>
  <c r="AN114" i="329" s="1"/>
  <c r="S22" i="330"/>
  <c r="Y21" i="330"/>
  <c r="T21" i="330"/>
  <c r="X22" i="330"/>
  <c r="AD22" i="330" s="1"/>
  <c r="AD21" i="330"/>
  <c r="AC102" i="330"/>
  <c r="AI85" i="330"/>
  <c r="I102" i="330"/>
  <c r="O85" i="330"/>
  <c r="AC39" i="330"/>
  <c r="AI39" i="330" s="1"/>
  <c r="AD63" i="330"/>
  <c r="Y71" i="330"/>
  <c r="Y96" i="330"/>
  <c r="T96" i="330"/>
  <c r="AD85" i="330"/>
  <c r="X114" i="329"/>
  <c r="J71" i="330"/>
  <c r="J85" i="330"/>
  <c r="O76" i="329"/>
  <c r="Y102" i="329"/>
  <c r="AC76" i="330"/>
  <c r="N76" i="330"/>
  <c r="O39" i="330"/>
  <c r="O22" i="329"/>
  <c r="AD111" i="330"/>
  <c r="I22" i="330"/>
  <c r="O21" i="330"/>
  <c r="E22" i="330"/>
  <c r="J21" i="330"/>
  <c r="AI101" i="330"/>
  <c r="AD101" i="330"/>
  <c r="AD96" i="330"/>
  <c r="AD76" i="329"/>
  <c r="T102" i="329"/>
  <c r="N114" i="329"/>
  <c r="E39" i="330"/>
  <c r="N102" i="330"/>
  <c r="T102" i="330" s="1"/>
  <c r="T85" i="330"/>
  <c r="E102" i="330"/>
  <c r="AD34" i="330"/>
  <c r="O63" i="330"/>
  <c r="J96" i="330"/>
  <c r="O39" i="329"/>
  <c r="AI102" i="329"/>
  <c r="AC114" i="329"/>
  <c r="AI114" i="329" s="1"/>
  <c r="T15" i="330"/>
  <c r="N22" i="330"/>
  <c r="T56" i="330"/>
  <c r="O89" i="330"/>
  <c r="I76" i="330"/>
  <c r="X76" i="330"/>
  <c r="T111" i="330"/>
  <c r="J101" i="330"/>
  <c r="Y76" i="329"/>
  <c r="S114" i="329"/>
  <c r="S76" i="330"/>
  <c r="Y48" i="330"/>
  <c r="AD22" i="329"/>
  <c r="J102" i="329"/>
  <c r="E114" i="329"/>
  <c r="J114" i="329" s="1"/>
  <c r="Y56" i="330"/>
  <c r="Y89" i="330"/>
  <c r="AI22" i="330" l="1"/>
  <c r="AN22" i="330"/>
  <c r="AD76" i="330"/>
  <c r="AI76" i="330"/>
  <c r="Y39" i="330"/>
  <c r="AH114" i="330"/>
  <c r="AN114" i="330" s="1"/>
  <c r="Y22" i="330"/>
  <c r="T22" i="330"/>
  <c r="J39" i="330"/>
  <c r="AD102" i="330"/>
  <c r="J22" i="330"/>
  <c r="Y114" i="329"/>
  <c r="Y76" i="330"/>
  <c r="N114" i="330"/>
  <c r="O76" i="330"/>
  <c r="J102" i="330"/>
  <c r="E114" i="330"/>
  <c r="T114" i="329"/>
  <c r="X114" i="330"/>
  <c r="O114" i="329"/>
  <c r="AI102" i="330"/>
  <c r="AC114" i="330"/>
  <c r="T76" i="330"/>
  <c r="AD114" i="329"/>
  <c r="AD39" i="330"/>
  <c r="S114" i="330"/>
  <c r="O22" i="330"/>
  <c r="O102" i="330"/>
  <c r="I114" i="330"/>
  <c r="J76" i="330"/>
  <c r="AI114" i="330" l="1"/>
  <c r="O114" i="330"/>
  <c r="Y114" i="330"/>
  <c r="AD114" i="330"/>
  <c r="J114" i="330"/>
  <c r="T114" i="330"/>
  <c r="F52" i="327" l="1"/>
  <c r="B52" i="327"/>
  <c r="J52" i="327"/>
  <c r="D51" i="327"/>
  <c r="K46" i="327"/>
  <c r="J46" i="327"/>
  <c r="F46" i="327"/>
  <c r="C46" i="327"/>
  <c r="B46" i="327"/>
  <c r="C41" i="327"/>
  <c r="H38" i="327"/>
  <c r="D38" i="327"/>
  <c r="L37" i="327"/>
  <c r="J41" i="327"/>
  <c r="H37" i="327"/>
  <c r="F41" i="327"/>
  <c r="D37" i="327"/>
  <c r="B41" i="327"/>
  <c r="L33" i="327"/>
  <c r="H33" i="327"/>
  <c r="D33" i="327"/>
  <c r="L32" i="327"/>
  <c r="H32" i="327"/>
  <c r="D32" i="327"/>
  <c r="L31" i="327"/>
  <c r="H31" i="327"/>
  <c r="D31" i="327"/>
  <c r="L30" i="327"/>
  <c r="H30" i="327"/>
  <c r="D30" i="327"/>
  <c r="L29" i="327"/>
  <c r="H29" i="327"/>
  <c r="D29" i="327"/>
  <c r="L28" i="327"/>
  <c r="H28" i="327"/>
  <c r="D28" i="327"/>
  <c r="L27" i="327"/>
  <c r="H27" i="327"/>
  <c r="D27" i="327"/>
  <c r="L26" i="327"/>
  <c r="H26" i="327"/>
  <c r="D26" i="327"/>
  <c r="L25" i="327"/>
  <c r="H25" i="327"/>
  <c r="D25" i="327"/>
  <c r="L24" i="327"/>
  <c r="H24" i="327"/>
  <c r="D24" i="327"/>
  <c r="L23" i="327"/>
  <c r="J34" i="327"/>
  <c r="H23" i="327"/>
  <c r="F34" i="327"/>
  <c r="D23" i="327"/>
  <c r="B34" i="327"/>
  <c r="L19" i="327"/>
  <c r="H19" i="327"/>
  <c r="D19" i="327"/>
  <c r="L18" i="327"/>
  <c r="J20" i="327"/>
  <c r="H18" i="327"/>
  <c r="F20" i="327"/>
  <c r="D18" i="327"/>
  <c r="B20" i="327"/>
  <c r="L14" i="327"/>
  <c r="H14" i="327"/>
  <c r="D14" i="327"/>
  <c r="L13" i="327"/>
  <c r="H13" i="327"/>
  <c r="D13" i="327"/>
  <c r="L12" i="327"/>
  <c r="H12" i="327"/>
  <c r="D12" i="327"/>
  <c r="L11" i="327"/>
  <c r="J15" i="327"/>
  <c r="H11" i="327"/>
  <c r="F15" i="327"/>
  <c r="D11" i="327"/>
  <c r="B15" i="327"/>
  <c r="L7" i="327"/>
  <c r="H7" i="327"/>
  <c r="D7" i="327"/>
  <c r="L5" i="327"/>
  <c r="H5" i="327"/>
  <c r="D5" i="327"/>
  <c r="L3" i="327"/>
  <c r="J8" i="327"/>
  <c r="H3" i="327"/>
  <c r="F8" i="327"/>
  <c r="D3" i="327"/>
  <c r="B8" i="327"/>
  <c r="D41" i="327" l="1"/>
  <c r="D46" i="327"/>
  <c r="L46" i="327"/>
  <c r="K41" i="327"/>
  <c r="D39" i="327"/>
  <c r="H39" i="327"/>
  <c r="L39" i="327"/>
  <c r="D40" i="327"/>
  <c r="H40" i="327"/>
  <c r="L40" i="327"/>
  <c r="D44" i="327"/>
  <c r="H44" i="327"/>
  <c r="L44" i="327"/>
  <c r="D45" i="327"/>
  <c r="H45" i="327"/>
  <c r="L45" i="327"/>
  <c r="D49" i="327"/>
  <c r="H49" i="327"/>
  <c r="L49" i="327"/>
  <c r="D50" i="327"/>
  <c r="H50" i="327"/>
  <c r="L50" i="327"/>
  <c r="C52" i="327"/>
  <c r="G52" i="327"/>
  <c r="K52" i="327"/>
  <c r="G41" i="327"/>
  <c r="G46" i="327"/>
  <c r="C8" i="327"/>
  <c r="G8" i="327"/>
  <c r="K8" i="327"/>
  <c r="C15" i="327"/>
  <c r="G15" i="327"/>
  <c r="K15" i="327"/>
  <c r="C20" i="327"/>
  <c r="G20" i="327"/>
  <c r="K20" i="327"/>
  <c r="C34" i="327"/>
  <c r="G34" i="327"/>
  <c r="K34" i="327"/>
  <c r="L51" i="327"/>
  <c r="P44" i="326"/>
  <c r="O44" i="326"/>
  <c r="N44" i="326"/>
  <c r="M44" i="326"/>
  <c r="L44" i="326"/>
  <c r="K44" i="326"/>
  <c r="G44" i="326"/>
  <c r="F44" i="326"/>
  <c r="E44" i="326"/>
  <c r="D44" i="326"/>
  <c r="C44" i="326"/>
  <c r="B44" i="326"/>
  <c r="P41" i="326"/>
  <c r="O41" i="326"/>
  <c r="N41" i="326"/>
  <c r="M41" i="326"/>
  <c r="L41" i="326"/>
  <c r="K41" i="326"/>
  <c r="J41" i="326"/>
  <c r="I41" i="326"/>
  <c r="H41" i="326"/>
  <c r="G41" i="326"/>
  <c r="F41" i="326"/>
  <c r="E41" i="326"/>
  <c r="D41" i="326"/>
  <c r="C41" i="326"/>
  <c r="B41" i="326"/>
  <c r="P19" i="326"/>
  <c r="O19" i="326"/>
  <c r="N19" i="326"/>
  <c r="M19" i="326"/>
  <c r="L19" i="326"/>
  <c r="K19" i="326"/>
  <c r="J19" i="326"/>
  <c r="I19" i="326"/>
  <c r="H19" i="326"/>
  <c r="G19" i="326"/>
  <c r="F19" i="326"/>
  <c r="E19" i="326"/>
  <c r="D19" i="326"/>
  <c r="C19" i="326"/>
  <c r="B19" i="326"/>
  <c r="D34" i="327" l="1"/>
  <c r="L52" i="327"/>
  <c r="D8" i="327"/>
  <c r="C54" i="327"/>
  <c r="E8" i="327" s="1"/>
  <c r="H52" i="327"/>
  <c r="L41" i="327"/>
  <c r="G54" i="327"/>
  <c r="H8" i="327"/>
  <c r="H15" i="327"/>
  <c r="L34" i="327"/>
  <c r="H20" i="327"/>
  <c r="D15" i="327"/>
  <c r="H46" i="327"/>
  <c r="E52" i="327"/>
  <c r="D52" i="327"/>
  <c r="L15" i="327"/>
  <c r="L20" i="327"/>
  <c r="H34" i="327"/>
  <c r="D20" i="327"/>
  <c r="L8" i="327"/>
  <c r="K54" i="327"/>
  <c r="M41" i="327" s="1"/>
  <c r="H41" i="327"/>
  <c r="N34" i="325"/>
  <c r="L34" i="325"/>
  <c r="N24" i="325"/>
  <c r="O19" i="325"/>
  <c r="E15" i="327" l="1"/>
  <c r="E20" i="327"/>
  <c r="I30" i="327"/>
  <c r="I29" i="327"/>
  <c r="I28" i="327"/>
  <c r="I23" i="327"/>
  <c r="I19" i="327"/>
  <c r="I54" i="327"/>
  <c r="H54" i="327"/>
  <c r="I38" i="327"/>
  <c r="I37" i="327"/>
  <c r="I33" i="327"/>
  <c r="I32" i="327"/>
  <c r="I31" i="327"/>
  <c r="I27" i="327"/>
  <c r="I26" i="327"/>
  <c r="I25" i="327"/>
  <c r="I24" i="327"/>
  <c r="I11" i="327"/>
  <c r="I7" i="327"/>
  <c r="I12" i="327"/>
  <c r="I18" i="327"/>
  <c r="I14" i="327"/>
  <c r="I5" i="327"/>
  <c r="I3" i="327"/>
  <c r="I13" i="327"/>
  <c r="I45" i="327"/>
  <c r="I44" i="327"/>
  <c r="I40" i="327"/>
  <c r="I49" i="327"/>
  <c r="I39" i="327"/>
  <c r="I50" i="327"/>
  <c r="I46" i="327"/>
  <c r="M52" i="327"/>
  <c r="I34" i="327"/>
  <c r="M15" i="327"/>
  <c r="I20" i="327"/>
  <c r="I52" i="327"/>
  <c r="I41" i="327"/>
  <c r="M20" i="327"/>
  <c r="M34" i="327"/>
  <c r="I8" i="327"/>
  <c r="E37" i="327"/>
  <c r="E33" i="327"/>
  <c r="E32" i="327"/>
  <c r="E31" i="327"/>
  <c r="E26" i="327"/>
  <c r="E25" i="327"/>
  <c r="E54" i="327"/>
  <c r="E38" i="327"/>
  <c r="E29" i="327"/>
  <c r="E28" i="327"/>
  <c r="E27" i="327"/>
  <c r="E24" i="327"/>
  <c r="E23" i="327"/>
  <c r="E19" i="327"/>
  <c r="D54" i="327"/>
  <c r="E30" i="327"/>
  <c r="E18" i="327"/>
  <c r="E14" i="327"/>
  <c r="E5" i="327"/>
  <c r="E11" i="327"/>
  <c r="E13" i="327"/>
  <c r="E3" i="327"/>
  <c r="E12" i="327"/>
  <c r="E7" i="327"/>
  <c r="E41" i="327"/>
  <c r="E46" i="327"/>
  <c r="E50" i="327"/>
  <c r="E44" i="327"/>
  <c r="E49" i="327"/>
  <c r="E45" i="327"/>
  <c r="E39" i="327"/>
  <c r="E40" i="327"/>
  <c r="E34" i="327"/>
  <c r="L54" i="327"/>
  <c r="M54" i="327"/>
  <c r="M37" i="327"/>
  <c r="M27" i="327"/>
  <c r="M26" i="327"/>
  <c r="M23" i="327"/>
  <c r="M33" i="327"/>
  <c r="M32" i="327"/>
  <c r="M31" i="327"/>
  <c r="M30" i="327"/>
  <c r="M29" i="327"/>
  <c r="M25" i="327"/>
  <c r="M24" i="327"/>
  <c r="M28" i="327"/>
  <c r="M19" i="327"/>
  <c r="M12" i="327"/>
  <c r="M13" i="327"/>
  <c r="M11" i="327"/>
  <c r="M7" i="327"/>
  <c r="M5" i="327"/>
  <c r="M3" i="327"/>
  <c r="M18" i="327"/>
  <c r="M14" i="327"/>
  <c r="M51" i="327"/>
  <c r="M44" i="327"/>
  <c r="M50" i="327"/>
  <c r="M40" i="327"/>
  <c r="M39" i="327"/>
  <c r="M46" i="327"/>
  <c r="M49" i="327"/>
  <c r="M45" i="327"/>
  <c r="I15" i="327"/>
  <c r="M8" i="327"/>
  <c r="AI44" i="261"/>
  <c r="AG44" i="261"/>
  <c r="AE44" i="261"/>
  <c r="AC44" i="261"/>
  <c r="AA44" i="261"/>
  <c r="Y44" i="261"/>
  <c r="AI40" i="261"/>
  <c r="AG40" i="261"/>
  <c r="AE40" i="261"/>
  <c r="AC40" i="261"/>
  <c r="AA40" i="261"/>
  <c r="Y40" i="261"/>
  <c r="AI49" i="261"/>
  <c r="AH47" i="261"/>
  <c r="AI46" i="261"/>
  <c r="AI45" i="261"/>
  <c r="AI43" i="261"/>
  <c r="AI42" i="261"/>
  <c r="AI41" i="261"/>
  <c r="AI39" i="261"/>
  <c r="AI38" i="261"/>
  <c r="AI37" i="261"/>
  <c r="AI36" i="261"/>
  <c r="AI35" i="261"/>
  <c r="AI34" i="261"/>
  <c r="AI33" i="261"/>
  <c r="AI32" i="261"/>
  <c r="AI31" i="261"/>
  <c r="AI30" i="261"/>
  <c r="AI29" i="261"/>
  <c r="AI27" i="261"/>
  <c r="AI26" i="261"/>
  <c r="AI25" i="261"/>
  <c r="AI24" i="261"/>
  <c r="AI23" i="261"/>
  <c r="AI22" i="261"/>
  <c r="AI21" i="261"/>
  <c r="AI20" i="261"/>
  <c r="AI19" i="261"/>
  <c r="AI18" i="261"/>
  <c r="AI17" i="261"/>
  <c r="AI16" i="261"/>
  <c r="AI15" i="261"/>
  <c r="AI14" i="261"/>
  <c r="AI13" i="261"/>
  <c r="AI12" i="261"/>
  <c r="AI11" i="261"/>
  <c r="AI10" i="261"/>
  <c r="AI9" i="261"/>
  <c r="AI8" i="261"/>
  <c r="AI7" i="261"/>
  <c r="AI6" i="261"/>
  <c r="AI5" i="261"/>
  <c r="N46" i="39"/>
  <c r="N47" i="39" s="1"/>
  <c r="M12" i="276"/>
  <c r="AH51" i="261" l="1"/>
  <c r="N50" i="39"/>
  <c r="O39" i="196" l="1"/>
  <c r="O49" i="196"/>
  <c r="O43" i="196"/>
  <c r="N121" i="196"/>
  <c r="P121" i="196"/>
  <c r="L121" i="196"/>
  <c r="J121" i="196"/>
  <c r="H121" i="196"/>
  <c r="F121" i="196"/>
  <c r="D121" i="196"/>
  <c r="AL122" i="184"/>
  <c r="AK122" i="184"/>
  <c r="AJ122" i="184"/>
  <c r="AG122" i="184"/>
  <c r="AF122" i="184"/>
  <c r="AE122" i="184"/>
  <c r="AB122" i="184"/>
  <c r="AA122" i="184"/>
  <c r="Z122" i="184"/>
  <c r="W122" i="184"/>
  <c r="V122" i="184"/>
  <c r="U122" i="184"/>
  <c r="X122" i="184" s="1"/>
  <c r="R122" i="184"/>
  <c r="Q122" i="184"/>
  <c r="P122" i="184"/>
  <c r="M122" i="184"/>
  <c r="L122" i="184"/>
  <c r="K122" i="184"/>
  <c r="H122" i="184"/>
  <c r="G122" i="184"/>
  <c r="F122" i="184"/>
  <c r="D122" i="184"/>
  <c r="C122" i="184"/>
  <c r="B122" i="184"/>
  <c r="M123" i="183"/>
  <c r="L123" i="183"/>
  <c r="K123" i="183"/>
  <c r="H123" i="183"/>
  <c r="G123" i="183"/>
  <c r="F123" i="183"/>
  <c r="D123" i="183"/>
  <c r="C123" i="183"/>
  <c r="B123" i="183"/>
  <c r="AL123" i="183"/>
  <c r="AM122" i="183"/>
  <c r="AK123" i="183"/>
  <c r="AJ123" i="183"/>
  <c r="AG123" i="183"/>
  <c r="AH122" i="183"/>
  <c r="AF123" i="183"/>
  <c r="AE123" i="183"/>
  <c r="AB123" i="183"/>
  <c r="AC122" i="183"/>
  <c r="AI122" i="183" s="1"/>
  <c r="AA123" i="183"/>
  <c r="Z123" i="183"/>
  <c r="W123" i="183"/>
  <c r="X122" i="183"/>
  <c r="V123" i="183"/>
  <c r="U123" i="183"/>
  <c r="R123" i="183"/>
  <c r="S122" i="183"/>
  <c r="Y122" i="183" s="1"/>
  <c r="Q123" i="183"/>
  <c r="P123" i="183"/>
  <c r="N122" i="183"/>
  <c r="T122" i="183" s="1"/>
  <c r="I122" i="183"/>
  <c r="E122" i="183"/>
  <c r="X105" i="183"/>
  <c r="AL20" i="184"/>
  <c r="AK20" i="184"/>
  <c r="AJ20" i="184"/>
  <c r="AG20" i="184"/>
  <c r="AF20" i="184"/>
  <c r="AE20" i="184"/>
  <c r="AB20" i="184"/>
  <c r="AA20" i="184"/>
  <c r="Z20" i="184"/>
  <c r="W20" i="184"/>
  <c r="V20" i="184"/>
  <c r="U20" i="184"/>
  <c r="R20" i="184"/>
  <c r="Q20" i="184"/>
  <c r="P20" i="184"/>
  <c r="M20" i="184"/>
  <c r="L20" i="184"/>
  <c r="K20" i="184"/>
  <c r="H20" i="184"/>
  <c r="G20" i="184"/>
  <c r="F20" i="184"/>
  <c r="D20" i="184"/>
  <c r="C20" i="184"/>
  <c r="B20" i="184"/>
  <c r="AM20" i="183"/>
  <c r="AH20" i="183"/>
  <c r="AC20" i="183"/>
  <c r="X20" i="183"/>
  <c r="S20" i="183"/>
  <c r="T20" i="183" s="1"/>
  <c r="N20" i="183"/>
  <c r="I20" i="183"/>
  <c r="O20" i="183" s="1"/>
  <c r="E20" i="183"/>
  <c r="AG69" i="183"/>
  <c r="AF69" i="183"/>
  <c r="AE69" i="183"/>
  <c r="AB69" i="183"/>
  <c r="AA69" i="183"/>
  <c r="Z69" i="183"/>
  <c r="W69" i="183"/>
  <c r="V69" i="183"/>
  <c r="U69" i="183"/>
  <c r="R69" i="183"/>
  <c r="Q69" i="183"/>
  <c r="P69" i="183"/>
  <c r="M69" i="183"/>
  <c r="L69" i="183"/>
  <c r="K69" i="183"/>
  <c r="H69" i="183"/>
  <c r="G69" i="183"/>
  <c r="F69" i="183"/>
  <c r="D69" i="183"/>
  <c r="C69" i="183"/>
  <c r="B69" i="183"/>
  <c r="E68" i="183"/>
  <c r="E67" i="183"/>
  <c r="E66" i="183"/>
  <c r="E13" i="183"/>
  <c r="AL78" i="184"/>
  <c r="AK78" i="184"/>
  <c r="AJ78" i="184"/>
  <c r="AG78" i="184"/>
  <c r="AF78" i="184"/>
  <c r="AE78" i="184"/>
  <c r="AB78" i="184"/>
  <c r="AA78" i="184"/>
  <c r="Z78" i="184"/>
  <c r="W78" i="184"/>
  <c r="V78" i="184"/>
  <c r="U78" i="184"/>
  <c r="R78" i="184"/>
  <c r="Q78" i="184"/>
  <c r="P78" i="184"/>
  <c r="M78" i="184"/>
  <c r="L78" i="184"/>
  <c r="K78" i="184"/>
  <c r="H78" i="184"/>
  <c r="G78" i="184"/>
  <c r="F78" i="184"/>
  <c r="D78" i="184"/>
  <c r="C78" i="184"/>
  <c r="B78" i="184"/>
  <c r="AL84" i="183"/>
  <c r="AK84" i="183"/>
  <c r="AJ84" i="183"/>
  <c r="AG84" i="183"/>
  <c r="AF84" i="183"/>
  <c r="AE84" i="183"/>
  <c r="AB84" i="183"/>
  <c r="AA84" i="183"/>
  <c r="Z84" i="183"/>
  <c r="W84" i="183"/>
  <c r="V84" i="183"/>
  <c r="U84" i="183"/>
  <c r="R84" i="183"/>
  <c r="Q84" i="183"/>
  <c r="P84" i="183"/>
  <c r="M84" i="183"/>
  <c r="L84" i="183"/>
  <c r="K84" i="183"/>
  <c r="H84" i="183"/>
  <c r="G84" i="183"/>
  <c r="F84" i="183"/>
  <c r="D84" i="183"/>
  <c r="C84" i="183"/>
  <c r="B84" i="183"/>
  <c r="AM78" i="183"/>
  <c r="AH78" i="183"/>
  <c r="AC78" i="183"/>
  <c r="X78" i="183"/>
  <c r="S78" i="183"/>
  <c r="N78" i="183"/>
  <c r="I78" i="183"/>
  <c r="E78" i="183"/>
  <c r="AJ29" i="184"/>
  <c r="AJ50" i="184" s="1"/>
  <c r="AJ90" i="184" s="1"/>
  <c r="AL121" i="184"/>
  <c r="AK121" i="184"/>
  <c r="AJ121" i="184"/>
  <c r="AL120" i="184"/>
  <c r="AK120" i="184"/>
  <c r="AJ120" i="184"/>
  <c r="AL119" i="184"/>
  <c r="AK119" i="184"/>
  <c r="AJ119" i="184"/>
  <c r="AL118" i="184"/>
  <c r="AK118" i="184"/>
  <c r="AJ118" i="184"/>
  <c r="AL117" i="184"/>
  <c r="AK117" i="184"/>
  <c r="AJ117" i="184"/>
  <c r="AL116" i="184"/>
  <c r="AK116" i="184"/>
  <c r="AJ116" i="184"/>
  <c r="AL115" i="184"/>
  <c r="AK115" i="184"/>
  <c r="AJ115" i="184"/>
  <c r="AL114" i="184"/>
  <c r="AK114" i="184"/>
  <c r="AJ114" i="184"/>
  <c r="AL113" i="184"/>
  <c r="AK113" i="184"/>
  <c r="AJ113" i="184"/>
  <c r="AL107" i="184"/>
  <c r="AK107" i="184"/>
  <c r="AJ107" i="184"/>
  <c r="AL106" i="184"/>
  <c r="AK106" i="184"/>
  <c r="AJ106" i="184"/>
  <c r="AL105" i="184"/>
  <c r="AK105" i="184"/>
  <c r="AJ105" i="184"/>
  <c r="AL102" i="184"/>
  <c r="AK102" i="184"/>
  <c r="AJ102" i="184"/>
  <c r="AL101" i="184"/>
  <c r="AK101" i="184"/>
  <c r="AJ101" i="184"/>
  <c r="AL100" i="184"/>
  <c r="AK100" i="184"/>
  <c r="AJ100" i="184"/>
  <c r="AL99" i="184"/>
  <c r="AK99" i="184"/>
  <c r="AJ99" i="184"/>
  <c r="AL98" i="184"/>
  <c r="AK98" i="184"/>
  <c r="AJ98" i="184"/>
  <c r="AL95" i="184"/>
  <c r="AK95" i="184"/>
  <c r="AJ95" i="184"/>
  <c r="AL94" i="184"/>
  <c r="AK94" i="184"/>
  <c r="AJ94" i="184"/>
  <c r="AL92" i="184"/>
  <c r="AK92" i="184"/>
  <c r="AJ92" i="184"/>
  <c r="AL83" i="184"/>
  <c r="AK83" i="184"/>
  <c r="AJ83" i="184"/>
  <c r="AL81" i="184"/>
  <c r="AK81" i="184"/>
  <c r="AJ81" i="184"/>
  <c r="AL80" i="184"/>
  <c r="AK80" i="184"/>
  <c r="AJ80" i="184"/>
  <c r="AL79" i="184"/>
  <c r="AK79" i="184"/>
  <c r="AJ79" i="184"/>
  <c r="AL75" i="184"/>
  <c r="AK75" i="184"/>
  <c r="AJ75" i="184"/>
  <c r="AL74" i="184"/>
  <c r="AK74" i="184"/>
  <c r="AJ74" i="184"/>
  <c r="AL73" i="184"/>
  <c r="AK73" i="184"/>
  <c r="AJ73" i="184"/>
  <c r="AL72" i="184"/>
  <c r="AK72" i="184"/>
  <c r="AJ72" i="184"/>
  <c r="AL71" i="184"/>
  <c r="AK71" i="184"/>
  <c r="AJ71" i="184"/>
  <c r="AL68" i="184"/>
  <c r="AK68" i="184"/>
  <c r="AJ68" i="184"/>
  <c r="AL67" i="184"/>
  <c r="AK67" i="184"/>
  <c r="AJ67" i="184"/>
  <c r="AL66" i="184"/>
  <c r="AK66" i="184"/>
  <c r="AJ66" i="184"/>
  <c r="AL65" i="184"/>
  <c r="AK65" i="184"/>
  <c r="AJ65" i="184"/>
  <c r="AL64" i="184"/>
  <c r="AK64" i="184"/>
  <c r="AJ64" i="184"/>
  <c r="AL61" i="184"/>
  <c r="AK61" i="184"/>
  <c r="AJ61" i="184"/>
  <c r="AL60" i="184"/>
  <c r="AK60" i="184"/>
  <c r="AJ60" i="184"/>
  <c r="AL59" i="184"/>
  <c r="AK59" i="184"/>
  <c r="AJ59" i="184"/>
  <c r="AL58" i="184"/>
  <c r="AK58" i="184"/>
  <c r="AJ58" i="184"/>
  <c r="AL57" i="184"/>
  <c r="AK57" i="184"/>
  <c r="AJ57" i="184"/>
  <c r="AL56" i="184"/>
  <c r="AK56" i="184"/>
  <c r="AJ56" i="184"/>
  <c r="AL53" i="184"/>
  <c r="AK53" i="184"/>
  <c r="AJ53" i="184"/>
  <c r="AL52" i="184"/>
  <c r="AK52" i="184"/>
  <c r="AJ52" i="184"/>
  <c r="AL44" i="184"/>
  <c r="AK44" i="184"/>
  <c r="AJ44" i="184"/>
  <c r="AL42" i="184"/>
  <c r="AK42" i="184"/>
  <c r="AJ42" i="184"/>
  <c r="AL39" i="184"/>
  <c r="AK39" i="184"/>
  <c r="AJ39" i="184"/>
  <c r="AL38" i="184"/>
  <c r="AK38" i="184"/>
  <c r="AJ38" i="184"/>
  <c r="AL37" i="184"/>
  <c r="AK37" i="184"/>
  <c r="AJ37" i="184"/>
  <c r="AL36" i="184"/>
  <c r="AK36" i="184"/>
  <c r="AJ36" i="184"/>
  <c r="AL35" i="184"/>
  <c r="AK35" i="184"/>
  <c r="AJ35" i="184"/>
  <c r="AL34" i="184"/>
  <c r="AK34" i="184"/>
  <c r="AJ34" i="184"/>
  <c r="AL33" i="184"/>
  <c r="AK33" i="184"/>
  <c r="AJ33" i="184"/>
  <c r="AL32" i="184"/>
  <c r="AK32" i="184"/>
  <c r="AJ32" i="184"/>
  <c r="AL31" i="184"/>
  <c r="AK31" i="184"/>
  <c r="AJ31" i="184"/>
  <c r="AL22" i="184"/>
  <c r="AK22" i="184"/>
  <c r="AJ22" i="184"/>
  <c r="AL21" i="184"/>
  <c r="AK21" i="184"/>
  <c r="AJ21" i="184"/>
  <c r="AL19" i="184"/>
  <c r="AK19" i="184"/>
  <c r="AJ19" i="184"/>
  <c r="AL18" i="184"/>
  <c r="AK18" i="184"/>
  <c r="AJ18" i="184"/>
  <c r="AL15" i="184"/>
  <c r="AK15" i="184"/>
  <c r="AJ15" i="184"/>
  <c r="AL14" i="184"/>
  <c r="AK14" i="184"/>
  <c r="AJ14" i="184"/>
  <c r="AL13" i="184"/>
  <c r="AK13" i="184"/>
  <c r="AJ13" i="184"/>
  <c r="AL12" i="184"/>
  <c r="AK12" i="184"/>
  <c r="AJ12" i="184"/>
  <c r="AL11" i="184"/>
  <c r="AK11" i="184"/>
  <c r="AJ11" i="184"/>
  <c r="AL10" i="184"/>
  <c r="AK10" i="184"/>
  <c r="AJ10" i="184"/>
  <c r="AL9" i="184"/>
  <c r="AK9" i="184"/>
  <c r="AJ9" i="184"/>
  <c r="AL8" i="184"/>
  <c r="AK8" i="184"/>
  <c r="AJ8" i="184"/>
  <c r="AL7" i="184"/>
  <c r="AK7" i="184"/>
  <c r="AJ7" i="184"/>
  <c r="AK123" i="184" l="1"/>
  <c r="AL123" i="184"/>
  <c r="AI20" i="183"/>
  <c r="I122" i="184"/>
  <c r="AM122" i="184"/>
  <c r="O122" i="183"/>
  <c r="AJ123" i="184"/>
  <c r="AD122" i="183"/>
  <c r="AN122" i="183"/>
  <c r="S122" i="184"/>
  <c r="Y122" i="184" s="1"/>
  <c r="AC122" i="184"/>
  <c r="AI122" i="184" s="1"/>
  <c r="N122" i="184"/>
  <c r="T122" i="184" s="1"/>
  <c r="E122" i="184"/>
  <c r="AH122" i="184"/>
  <c r="T78" i="183"/>
  <c r="AI78" i="183"/>
  <c r="AN20" i="183"/>
  <c r="J78" i="183"/>
  <c r="Y78" i="183"/>
  <c r="AN78" i="183"/>
  <c r="J20" i="183"/>
  <c r="Y20" i="183"/>
  <c r="I20" i="184"/>
  <c r="O78" i="183"/>
  <c r="AD78" i="183"/>
  <c r="AD20" i="183"/>
  <c r="E20" i="184"/>
  <c r="J122" i="183"/>
  <c r="AC20" i="184"/>
  <c r="AM20" i="184"/>
  <c r="N20" i="184"/>
  <c r="O20" i="184" s="1"/>
  <c r="S20" i="184"/>
  <c r="AH20" i="184"/>
  <c r="X20" i="184"/>
  <c r="AJ84" i="184"/>
  <c r="AK84" i="184"/>
  <c r="AM39" i="184"/>
  <c r="AL84" i="184"/>
  <c r="AM117" i="184"/>
  <c r="N78" i="184"/>
  <c r="AC78" i="184"/>
  <c r="AM14" i="184"/>
  <c r="X78" i="184"/>
  <c r="AD78" i="184" s="1"/>
  <c r="AJ96" i="184"/>
  <c r="AK96" i="184"/>
  <c r="AM99" i="184"/>
  <c r="I78" i="184"/>
  <c r="O78" i="184" s="1"/>
  <c r="S78" i="184"/>
  <c r="AH78" i="184"/>
  <c r="AM65" i="184"/>
  <c r="AM75" i="184"/>
  <c r="E78" i="184"/>
  <c r="AM78" i="184"/>
  <c r="AM36" i="184"/>
  <c r="AM33" i="184"/>
  <c r="AM32" i="184"/>
  <c r="AM67" i="184"/>
  <c r="AM60" i="184"/>
  <c r="AL54" i="184"/>
  <c r="AJ54" i="184"/>
  <c r="AM119" i="184"/>
  <c r="AM118" i="184"/>
  <c r="AM9" i="184"/>
  <c r="AM13" i="184"/>
  <c r="AM19" i="184"/>
  <c r="AK62" i="184"/>
  <c r="AL96" i="184"/>
  <c r="AM102" i="184"/>
  <c r="AM38" i="184"/>
  <c r="AM68" i="184"/>
  <c r="AM74" i="184"/>
  <c r="AM83" i="184"/>
  <c r="AM37" i="184"/>
  <c r="AM61" i="184"/>
  <c r="AM80" i="184"/>
  <c r="AM101" i="184"/>
  <c r="AM115" i="184"/>
  <c r="AK23" i="184"/>
  <c r="AM21" i="184"/>
  <c r="AL23" i="184"/>
  <c r="AM22" i="184"/>
  <c r="AM31" i="184"/>
  <c r="AL40" i="184"/>
  <c r="AL45" i="184" s="1"/>
  <c r="AM56" i="184"/>
  <c r="AM66" i="184"/>
  <c r="AM81" i="184"/>
  <c r="AM94" i="184"/>
  <c r="AM100" i="184"/>
  <c r="AM116" i="184"/>
  <c r="AM8" i="184"/>
  <c r="AM10" i="184"/>
  <c r="AM12" i="184"/>
  <c r="AM15" i="184"/>
  <c r="AM34" i="184"/>
  <c r="AM35" i="184"/>
  <c r="AJ62" i="184"/>
  <c r="AM57" i="184"/>
  <c r="AM58" i="184"/>
  <c r="AJ69" i="184"/>
  <c r="AK69" i="184"/>
  <c r="AM71" i="184"/>
  <c r="AK76" i="184"/>
  <c r="AM95" i="184"/>
  <c r="AJ103" i="184"/>
  <c r="AK103" i="184"/>
  <c r="AJ108" i="184"/>
  <c r="AK108" i="184"/>
  <c r="AM120" i="184"/>
  <c r="AM121" i="184"/>
  <c r="AL62" i="184"/>
  <c r="AM59" i="184"/>
  <c r="AL69" i="184"/>
  <c r="AL76" i="184"/>
  <c r="AM73" i="184"/>
  <c r="AL103" i="184"/>
  <c r="AL108" i="184"/>
  <c r="AM107" i="184"/>
  <c r="AM92" i="184"/>
  <c r="AJ16" i="184"/>
  <c r="AM52" i="184"/>
  <c r="AK54" i="184"/>
  <c r="AM18" i="184"/>
  <c r="AM11" i="184"/>
  <c r="AL16" i="184"/>
  <c r="AM7" i="184"/>
  <c r="AM106" i="184"/>
  <c r="AM113" i="184"/>
  <c r="AM98" i="184"/>
  <c r="AM114" i="184"/>
  <c r="AM105" i="184"/>
  <c r="AM53" i="184"/>
  <c r="AM72" i="184"/>
  <c r="AM64" i="184"/>
  <c r="AJ76" i="184"/>
  <c r="AM79" i="184"/>
  <c r="AJ40" i="184"/>
  <c r="AJ45" i="184" s="1"/>
  <c r="AM42" i="184"/>
  <c r="AK40" i="184"/>
  <c r="AK45" i="184" s="1"/>
  <c r="AM44" i="184"/>
  <c r="AK16" i="184"/>
  <c r="AJ23" i="184"/>
  <c r="AJ29" i="183"/>
  <c r="AJ50" i="183" s="1"/>
  <c r="AJ90" i="183" s="1"/>
  <c r="AM121" i="183"/>
  <c r="AM120" i="183"/>
  <c r="AM119" i="183"/>
  <c r="AM118" i="183"/>
  <c r="AM117" i="183"/>
  <c r="AM116" i="183"/>
  <c r="AM115" i="183"/>
  <c r="AM114" i="183"/>
  <c r="AM113" i="183"/>
  <c r="AL108" i="183"/>
  <c r="AK108" i="183"/>
  <c r="AJ108" i="183"/>
  <c r="AM107" i="183"/>
  <c r="AM106" i="183"/>
  <c r="AM105" i="183"/>
  <c r="AL103" i="183"/>
  <c r="AK103" i="183"/>
  <c r="AJ103" i="183"/>
  <c r="AM102" i="183"/>
  <c r="AM101" i="183"/>
  <c r="AM100" i="183"/>
  <c r="AM99" i="183"/>
  <c r="AM98" i="183"/>
  <c r="AL96" i="183"/>
  <c r="AK96" i="183"/>
  <c r="AJ96" i="183"/>
  <c r="AM95" i="183"/>
  <c r="AM94" i="183"/>
  <c r="AM92" i="183"/>
  <c r="AM83" i="183"/>
  <c r="AM81" i="183"/>
  <c r="AM80" i="183"/>
  <c r="AM79" i="183"/>
  <c r="AL76" i="183"/>
  <c r="AK76" i="183"/>
  <c r="AJ76" i="183"/>
  <c r="AM75" i="183"/>
  <c r="AM74" i="183"/>
  <c r="AM73" i="183"/>
  <c r="AM72" i="183"/>
  <c r="AM71" i="183"/>
  <c r="AL69" i="183"/>
  <c r="AK69" i="183"/>
  <c r="AJ69" i="183"/>
  <c r="AM68" i="183"/>
  <c r="AM67" i="183"/>
  <c r="AM66" i="183"/>
  <c r="AM65" i="183"/>
  <c r="AM64" i="183"/>
  <c r="AL62" i="183"/>
  <c r="AK62" i="183"/>
  <c r="AJ62" i="183"/>
  <c r="AM61" i="183"/>
  <c r="AS61" i="183" s="1"/>
  <c r="AM60" i="183"/>
  <c r="AS60" i="183" s="1"/>
  <c r="AM59" i="183"/>
  <c r="AS59" i="183" s="1"/>
  <c r="AM58" i="183"/>
  <c r="AS58" i="183" s="1"/>
  <c r="AM57" i="183"/>
  <c r="AS57" i="183" s="1"/>
  <c r="AM56" i="183"/>
  <c r="AS56" i="183" s="1"/>
  <c r="AL54" i="183"/>
  <c r="AK54" i="183"/>
  <c r="AJ54" i="183"/>
  <c r="AM53" i="183"/>
  <c r="AM52" i="183"/>
  <c r="AM44" i="183"/>
  <c r="AM42" i="183"/>
  <c r="AL40" i="183"/>
  <c r="AL45" i="183" s="1"/>
  <c r="AK40" i="183"/>
  <c r="AK45" i="183" s="1"/>
  <c r="AJ40" i="183"/>
  <c r="AJ45" i="183" s="1"/>
  <c r="AM39" i="183"/>
  <c r="AS39" i="183" s="1"/>
  <c r="AM38" i="183"/>
  <c r="AS38" i="183" s="1"/>
  <c r="AM37" i="183"/>
  <c r="AS37" i="183" s="1"/>
  <c r="AM36" i="183"/>
  <c r="AS36" i="183" s="1"/>
  <c r="AM35" i="183"/>
  <c r="AS35" i="183" s="1"/>
  <c r="AM34" i="183"/>
  <c r="AS34" i="183" s="1"/>
  <c r="AM33" i="183"/>
  <c r="AS33" i="183" s="1"/>
  <c r="AM32" i="183"/>
  <c r="AS32" i="183" s="1"/>
  <c r="AM31" i="183"/>
  <c r="AS31" i="183" s="1"/>
  <c r="AL23" i="183"/>
  <c r="AK23" i="183"/>
  <c r="AJ23" i="183"/>
  <c r="AM22" i="183"/>
  <c r="AM21" i="183"/>
  <c r="AM19" i="183"/>
  <c r="AM18" i="183"/>
  <c r="AL16" i="183"/>
  <c r="AK16" i="183"/>
  <c r="AJ16" i="183"/>
  <c r="AM15" i="183"/>
  <c r="AS15" i="183" s="1"/>
  <c r="AM14" i="183"/>
  <c r="AS14" i="183" s="1"/>
  <c r="AM13" i="183"/>
  <c r="AS13" i="183" s="1"/>
  <c r="AM12" i="183"/>
  <c r="AS12" i="183" s="1"/>
  <c r="AM11" i="183"/>
  <c r="AS11" i="183" s="1"/>
  <c r="AM10" i="183"/>
  <c r="AS10" i="183" s="1"/>
  <c r="AM9" i="183"/>
  <c r="AS9" i="183" s="1"/>
  <c r="AM8" i="183"/>
  <c r="AS8" i="183" s="1"/>
  <c r="AM7" i="183"/>
  <c r="AS7" i="183" s="1"/>
  <c r="AN122" i="184" l="1"/>
  <c r="J20" i="184"/>
  <c r="O122" i="184"/>
  <c r="J122" i="184"/>
  <c r="AM123" i="184"/>
  <c r="AD122" i="184"/>
  <c r="AD20" i="184"/>
  <c r="AN20" i="184"/>
  <c r="AM123" i="183"/>
  <c r="AS123" i="183" s="1"/>
  <c r="AI20" i="184"/>
  <c r="Y20" i="184"/>
  <c r="T20" i="184"/>
  <c r="AL109" i="183"/>
  <c r="AK24" i="183"/>
  <c r="AM96" i="183"/>
  <c r="AJ109" i="184"/>
  <c r="AM103" i="183"/>
  <c r="AK24" i="184"/>
  <c r="AK109" i="184"/>
  <c r="AL24" i="184"/>
  <c r="AI78" i="184"/>
  <c r="AJ85" i="184"/>
  <c r="AN78" i="184"/>
  <c r="Y78" i="184"/>
  <c r="J78" i="184"/>
  <c r="AM96" i="184"/>
  <c r="T78" i="184"/>
  <c r="AJ24" i="184"/>
  <c r="AM84" i="184"/>
  <c r="AS84" i="184" s="1"/>
  <c r="AM84" i="183"/>
  <c r="AS84" i="183" s="1"/>
  <c r="AM76" i="183"/>
  <c r="AL109" i="184"/>
  <c r="AM23" i="184"/>
  <c r="AL85" i="184"/>
  <c r="AM40" i="184"/>
  <c r="AM45" i="184" s="1"/>
  <c r="AK85" i="184"/>
  <c r="AM62" i="183"/>
  <c r="AS62" i="183" s="1"/>
  <c r="AM16" i="184"/>
  <c r="AM62" i="184"/>
  <c r="AJ109" i="183"/>
  <c r="AM16" i="183"/>
  <c r="AS16" i="183" s="1"/>
  <c r="AJ24" i="183"/>
  <c r="AM108" i="184"/>
  <c r="AM103" i="184"/>
  <c r="AM69" i="184"/>
  <c r="AM76" i="184"/>
  <c r="AM54" i="184"/>
  <c r="AM108" i="183"/>
  <c r="AK109" i="183"/>
  <c r="AM69" i="183"/>
  <c r="AL85" i="183"/>
  <c r="AJ85" i="183"/>
  <c r="AM54" i="183"/>
  <c r="AK85" i="183"/>
  <c r="AM40" i="183"/>
  <c r="AL24" i="183"/>
  <c r="AM23" i="183"/>
  <c r="I64" i="36"/>
  <c r="I68" i="36" s="1"/>
  <c r="I51" i="35"/>
  <c r="I55" i="35" s="1"/>
  <c r="I53" i="34"/>
  <c r="AM45" i="183" l="1"/>
  <c r="AS45" i="183" s="1"/>
  <c r="AS40" i="183"/>
  <c r="AK126" i="184"/>
  <c r="AM24" i="184"/>
  <c r="AL126" i="184"/>
  <c r="AJ126" i="184"/>
  <c r="AJ126" i="183"/>
  <c r="AL126" i="183"/>
  <c r="AM109" i="184"/>
  <c r="AM85" i="184"/>
  <c r="AS85" i="184" s="1"/>
  <c r="AM109" i="183"/>
  <c r="AK126" i="183"/>
  <c r="AM85" i="183"/>
  <c r="AS85" i="183" s="1"/>
  <c r="AM24" i="183"/>
  <c r="AS24" i="183" s="1"/>
  <c r="O75" i="286"/>
  <c r="O74" i="286"/>
  <c r="O73" i="286"/>
  <c r="O72" i="286"/>
  <c r="O26" i="286"/>
  <c r="O43" i="286" s="1"/>
  <c r="O71" i="286" s="1"/>
  <c r="Q29" i="285"/>
  <c r="N29" i="285" s="1"/>
  <c r="P29" i="285"/>
  <c r="J29" i="285"/>
  <c r="H29" i="285"/>
  <c r="D29" i="285"/>
  <c r="Q28" i="285"/>
  <c r="L28" i="285" s="1"/>
  <c r="P28" i="285"/>
  <c r="N28" i="285"/>
  <c r="J28" i="285"/>
  <c r="H28" i="285"/>
  <c r="F28" i="285"/>
  <c r="Q27" i="285"/>
  <c r="N27" i="285" s="1"/>
  <c r="P27" i="285"/>
  <c r="J27" i="285"/>
  <c r="H27" i="285"/>
  <c r="Q26" i="285"/>
  <c r="P26" i="285" s="1"/>
  <c r="B27" i="285"/>
  <c r="B28" i="285" s="1"/>
  <c r="B29" i="285" s="1"/>
  <c r="Q20" i="285"/>
  <c r="P20" i="285" s="1"/>
  <c r="J20" i="285"/>
  <c r="Q19" i="285"/>
  <c r="P19" i="285" s="1"/>
  <c r="J19" i="285"/>
  <c r="Q18" i="285"/>
  <c r="P18" i="285"/>
  <c r="N18" i="285"/>
  <c r="L18" i="285"/>
  <c r="J18" i="285"/>
  <c r="H18" i="285"/>
  <c r="F18" i="285"/>
  <c r="D18" i="285"/>
  <c r="Q17" i="285"/>
  <c r="L17" i="285" s="1"/>
  <c r="J17" i="285"/>
  <c r="B18" i="285"/>
  <c r="B19" i="285" s="1"/>
  <c r="Q11" i="285"/>
  <c r="P11" i="285" s="1"/>
  <c r="J11" i="285"/>
  <c r="Q10" i="285"/>
  <c r="P10" i="285" s="1"/>
  <c r="J10" i="285"/>
  <c r="Q9" i="285"/>
  <c r="P9" i="285"/>
  <c r="N9" i="285"/>
  <c r="L9" i="285"/>
  <c r="J9" i="285"/>
  <c r="H9" i="285"/>
  <c r="F9" i="285"/>
  <c r="D9" i="285"/>
  <c r="Q8" i="285"/>
  <c r="L8" i="285" s="1"/>
  <c r="B9" i="285"/>
  <c r="B10" i="285" s="1"/>
  <c r="F46" i="284"/>
  <c r="E46" i="284" s="1"/>
  <c r="F44" i="284"/>
  <c r="C44" i="284" s="1"/>
  <c r="E44" i="284"/>
  <c r="F42" i="284"/>
  <c r="E42" i="284" s="1"/>
  <c r="F40" i="284"/>
  <c r="E40" i="284" s="1"/>
  <c r="F30" i="284"/>
  <c r="E30" i="284" s="1"/>
  <c r="F28" i="284"/>
  <c r="C28" i="284" s="1"/>
  <c r="E28" i="284"/>
  <c r="F26" i="284"/>
  <c r="E26" i="284"/>
  <c r="C26" i="284"/>
  <c r="F24" i="284"/>
  <c r="E24" i="284" s="1"/>
  <c r="F14" i="284"/>
  <c r="E14" i="284" s="1"/>
  <c r="F12" i="284"/>
  <c r="C12" i="284" s="1"/>
  <c r="E12" i="284"/>
  <c r="F10" i="284"/>
  <c r="E10" i="284"/>
  <c r="C10" i="284"/>
  <c r="F8" i="284"/>
  <c r="E8" i="284" s="1"/>
  <c r="G15" i="283"/>
  <c r="F15" i="283"/>
  <c r="D15" i="283"/>
  <c r="G13" i="283"/>
  <c r="F13" i="283"/>
  <c r="D13" i="283"/>
  <c r="G11" i="283"/>
  <c r="F11" i="283"/>
  <c r="D11" i="283"/>
  <c r="G9" i="283"/>
  <c r="F9" i="283"/>
  <c r="D9" i="283"/>
  <c r="J26" i="285" l="1"/>
  <c r="F17" i="285"/>
  <c r="H17" i="285"/>
  <c r="N17" i="285"/>
  <c r="P17" i="285"/>
  <c r="J8" i="285"/>
  <c r="P8" i="285"/>
  <c r="N8" i="285"/>
  <c r="F8" i="285"/>
  <c r="H8" i="285"/>
  <c r="C40" i="284"/>
  <c r="C24" i="284"/>
  <c r="C8" i="284"/>
  <c r="AM126" i="184"/>
  <c r="AS126" i="184" s="1"/>
  <c r="AM126" i="183"/>
  <c r="AS126" i="183" s="1"/>
  <c r="L29" i="285"/>
  <c r="F29" i="285"/>
  <c r="D26" i="285"/>
  <c r="L26" i="285"/>
  <c r="F26" i="285"/>
  <c r="N26" i="285"/>
  <c r="D27" i="285"/>
  <c r="L27" i="285"/>
  <c r="H26" i="285"/>
  <c r="F27" i="285"/>
  <c r="D28" i="285"/>
  <c r="D19" i="285"/>
  <c r="L19" i="285"/>
  <c r="D20" i="285"/>
  <c r="L20" i="285"/>
  <c r="F19" i="285"/>
  <c r="N19" i="285"/>
  <c r="F20" i="285"/>
  <c r="N20" i="285"/>
  <c r="D17" i="285"/>
  <c r="H19" i="285"/>
  <c r="H20" i="285"/>
  <c r="D10" i="285"/>
  <c r="L10" i="285"/>
  <c r="D11" i="285"/>
  <c r="L11" i="285"/>
  <c r="F10" i="285"/>
  <c r="N10" i="285"/>
  <c r="F11" i="285"/>
  <c r="N11" i="285"/>
  <c r="D8" i="285"/>
  <c r="H10" i="285"/>
  <c r="H11" i="285"/>
  <c r="C42" i="284"/>
  <c r="C46" i="284"/>
  <c r="C30" i="284"/>
  <c r="C14" i="284"/>
  <c r="L51" i="48"/>
  <c r="L55" i="48" s="1"/>
  <c r="L2" i="48"/>
  <c r="L58" i="49"/>
  <c r="L42" i="50"/>
  <c r="L46" i="50" s="1"/>
  <c r="AH111" i="308" l="1"/>
  <c r="AI111" i="308" s="1"/>
  <c r="AI110" i="308"/>
  <c r="AI109" i="308"/>
  <c r="AI108" i="308"/>
  <c r="AI107" i="308"/>
  <c r="AI106" i="308"/>
  <c r="AI105" i="308"/>
  <c r="AI104" i="308"/>
  <c r="AI103" i="308"/>
  <c r="AI102" i="308"/>
  <c r="AI101" i="308"/>
  <c r="AI100" i="308"/>
  <c r="AH98" i="308"/>
  <c r="AI98" i="308" s="1"/>
  <c r="AI97" i="308"/>
  <c r="AI96" i="308"/>
  <c r="AI95" i="308"/>
  <c r="AI94" i="308"/>
  <c r="AI93" i="308"/>
  <c r="AI92" i="308"/>
  <c r="AI91" i="308"/>
  <c r="AH86" i="308"/>
  <c r="AI85" i="308"/>
  <c r="AI84" i="308"/>
  <c r="AI83" i="308"/>
  <c r="AI82" i="308"/>
  <c r="AH80" i="308"/>
  <c r="AI80" i="308" s="1"/>
  <c r="AI79" i="308"/>
  <c r="AI78" i="308"/>
  <c r="AI77" i="308"/>
  <c r="AI76" i="308"/>
  <c r="AI75" i="308"/>
  <c r="AI74" i="308"/>
  <c r="AH72" i="308"/>
  <c r="AI72" i="308" s="1"/>
  <c r="AI71" i="308"/>
  <c r="AI70" i="308"/>
  <c r="AI69" i="308"/>
  <c r="AI68" i="308"/>
  <c r="AI67" i="308"/>
  <c r="AI66" i="308"/>
  <c r="AI65" i="308"/>
  <c r="AI64" i="308"/>
  <c r="AI63" i="308"/>
  <c r="AI62" i="308"/>
  <c r="AI61" i="308"/>
  <c r="AH56" i="308"/>
  <c r="AI56" i="308" s="1"/>
  <c r="AI55" i="308"/>
  <c r="AI54" i="308"/>
  <c r="AH52" i="308"/>
  <c r="AI52" i="308" s="1"/>
  <c r="AI51" i="308"/>
  <c r="AI50" i="308"/>
  <c r="AI49" i="308"/>
  <c r="AH47" i="308"/>
  <c r="AI47" i="308" s="1"/>
  <c r="AI46" i="308"/>
  <c r="AI45" i="308"/>
  <c r="AH43" i="308"/>
  <c r="AI43" i="308" s="1"/>
  <c r="AI42" i="308"/>
  <c r="AI41" i="308"/>
  <c r="AI40" i="308"/>
  <c r="AI39" i="308"/>
  <c r="AI38" i="308"/>
  <c r="AH36" i="308"/>
  <c r="AI35" i="308"/>
  <c r="AI34" i="308"/>
  <c r="AH29" i="308"/>
  <c r="AI29" i="308" s="1"/>
  <c r="AI28" i="308"/>
  <c r="AI27" i="308"/>
  <c r="AI26" i="308"/>
  <c r="AI25" i="308"/>
  <c r="AI23" i="308"/>
  <c r="AI22" i="308"/>
  <c r="AI21" i="308"/>
  <c r="AH18" i="308"/>
  <c r="AI18" i="308" s="1"/>
  <c r="AI17" i="308"/>
  <c r="AI16" i="308"/>
  <c r="AI15" i="308"/>
  <c r="AI14" i="308"/>
  <c r="AI13" i="308"/>
  <c r="AI12" i="308"/>
  <c r="AI11" i="308"/>
  <c r="AH9" i="308"/>
  <c r="AI9" i="308" s="1"/>
  <c r="AI8" i="308"/>
  <c r="AI7" i="308"/>
  <c r="AI6" i="308"/>
  <c r="N104" i="187"/>
  <c r="N91" i="187"/>
  <c r="N79" i="187"/>
  <c r="N73" i="187"/>
  <c r="N65" i="187"/>
  <c r="N52" i="187"/>
  <c r="N48" i="187"/>
  <c r="N44" i="187"/>
  <c r="N40" i="187"/>
  <c r="N33" i="187"/>
  <c r="N26" i="187"/>
  <c r="N17" i="187"/>
  <c r="N9" i="187"/>
  <c r="N105" i="187" l="1"/>
  <c r="AH112" i="308"/>
  <c r="AI112" i="308" s="1"/>
  <c r="AH87" i="308"/>
  <c r="AI87" i="308" s="1"/>
  <c r="AH57" i="308"/>
  <c r="AI57" i="308" s="1"/>
  <c r="AI86" i="308"/>
  <c r="AI36" i="308"/>
  <c r="AH30" i="308"/>
  <c r="N80" i="187"/>
  <c r="N53" i="187"/>
  <c r="N27" i="187"/>
  <c r="O133" i="196"/>
  <c r="P132" i="196"/>
  <c r="P131" i="196"/>
  <c r="P130" i="196"/>
  <c r="P129" i="196"/>
  <c r="O126" i="196"/>
  <c r="P125" i="196"/>
  <c r="P124" i="196"/>
  <c r="P123" i="196"/>
  <c r="P122" i="196"/>
  <c r="P120" i="196"/>
  <c r="P119" i="196"/>
  <c r="P118" i="196"/>
  <c r="P117" i="196"/>
  <c r="P116" i="196"/>
  <c r="P115" i="196"/>
  <c r="O113" i="196"/>
  <c r="P112" i="196"/>
  <c r="P111" i="196"/>
  <c r="P110" i="196"/>
  <c r="P109" i="196"/>
  <c r="P108" i="196"/>
  <c r="P107" i="196"/>
  <c r="O102" i="196"/>
  <c r="P101" i="196"/>
  <c r="P100" i="196"/>
  <c r="P99" i="196"/>
  <c r="P98" i="196"/>
  <c r="P97" i="196"/>
  <c r="P96" i="196"/>
  <c r="O94" i="196"/>
  <c r="P94" i="196" s="1"/>
  <c r="P93" i="196"/>
  <c r="P92" i="196"/>
  <c r="P91" i="196"/>
  <c r="P90" i="196"/>
  <c r="P89" i="196"/>
  <c r="P88" i="196"/>
  <c r="P87" i="196"/>
  <c r="O85" i="196"/>
  <c r="P85" i="196" s="1"/>
  <c r="P84" i="196"/>
  <c r="P83" i="196"/>
  <c r="P82" i="196"/>
  <c r="P81" i="196"/>
  <c r="P80" i="196"/>
  <c r="P79" i="196"/>
  <c r="P78" i="196"/>
  <c r="P77" i="196"/>
  <c r="P76" i="196"/>
  <c r="P75" i="196"/>
  <c r="P74" i="196"/>
  <c r="P73" i="196"/>
  <c r="P72" i="196"/>
  <c r="P71" i="196"/>
  <c r="O66" i="196"/>
  <c r="P65" i="196"/>
  <c r="P64" i="196"/>
  <c r="P63" i="196"/>
  <c r="P62" i="196"/>
  <c r="P61" i="196"/>
  <c r="P60" i="196"/>
  <c r="P59" i="196"/>
  <c r="P58" i="196"/>
  <c r="O56" i="196"/>
  <c r="P56" i="196" s="1"/>
  <c r="P55" i="196"/>
  <c r="P54" i="196"/>
  <c r="P53" i="196"/>
  <c r="O51" i="196"/>
  <c r="P51" i="196" s="1"/>
  <c r="P50" i="196"/>
  <c r="P49" i="196"/>
  <c r="O47" i="196"/>
  <c r="P47" i="196" s="1"/>
  <c r="P46" i="196"/>
  <c r="P45" i="196"/>
  <c r="P44" i="196"/>
  <c r="P43" i="196"/>
  <c r="O41" i="196"/>
  <c r="P41" i="196" s="1"/>
  <c r="P40" i="196"/>
  <c r="P39" i="196"/>
  <c r="P38" i="196"/>
  <c r="O33" i="196"/>
  <c r="P33" i="196" s="1"/>
  <c r="P32" i="196"/>
  <c r="P31" i="196"/>
  <c r="P30" i="196"/>
  <c r="P29" i="196"/>
  <c r="O27" i="196"/>
  <c r="P27" i="196" s="1"/>
  <c r="P26" i="196"/>
  <c r="P25" i="196"/>
  <c r="P24" i="196"/>
  <c r="P23" i="196"/>
  <c r="P22" i="196"/>
  <c r="O20" i="196"/>
  <c r="P20" i="196" s="1"/>
  <c r="P19" i="196"/>
  <c r="P18" i="196"/>
  <c r="P17" i="196"/>
  <c r="P16" i="196"/>
  <c r="P15" i="196"/>
  <c r="P14" i="196"/>
  <c r="P13" i="196"/>
  <c r="P12" i="196"/>
  <c r="O10" i="196"/>
  <c r="P10" i="196" s="1"/>
  <c r="P9" i="196"/>
  <c r="P8" i="196"/>
  <c r="P7" i="196"/>
  <c r="P6" i="196"/>
  <c r="P5" i="196"/>
  <c r="Q138" i="323"/>
  <c r="T138" i="323" s="1"/>
  <c r="O138" i="323"/>
  <c r="G138" i="323"/>
  <c r="C138" i="323"/>
  <c r="B138" i="323"/>
  <c r="R137" i="323"/>
  <c r="P137" i="323"/>
  <c r="N137" i="323"/>
  <c r="J137" i="323"/>
  <c r="H137" i="323"/>
  <c r="F137" i="323"/>
  <c r="D137" i="323"/>
  <c r="R136" i="323"/>
  <c r="P136" i="323"/>
  <c r="N136" i="323"/>
  <c r="J136" i="323"/>
  <c r="H136" i="323"/>
  <c r="F136" i="323"/>
  <c r="D136" i="323"/>
  <c r="R135" i="323"/>
  <c r="P135" i="323"/>
  <c r="N135" i="323"/>
  <c r="J135" i="323"/>
  <c r="H135" i="323"/>
  <c r="F135" i="323"/>
  <c r="D135" i="323"/>
  <c r="R134" i="323"/>
  <c r="P134" i="323"/>
  <c r="N134" i="323"/>
  <c r="J134" i="323"/>
  <c r="H134" i="323"/>
  <c r="F134" i="323"/>
  <c r="D134" i="323"/>
  <c r="R133" i="323"/>
  <c r="P133" i="323"/>
  <c r="N133" i="323"/>
  <c r="J133" i="323"/>
  <c r="H133" i="323"/>
  <c r="F133" i="323"/>
  <c r="D133" i="323"/>
  <c r="R132" i="323"/>
  <c r="P132" i="323"/>
  <c r="N132" i="323"/>
  <c r="J132" i="323"/>
  <c r="H132" i="323"/>
  <c r="F132" i="323"/>
  <c r="D132" i="323"/>
  <c r="R131" i="323"/>
  <c r="P131" i="323"/>
  <c r="N131" i="323"/>
  <c r="J131" i="323"/>
  <c r="H131" i="323"/>
  <c r="F131" i="323"/>
  <c r="D131" i="323"/>
  <c r="R130" i="323"/>
  <c r="P130" i="323"/>
  <c r="N130" i="323"/>
  <c r="J130" i="323"/>
  <c r="H130" i="323"/>
  <c r="F130" i="323"/>
  <c r="D130" i="323"/>
  <c r="R129" i="323"/>
  <c r="M129" i="323"/>
  <c r="P129" i="323" s="1"/>
  <c r="J129" i="323"/>
  <c r="I129" i="323"/>
  <c r="E129" i="323"/>
  <c r="F129" i="323" s="1"/>
  <c r="D129" i="323"/>
  <c r="Q126" i="323"/>
  <c r="O126" i="323"/>
  <c r="M126" i="323"/>
  <c r="I126" i="323"/>
  <c r="L126" i="323" s="1"/>
  <c r="G126" i="323"/>
  <c r="E126" i="323"/>
  <c r="C126" i="323"/>
  <c r="B126" i="323"/>
  <c r="R125" i="323"/>
  <c r="P125" i="323"/>
  <c r="N125" i="323"/>
  <c r="J125" i="323"/>
  <c r="H125" i="323"/>
  <c r="F125" i="323"/>
  <c r="D125" i="323"/>
  <c r="R124" i="323"/>
  <c r="P124" i="323"/>
  <c r="N124" i="323"/>
  <c r="J124" i="323"/>
  <c r="H124" i="323"/>
  <c r="F124" i="323"/>
  <c r="D124" i="323"/>
  <c r="R123" i="323"/>
  <c r="P123" i="323"/>
  <c r="N123" i="323"/>
  <c r="J123" i="323"/>
  <c r="H123" i="323"/>
  <c r="F123" i="323"/>
  <c r="D123" i="323"/>
  <c r="R122" i="323"/>
  <c r="P122" i="323"/>
  <c r="N122" i="323"/>
  <c r="J122" i="323"/>
  <c r="H122" i="323"/>
  <c r="F122" i="323"/>
  <c r="D122" i="323"/>
  <c r="R121" i="323"/>
  <c r="P121" i="323"/>
  <c r="N121" i="323"/>
  <c r="J121" i="323"/>
  <c r="H121" i="323"/>
  <c r="F121" i="323"/>
  <c r="D121" i="323"/>
  <c r="R120" i="323"/>
  <c r="P120" i="323"/>
  <c r="N120" i="323"/>
  <c r="J120" i="323"/>
  <c r="H120" i="323"/>
  <c r="F120" i="323"/>
  <c r="D120" i="323"/>
  <c r="R119" i="323"/>
  <c r="P119" i="323"/>
  <c r="N119" i="323"/>
  <c r="J119" i="323"/>
  <c r="H119" i="323"/>
  <c r="F119" i="323"/>
  <c r="R118" i="323"/>
  <c r="P118" i="323"/>
  <c r="N118" i="323"/>
  <c r="J118" i="323"/>
  <c r="H118" i="323"/>
  <c r="F118" i="323"/>
  <c r="D118" i="323"/>
  <c r="R117" i="323"/>
  <c r="P117" i="323"/>
  <c r="N117" i="323"/>
  <c r="J117" i="323"/>
  <c r="H117" i="323"/>
  <c r="F117" i="323"/>
  <c r="D117" i="323"/>
  <c r="R116" i="323"/>
  <c r="P116" i="323"/>
  <c r="N116" i="323"/>
  <c r="J116" i="323"/>
  <c r="H116" i="323"/>
  <c r="F116" i="323"/>
  <c r="D116" i="323"/>
  <c r="R114" i="323"/>
  <c r="P114" i="323"/>
  <c r="N114" i="323"/>
  <c r="J114" i="323"/>
  <c r="H114" i="323"/>
  <c r="F114" i="323"/>
  <c r="Q112" i="323"/>
  <c r="O112" i="323"/>
  <c r="M112" i="323"/>
  <c r="N112" i="323" s="1"/>
  <c r="I112" i="323"/>
  <c r="G112" i="323"/>
  <c r="E112" i="323"/>
  <c r="F112" i="323" s="1"/>
  <c r="C112" i="323"/>
  <c r="B112" i="323"/>
  <c r="D112" i="323" s="1"/>
  <c r="R111" i="323"/>
  <c r="P111" i="323"/>
  <c r="N111" i="323"/>
  <c r="J111" i="323"/>
  <c r="H111" i="323"/>
  <c r="F111" i="323"/>
  <c r="D111" i="323"/>
  <c r="R110" i="323"/>
  <c r="P110" i="323"/>
  <c r="N110" i="323"/>
  <c r="J110" i="323"/>
  <c r="H110" i="323"/>
  <c r="F110" i="323"/>
  <c r="D110" i="323"/>
  <c r="R109" i="323"/>
  <c r="P109" i="323"/>
  <c r="N109" i="323"/>
  <c r="J109" i="323"/>
  <c r="H109" i="323"/>
  <c r="F109" i="323"/>
  <c r="D109" i="323"/>
  <c r="R108" i="323"/>
  <c r="P108" i="323"/>
  <c r="N108" i="323"/>
  <c r="J108" i="323"/>
  <c r="H108" i="323"/>
  <c r="F108" i="323"/>
  <c r="D108" i="323"/>
  <c r="R107" i="323"/>
  <c r="P107" i="323"/>
  <c r="N107" i="323"/>
  <c r="J107" i="323"/>
  <c r="H107" i="323"/>
  <c r="F107" i="323"/>
  <c r="D107" i="323"/>
  <c r="R105" i="323"/>
  <c r="P105" i="323"/>
  <c r="N105" i="323"/>
  <c r="J105" i="323"/>
  <c r="H105" i="323"/>
  <c r="F105" i="323"/>
  <c r="D105" i="323"/>
  <c r="R104" i="323"/>
  <c r="P104" i="323"/>
  <c r="N104" i="323"/>
  <c r="J104" i="323"/>
  <c r="H104" i="323"/>
  <c r="F104" i="323"/>
  <c r="D104" i="323"/>
  <c r="G102" i="323"/>
  <c r="I102" i="323" s="1"/>
  <c r="C102" i="323"/>
  <c r="Q99" i="323"/>
  <c r="T99" i="323" s="1"/>
  <c r="O99" i="323"/>
  <c r="M99" i="323"/>
  <c r="J99" i="323"/>
  <c r="I99" i="323"/>
  <c r="L99" i="323" s="1"/>
  <c r="G99" i="323"/>
  <c r="E99" i="323"/>
  <c r="C99" i="323"/>
  <c r="B99" i="323"/>
  <c r="R98" i="323"/>
  <c r="P98" i="323"/>
  <c r="N98" i="323"/>
  <c r="J98" i="323"/>
  <c r="H98" i="323"/>
  <c r="F98" i="323"/>
  <c r="D98" i="323"/>
  <c r="R97" i="323"/>
  <c r="P97" i="323"/>
  <c r="N97" i="323"/>
  <c r="J97" i="323"/>
  <c r="H97" i="323"/>
  <c r="F97" i="323"/>
  <c r="D97" i="323"/>
  <c r="R96" i="323"/>
  <c r="P96" i="323"/>
  <c r="N96" i="323"/>
  <c r="J96" i="323"/>
  <c r="H96" i="323"/>
  <c r="F96" i="323"/>
  <c r="D96" i="323"/>
  <c r="R95" i="323"/>
  <c r="P95" i="323"/>
  <c r="N95" i="323"/>
  <c r="J95" i="323"/>
  <c r="H95" i="323"/>
  <c r="F95" i="323"/>
  <c r="D95" i="323"/>
  <c r="R94" i="323"/>
  <c r="P94" i="323"/>
  <c r="N94" i="323"/>
  <c r="J94" i="323"/>
  <c r="H94" i="323"/>
  <c r="F94" i="323"/>
  <c r="D94" i="323"/>
  <c r="Q92" i="323"/>
  <c r="T92" i="323" s="1"/>
  <c r="O92" i="323"/>
  <c r="M92" i="323"/>
  <c r="N92" i="323" s="1"/>
  <c r="I92" i="323"/>
  <c r="L92" i="323" s="1"/>
  <c r="G92" i="323"/>
  <c r="E92" i="323"/>
  <c r="C92" i="323"/>
  <c r="F92" i="323" s="1"/>
  <c r="B92" i="323"/>
  <c r="R91" i="323"/>
  <c r="P91" i="323"/>
  <c r="N91" i="323"/>
  <c r="J91" i="323"/>
  <c r="H91" i="323"/>
  <c r="F91" i="323"/>
  <c r="D91" i="323"/>
  <c r="R90" i="323"/>
  <c r="P90" i="323"/>
  <c r="N90" i="323"/>
  <c r="J90" i="323"/>
  <c r="H90" i="323"/>
  <c r="F90" i="323"/>
  <c r="D90" i="323"/>
  <c r="R89" i="323"/>
  <c r="P89" i="323"/>
  <c r="N89" i="323"/>
  <c r="J89" i="323"/>
  <c r="H89" i="323"/>
  <c r="F89" i="323"/>
  <c r="D89" i="323"/>
  <c r="R88" i="323"/>
  <c r="P88" i="323"/>
  <c r="N88" i="323"/>
  <c r="J88" i="323"/>
  <c r="H88" i="323"/>
  <c r="F88" i="323"/>
  <c r="D88" i="323"/>
  <c r="R87" i="323"/>
  <c r="P87" i="323"/>
  <c r="N87" i="323"/>
  <c r="J87" i="323"/>
  <c r="H87" i="323"/>
  <c r="F87" i="323"/>
  <c r="D87" i="323"/>
  <c r="R86" i="323"/>
  <c r="P86" i="323"/>
  <c r="N86" i="323"/>
  <c r="J86" i="323"/>
  <c r="H86" i="323"/>
  <c r="F86" i="323"/>
  <c r="D86" i="323"/>
  <c r="R85" i="323"/>
  <c r="P85" i="323"/>
  <c r="N85" i="323"/>
  <c r="J85" i="323"/>
  <c r="H85" i="323"/>
  <c r="F85" i="323"/>
  <c r="D85" i="323"/>
  <c r="Q83" i="323"/>
  <c r="T83" i="323" s="1"/>
  <c r="O83" i="323"/>
  <c r="R83" i="323" s="1"/>
  <c r="M83" i="323"/>
  <c r="I83" i="323"/>
  <c r="L83" i="323" s="1"/>
  <c r="G83" i="323"/>
  <c r="E83" i="323"/>
  <c r="C83" i="323"/>
  <c r="B83" i="323"/>
  <c r="R82" i="323"/>
  <c r="P82" i="323"/>
  <c r="N82" i="323"/>
  <c r="J82" i="323"/>
  <c r="H82" i="323"/>
  <c r="F82" i="323"/>
  <c r="D82" i="323"/>
  <c r="R81" i="323"/>
  <c r="P81" i="323"/>
  <c r="N81" i="323"/>
  <c r="J81" i="323"/>
  <c r="H81" i="323"/>
  <c r="F81" i="323"/>
  <c r="D81" i="323"/>
  <c r="R80" i="323"/>
  <c r="P80" i="323"/>
  <c r="N80" i="323"/>
  <c r="J80" i="323"/>
  <c r="H80" i="323"/>
  <c r="F80" i="323"/>
  <c r="D80" i="323"/>
  <c r="R79" i="323"/>
  <c r="P79" i="323"/>
  <c r="N79" i="323"/>
  <c r="J79" i="323"/>
  <c r="H79" i="323"/>
  <c r="F79" i="323"/>
  <c r="D79" i="323"/>
  <c r="R78" i="323"/>
  <c r="P78" i="323"/>
  <c r="N78" i="323"/>
  <c r="J78" i="323"/>
  <c r="H78" i="323"/>
  <c r="F78" i="323"/>
  <c r="D78" i="323"/>
  <c r="R77" i="323"/>
  <c r="P77" i="323"/>
  <c r="N77" i="323"/>
  <c r="J77" i="323"/>
  <c r="H77" i="323"/>
  <c r="F77" i="323"/>
  <c r="D77" i="323"/>
  <c r="R76" i="323"/>
  <c r="P76" i="323"/>
  <c r="N76" i="323"/>
  <c r="J76" i="323"/>
  <c r="H76" i="323"/>
  <c r="F76" i="323"/>
  <c r="D76" i="323"/>
  <c r="R75" i="323"/>
  <c r="P75" i="323"/>
  <c r="N75" i="323"/>
  <c r="J75" i="323"/>
  <c r="H75" i="323"/>
  <c r="F75" i="323"/>
  <c r="R74" i="323"/>
  <c r="P74" i="323"/>
  <c r="N74" i="323"/>
  <c r="J74" i="323"/>
  <c r="H74" i="323"/>
  <c r="F74" i="323"/>
  <c r="D74" i="323"/>
  <c r="R73" i="323"/>
  <c r="P73" i="323"/>
  <c r="N73" i="323"/>
  <c r="J73" i="323"/>
  <c r="H73" i="323"/>
  <c r="F73" i="323"/>
  <c r="D73" i="323"/>
  <c r="R72" i="323"/>
  <c r="P72" i="323"/>
  <c r="N72" i="323"/>
  <c r="J72" i="323"/>
  <c r="H72" i="323"/>
  <c r="F72" i="323"/>
  <c r="D72" i="323"/>
  <c r="R71" i="323"/>
  <c r="P71" i="323"/>
  <c r="N71" i="323"/>
  <c r="J71" i="323"/>
  <c r="H71" i="323"/>
  <c r="F71" i="323"/>
  <c r="D71" i="323"/>
  <c r="R70" i="323"/>
  <c r="P70" i="323"/>
  <c r="N70" i="323"/>
  <c r="J70" i="323"/>
  <c r="H70" i="323"/>
  <c r="F70" i="323"/>
  <c r="D70" i="323"/>
  <c r="R69" i="323"/>
  <c r="P69" i="323"/>
  <c r="N69" i="323"/>
  <c r="J69" i="323"/>
  <c r="H69" i="323"/>
  <c r="F69" i="323"/>
  <c r="D69" i="323"/>
  <c r="G67" i="323"/>
  <c r="I67" i="323" s="1"/>
  <c r="C67" i="323"/>
  <c r="Q64" i="323"/>
  <c r="T64" i="323" s="1"/>
  <c r="P64" i="323"/>
  <c r="O64" i="323"/>
  <c r="M64" i="323"/>
  <c r="N64" i="323" s="1"/>
  <c r="I64" i="323"/>
  <c r="L64" i="323" s="1"/>
  <c r="G64" i="323"/>
  <c r="E64" i="323"/>
  <c r="C64" i="323"/>
  <c r="B64" i="323"/>
  <c r="R63" i="323"/>
  <c r="P63" i="323"/>
  <c r="N63" i="323"/>
  <c r="J63" i="323"/>
  <c r="H63" i="323"/>
  <c r="F63" i="323"/>
  <c r="D63" i="323"/>
  <c r="R62" i="323"/>
  <c r="P62" i="323"/>
  <c r="N62" i="323"/>
  <c r="J62" i="323"/>
  <c r="H62" i="323"/>
  <c r="F62" i="323"/>
  <c r="D62" i="323"/>
  <c r="R61" i="323"/>
  <c r="P61" i="323"/>
  <c r="N61" i="323"/>
  <c r="J61" i="323"/>
  <c r="H61" i="323"/>
  <c r="F61" i="323"/>
  <c r="D61" i="323"/>
  <c r="R60" i="323"/>
  <c r="P60" i="323"/>
  <c r="N60" i="323"/>
  <c r="J60" i="323"/>
  <c r="H60" i="323"/>
  <c r="F60" i="323"/>
  <c r="D60" i="323"/>
  <c r="R59" i="323"/>
  <c r="P59" i="323"/>
  <c r="N59" i="323"/>
  <c r="J59" i="323"/>
  <c r="H59" i="323"/>
  <c r="F59" i="323"/>
  <c r="D59" i="323"/>
  <c r="R58" i="323"/>
  <c r="P58" i="323"/>
  <c r="N58" i="323"/>
  <c r="J58" i="323"/>
  <c r="H58" i="323"/>
  <c r="F58" i="323"/>
  <c r="D58" i="323"/>
  <c r="R57" i="323"/>
  <c r="P57" i="323"/>
  <c r="N57" i="323"/>
  <c r="J57" i="323"/>
  <c r="H57" i="323"/>
  <c r="F57" i="323"/>
  <c r="D57" i="323"/>
  <c r="R56" i="323"/>
  <c r="P56" i="323"/>
  <c r="N56" i="323"/>
  <c r="J56" i="323"/>
  <c r="H56" i="323"/>
  <c r="F56" i="323"/>
  <c r="D56" i="323"/>
  <c r="R55" i="323"/>
  <c r="P55" i="323"/>
  <c r="N55" i="323"/>
  <c r="J55" i="323"/>
  <c r="H55" i="323"/>
  <c r="F55" i="323"/>
  <c r="D55" i="323"/>
  <c r="R54" i="323"/>
  <c r="P54" i="323"/>
  <c r="N54" i="323"/>
  <c r="J54" i="323"/>
  <c r="H54" i="323"/>
  <c r="F54" i="323"/>
  <c r="D54" i="323"/>
  <c r="Q52" i="323"/>
  <c r="T52" i="323" s="1"/>
  <c r="O52" i="323"/>
  <c r="N52" i="323"/>
  <c r="M52" i="323"/>
  <c r="I52" i="323"/>
  <c r="L52" i="323" s="1"/>
  <c r="G52" i="323"/>
  <c r="J52" i="323" s="1"/>
  <c r="F52" i="323"/>
  <c r="E52" i="323"/>
  <c r="C52" i="323"/>
  <c r="B52" i="323"/>
  <c r="R51" i="323"/>
  <c r="P51" i="323"/>
  <c r="N51" i="323"/>
  <c r="J51" i="323"/>
  <c r="H51" i="323"/>
  <c r="F51" i="323"/>
  <c r="D51" i="323"/>
  <c r="R50" i="323"/>
  <c r="P50" i="323"/>
  <c r="N50" i="323"/>
  <c r="J50" i="323"/>
  <c r="H50" i="323"/>
  <c r="F50" i="323"/>
  <c r="D50" i="323"/>
  <c r="R49" i="323"/>
  <c r="P49" i="323"/>
  <c r="N49" i="323"/>
  <c r="J49" i="323"/>
  <c r="H49" i="323"/>
  <c r="F49" i="323"/>
  <c r="D49" i="323"/>
  <c r="Q47" i="323"/>
  <c r="T47" i="323" s="1"/>
  <c r="O47" i="323"/>
  <c r="M47" i="323"/>
  <c r="N47" i="323" s="1"/>
  <c r="I47" i="323"/>
  <c r="L47" i="323" s="1"/>
  <c r="G47" i="323"/>
  <c r="E47" i="323"/>
  <c r="H47" i="323" s="1"/>
  <c r="C47" i="323"/>
  <c r="B47" i="323"/>
  <c r="R46" i="323"/>
  <c r="P46" i="323"/>
  <c r="N46" i="323"/>
  <c r="J46" i="323"/>
  <c r="H46" i="323"/>
  <c r="F46" i="323"/>
  <c r="D46" i="323"/>
  <c r="R45" i="323"/>
  <c r="P45" i="323"/>
  <c r="N45" i="323"/>
  <c r="J45" i="323"/>
  <c r="H45" i="323"/>
  <c r="F45" i="323"/>
  <c r="D45" i="323"/>
  <c r="Q43" i="323"/>
  <c r="T43" i="323" s="1"/>
  <c r="O43" i="323"/>
  <c r="M43" i="323"/>
  <c r="P43" i="323" s="1"/>
  <c r="I43" i="323"/>
  <c r="L43" i="323" s="1"/>
  <c r="G43" i="323"/>
  <c r="E43" i="323"/>
  <c r="C43" i="323"/>
  <c r="F43" i="323" s="1"/>
  <c r="B43" i="323"/>
  <c r="D43" i="323" s="1"/>
  <c r="R42" i="323"/>
  <c r="P42" i="323"/>
  <c r="N42" i="323"/>
  <c r="J42" i="323"/>
  <c r="H42" i="323"/>
  <c r="F42" i="323"/>
  <c r="D42" i="323"/>
  <c r="R41" i="323"/>
  <c r="P41" i="323"/>
  <c r="N41" i="323"/>
  <c r="J41" i="323"/>
  <c r="H41" i="323"/>
  <c r="F41" i="323"/>
  <c r="D41" i="323"/>
  <c r="R40" i="323"/>
  <c r="P40" i="323"/>
  <c r="N40" i="323"/>
  <c r="J40" i="323"/>
  <c r="H40" i="323"/>
  <c r="F40" i="323"/>
  <c r="D40" i="323"/>
  <c r="R39" i="323"/>
  <c r="P39" i="323"/>
  <c r="N39" i="323"/>
  <c r="J39" i="323"/>
  <c r="H39" i="323"/>
  <c r="F39" i="323"/>
  <c r="D39" i="323"/>
  <c r="Q37" i="323"/>
  <c r="T37" i="323" s="1"/>
  <c r="O37" i="323"/>
  <c r="M37" i="323"/>
  <c r="P37" i="323" s="1"/>
  <c r="N37" i="323"/>
  <c r="I37" i="323"/>
  <c r="L37" i="323" s="1"/>
  <c r="G37" i="323"/>
  <c r="E37" i="323"/>
  <c r="H37" i="323" s="1"/>
  <c r="C37" i="323"/>
  <c r="B37" i="323"/>
  <c r="R36" i="323"/>
  <c r="P36" i="323"/>
  <c r="N36" i="323"/>
  <c r="J36" i="323"/>
  <c r="H36" i="323"/>
  <c r="F36" i="323"/>
  <c r="D36" i="323"/>
  <c r="R35" i="323"/>
  <c r="P35" i="323"/>
  <c r="N35" i="323"/>
  <c r="J35" i="323"/>
  <c r="H35" i="323"/>
  <c r="F35" i="323"/>
  <c r="D35" i="323"/>
  <c r="G33" i="323"/>
  <c r="I33" i="323" s="1"/>
  <c r="C33" i="323"/>
  <c r="Q30" i="323"/>
  <c r="O30" i="323"/>
  <c r="O31" i="323" s="1"/>
  <c r="M30" i="323"/>
  <c r="P30" i="323" s="1"/>
  <c r="I30" i="323"/>
  <c r="G30" i="323"/>
  <c r="E30" i="323"/>
  <c r="F30" i="323" s="1"/>
  <c r="D30" i="323"/>
  <c r="C30" i="323"/>
  <c r="B30" i="323"/>
  <c r="R29" i="323"/>
  <c r="P29" i="323"/>
  <c r="N29" i="323"/>
  <c r="J29" i="323"/>
  <c r="H29" i="323"/>
  <c r="F29" i="323"/>
  <c r="D29" i="323"/>
  <c r="R28" i="323"/>
  <c r="P28" i="323"/>
  <c r="N28" i="323"/>
  <c r="J28" i="323"/>
  <c r="H28" i="323"/>
  <c r="F28" i="323"/>
  <c r="D28" i="323"/>
  <c r="R27" i="323"/>
  <c r="P27" i="323"/>
  <c r="N27" i="323"/>
  <c r="J27" i="323"/>
  <c r="H27" i="323"/>
  <c r="F27" i="323"/>
  <c r="D27" i="323"/>
  <c r="Q25" i="323"/>
  <c r="O25" i="323"/>
  <c r="M25" i="323"/>
  <c r="N25" i="323"/>
  <c r="I25" i="323"/>
  <c r="L25" i="323" s="1"/>
  <c r="G25" i="323"/>
  <c r="E25" i="323"/>
  <c r="C25" i="323"/>
  <c r="B25" i="323"/>
  <c r="R24" i="323"/>
  <c r="P24" i="323"/>
  <c r="N24" i="323"/>
  <c r="J24" i="323"/>
  <c r="H24" i="323"/>
  <c r="F24" i="323"/>
  <c r="D24" i="323"/>
  <c r="R23" i="323"/>
  <c r="P23" i="323"/>
  <c r="N23" i="323"/>
  <c r="J23" i="323"/>
  <c r="H23" i="323"/>
  <c r="F23" i="323"/>
  <c r="D23" i="323"/>
  <c r="R22" i="323"/>
  <c r="P22" i="323"/>
  <c r="N22" i="323"/>
  <c r="J22" i="323"/>
  <c r="H22" i="323"/>
  <c r="F22" i="323"/>
  <c r="D22" i="323"/>
  <c r="R21" i="323"/>
  <c r="P21" i="323"/>
  <c r="N21" i="323"/>
  <c r="J21" i="323"/>
  <c r="H21" i="323"/>
  <c r="F21" i="323"/>
  <c r="D21" i="323"/>
  <c r="R20" i="323"/>
  <c r="P20" i="323"/>
  <c r="N20" i="323"/>
  <c r="J20" i="323"/>
  <c r="H20" i="323"/>
  <c r="F20" i="323"/>
  <c r="D20" i="323"/>
  <c r="Q18" i="323"/>
  <c r="T18" i="323" s="1"/>
  <c r="O18" i="323"/>
  <c r="M18" i="323"/>
  <c r="N18" i="323" s="1"/>
  <c r="I18" i="323"/>
  <c r="L18" i="323" s="1"/>
  <c r="G18" i="323"/>
  <c r="H18" i="323" s="1"/>
  <c r="E18" i="323"/>
  <c r="C18" i="323"/>
  <c r="F18" i="323" s="1"/>
  <c r="B18" i="323"/>
  <c r="D18" i="323" s="1"/>
  <c r="R17" i="323"/>
  <c r="P17" i="323"/>
  <c r="N17" i="323"/>
  <c r="J17" i="323"/>
  <c r="H17" i="323"/>
  <c r="F17" i="323"/>
  <c r="D17" i="323"/>
  <c r="R16" i="323"/>
  <c r="P16" i="323"/>
  <c r="N16" i="323"/>
  <c r="J16" i="323"/>
  <c r="H16" i="323"/>
  <c r="F16" i="323"/>
  <c r="D16" i="323"/>
  <c r="R15" i="323"/>
  <c r="P15" i="323"/>
  <c r="N15" i="323"/>
  <c r="J15" i="323"/>
  <c r="H15" i="323"/>
  <c r="F15" i="323"/>
  <c r="D15" i="323"/>
  <c r="R14" i="323"/>
  <c r="P14" i="323"/>
  <c r="N14" i="323"/>
  <c r="J14" i="323"/>
  <c r="H14" i="323"/>
  <c r="F14" i="323"/>
  <c r="D14" i="323"/>
  <c r="R13" i="323"/>
  <c r="P13" i="323"/>
  <c r="N13" i="323"/>
  <c r="J13" i="323"/>
  <c r="H13" i="323"/>
  <c r="F13" i="323"/>
  <c r="D13" i="323"/>
  <c r="R12" i="323"/>
  <c r="P12" i="323"/>
  <c r="N12" i="323"/>
  <c r="J12" i="323"/>
  <c r="H12" i="323"/>
  <c r="F12" i="323"/>
  <c r="D12" i="323"/>
  <c r="R11" i="323"/>
  <c r="P11" i="323"/>
  <c r="N11" i="323"/>
  <c r="J11" i="323"/>
  <c r="H11" i="323"/>
  <c r="F11" i="323"/>
  <c r="D11" i="323"/>
  <c r="Q9" i="323"/>
  <c r="T9" i="323" s="1"/>
  <c r="O9" i="323"/>
  <c r="R9" i="323" s="1"/>
  <c r="M9" i="323"/>
  <c r="P9" i="323" s="1"/>
  <c r="I9" i="323"/>
  <c r="L9" i="323" s="1"/>
  <c r="G9" i="323"/>
  <c r="E9" i="323"/>
  <c r="H9" i="323" s="1"/>
  <c r="C9" i="323"/>
  <c r="B9" i="323"/>
  <c r="R8" i="323"/>
  <c r="P8" i="323"/>
  <c r="N8" i="323"/>
  <c r="J8" i="323"/>
  <c r="H8" i="323"/>
  <c r="F8" i="323"/>
  <c r="D8" i="323"/>
  <c r="R7" i="323"/>
  <c r="P7" i="323"/>
  <c r="N7" i="323"/>
  <c r="J7" i="323"/>
  <c r="H7" i="323"/>
  <c r="F7" i="323"/>
  <c r="D7" i="323"/>
  <c r="R6" i="323"/>
  <c r="P6" i="323"/>
  <c r="N6" i="323"/>
  <c r="J6" i="323"/>
  <c r="H6" i="323"/>
  <c r="F6" i="323"/>
  <c r="D6" i="323"/>
  <c r="R5" i="323"/>
  <c r="P5" i="323"/>
  <c r="N5" i="323"/>
  <c r="J5" i="323"/>
  <c r="H5" i="323"/>
  <c r="F5" i="323"/>
  <c r="D5" i="323"/>
  <c r="G3" i="323"/>
  <c r="I3" i="323" s="1"/>
  <c r="C3" i="323"/>
  <c r="N24" i="322"/>
  <c r="M24" i="322"/>
  <c r="L24" i="322"/>
  <c r="K24" i="322"/>
  <c r="J24" i="322"/>
  <c r="I24" i="322"/>
  <c r="H24" i="322"/>
  <c r="G24" i="322"/>
  <c r="F24" i="322"/>
  <c r="E24" i="322"/>
  <c r="C24" i="322"/>
  <c r="B24" i="322"/>
  <c r="D24" i="322" s="1"/>
  <c r="N22" i="322"/>
  <c r="L22" i="322"/>
  <c r="J22" i="322"/>
  <c r="H22" i="322"/>
  <c r="F22" i="322"/>
  <c r="D22" i="322"/>
  <c r="N20" i="322"/>
  <c r="L20" i="322"/>
  <c r="J20" i="322"/>
  <c r="H20" i="322"/>
  <c r="F20" i="322"/>
  <c r="D20" i="322"/>
  <c r="M18" i="322"/>
  <c r="M26" i="322" s="1"/>
  <c r="K18" i="322"/>
  <c r="L18" i="322" s="1"/>
  <c r="I18" i="322"/>
  <c r="I26" i="322" s="1"/>
  <c r="G18" i="322"/>
  <c r="H18" i="322" s="1"/>
  <c r="E18" i="322"/>
  <c r="E26" i="322" s="1"/>
  <c r="C18" i="322"/>
  <c r="D18" i="322" s="1"/>
  <c r="B18" i="322"/>
  <c r="B26" i="322" s="1"/>
  <c r="N16" i="322"/>
  <c r="L16" i="322"/>
  <c r="J16" i="322"/>
  <c r="H16" i="322"/>
  <c r="F16" i="322"/>
  <c r="D16" i="322"/>
  <c r="N14" i="322"/>
  <c r="L14" i="322"/>
  <c r="J14" i="322"/>
  <c r="H14" i="322"/>
  <c r="F14" i="322"/>
  <c r="D14" i="322"/>
  <c r="AD13" i="322"/>
  <c r="AC13" i="322"/>
  <c r="AB13" i="322"/>
  <c r="AA13" i="322"/>
  <c r="Z13" i="322"/>
  <c r="Y13" i="322"/>
  <c r="X13" i="322"/>
  <c r="AD12" i="322"/>
  <c r="AC12" i="322"/>
  <c r="AB12" i="322"/>
  <c r="AA12" i="322"/>
  <c r="Z12" i="322"/>
  <c r="Y12" i="322"/>
  <c r="X12" i="322"/>
  <c r="N12" i="322"/>
  <c r="L12" i="322"/>
  <c r="J12" i="322"/>
  <c r="H12" i="322"/>
  <c r="F12" i="322"/>
  <c r="D12" i="322"/>
  <c r="AD11" i="322"/>
  <c r="AC11" i="322"/>
  <c r="AB11" i="322"/>
  <c r="AA11" i="322"/>
  <c r="Z11" i="322"/>
  <c r="Y11" i="322"/>
  <c r="X11" i="322"/>
  <c r="AD10" i="322"/>
  <c r="AC10" i="322"/>
  <c r="AB10" i="322"/>
  <c r="AA10" i="322"/>
  <c r="Z10" i="322"/>
  <c r="Y10" i="322"/>
  <c r="X10" i="322"/>
  <c r="N10" i="322"/>
  <c r="L10" i="322"/>
  <c r="J10" i="322"/>
  <c r="H10" i="322"/>
  <c r="F10" i="322"/>
  <c r="D10" i="322"/>
  <c r="AD9" i="322"/>
  <c r="AC9" i="322"/>
  <c r="AB9" i="322"/>
  <c r="AA9" i="322"/>
  <c r="Z9" i="322"/>
  <c r="Y9" i="322"/>
  <c r="X9" i="322"/>
  <c r="AD8" i="322"/>
  <c r="AC8" i="322"/>
  <c r="AB8" i="322"/>
  <c r="AA8" i="322"/>
  <c r="Z8" i="322"/>
  <c r="Y8" i="322"/>
  <c r="X8" i="322"/>
  <c r="N8" i="322"/>
  <c r="L8" i="322"/>
  <c r="J8" i="322"/>
  <c r="H8" i="322"/>
  <c r="F8" i="322"/>
  <c r="D8" i="322"/>
  <c r="AD7" i="322"/>
  <c r="AC7" i="322"/>
  <c r="AB7" i="322"/>
  <c r="AA7" i="322"/>
  <c r="Z7" i="322"/>
  <c r="Y7" i="322"/>
  <c r="X7" i="322"/>
  <c r="AD6" i="322"/>
  <c r="AD14" i="322" s="1"/>
  <c r="AC6" i="322"/>
  <c r="AC14" i="322" s="1"/>
  <c r="AB6" i="322"/>
  <c r="AB14" i="322" s="1"/>
  <c r="AA6" i="322"/>
  <c r="AA14" i="322" s="1"/>
  <c r="Z6" i="322"/>
  <c r="Z14" i="322" s="1"/>
  <c r="Y6" i="322"/>
  <c r="Y14" i="322" s="1"/>
  <c r="X6" i="322"/>
  <c r="X14" i="322" s="1"/>
  <c r="N6" i="322"/>
  <c r="L6" i="322"/>
  <c r="J6" i="322"/>
  <c r="H6" i="322"/>
  <c r="F6" i="322"/>
  <c r="D6" i="322"/>
  <c r="Y5" i="322"/>
  <c r="Z5" i="322" s="1"/>
  <c r="AA5" i="322" s="1"/>
  <c r="AB5" i="322" s="1"/>
  <c r="P112" i="323" l="1"/>
  <c r="I100" i="323"/>
  <c r="L100" i="323" s="1"/>
  <c r="J112" i="323"/>
  <c r="L112" i="323"/>
  <c r="K3" i="323"/>
  <c r="M3" i="323" s="1"/>
  <c r="O3" i="323" s="1"/>
  <c r="Q3" i="323" s="1"/>
  <c r="S3" i="323" s="1"/>
  <c r="U3" i="323" s="1"/>
  <c r="P25" i="323"/>
  <c r="H43" i="323"/>
  <c r="H99" i="323"/>
  <c r="J43" i="323"/>
  <c r="P52" i="323"/>
  <c r="D92" i="323"/>
  <c r="P92" i="323"/>
  <c r="K102" i="323"/>
  <c r="M102" i="323" s="1"/>
  <c r="O102" i="323" s="1"/>
  <c r="Q102" i="323" s="1"/>
  <c r="S102" i="323" s="1"/>
  <c r="U102" i="323" s="1"/>
  <c r="H126" i="323"/>
  <c r="I138" i="323"/>
  <c r="L138" i="323" s="1"/>
  <c r="L129" i="323"/>
  <c r="K33" i="323"/>
  <c r="M33" i="323" s="1"/>
  <c r="O33" i="323" s="1"/>
  <c r="Q33" i="323" s="1"/>
  <c r="S33" i="323" s="1"/>
  <c r="U33" i="323" s="1"/>
  <c r="O65" i="323"/>
  <c r="H83" i="323"/>
  <c r="R138" i="323"/>
  <c r="C31" i="323"/>
  <c r="J37" i="323"/>
  <c r="N43" i="323"/>
  <c r="R47" i="323"/>
  <c r="P99" i="323"/>
  <c r="P126" i="323"/>
  <c r="N129" i="323"/>
  <c r="M67" i="323"/>
  <c r="O67" i="323" s="1"/>
  <c r="Q67" i="323" s="1"/>
  <c r="S67" i="323" s="1"/>
  <c r="U67" i="323" s="1"/>
  <c r="K67" i="323"/>
  <c r="J30" i="323"/>
  <c r="L30" i="323"/>
  <c r="R43" i="323"/>
  <c r="P83" i="323"/>
  <c r="J92" i="323"/>
  <c r="R99" i="323"/>
  <c r="R25" i="323"/>
  <c r="T25" i="323"/>
  <c r="J18" i="323"/>
  <c r="R112" i="323"/>
  <c r="T112" i="323"/>
  <c r="G127" i="323"/>
  <c r="Q31" i="323"/>
  <c r="T31" i="323" s="1"/>
  <c r="T30" i="323"/>
  <c r="F9" i="323"/>
  <c r="D25" i="323"/>
  <c r="F47" i="323"/>
  <c r="F83" i="323"/>
  <c r="P18" i="323"/>
  <c r="I31" i="323"/>
  <c r="L31" i="323" s="1"/>
  <c r="H52" i="323"/>
  <c r="R52" i="323"/>
  <c r="G100" i="323"/>
  <c r="J100" i="323" s="1"/>
  <c r="Q100" i="323"/>
  <c r="T100" i="323" s="1"/>
  <c r="O127" i="323"/>
  <c r="R127" i="323" s="1"/>
  <c r="M138" i="323"/>
  <c r="N138" i="323" s="1"/>
  <c r="F25" i="323"/>
  <c r="R18" i="323"/>
  <c r="J25" i="323"/>
  <c r="H30" i="323"/>
  <c r="J64" i="323"/>
  <c r="C127" i="323"/>
  <c r="B65" i="323"/>
  <c r="H92" i="323"/>
  <c r="M31" i="323"/>
  <c r="P31" i="323" s="1"/>
  <c r="F126" i="323"/>
  <c r="Q127" i="323"/>
  <c r="T127" i="323" s="1"/>
  <c r="T126" i="323"/>
  <c r="AH113" i="308"/>
  <c r="N106" i="187"/>
  <c r="O127" i="196"/>
  <c r="P113" i="196"/>
  <c r="O103" i="196"/>
  <c r="P103" i="196" s="1"/>
  <c r="O67" i="196"/>
  <c r="P67" i="196" s="1"/>
  <c r="P133" i="196"/>
  <c r="P102" i="196"/>
  <c r="P66" i="196"/>
  <c r="O34" i="196"/>
  <c r="P34" i="196" s="1"/>
  <c r="E65" i="323"/>
  <c r="D99" i="323"/>
  <c r="B100" i="323"/>
  <c r="D9" i="323"/>
  <c r="E31" i="323"/>
  <c r="F31" i="323" s="1"/>
  <c r="N31" i="323"/>
  <c r="J47" i="323"/>
  <c r="Q65" i="323"/>
  <c r="D83" i="323"/>
  <c r="C100" i="323"/>
  <c r="N99" i="323"/>
  <c r="D126" i="323"/>
  <c r="B127" i="323"/>
  <c r="R126" i="323"/>
  <c r="I127" i="323"/>
  <c r="L127" i="323" s="1"/>
  <c r="N9" i="323"/>
  <c r="B31" i="323"/>
  <c r="D31" i="323" s="1"/>
  <c r="N30" i="323"/>
  <c r="R30" i="323"/>
  <c r="G31" i="323"/>
  <c r="F37" i="323"/>
  <c r="D52" i="323"/>
  <c r="F64" i="323"/>
  <c r="H64" i="323"/>
  <c r="M65" i="323"/>
  <c r="P65" i="323" s="1"/>
  <c r="G65" i="323"/>
  <c r="N83" i="323"/>
  <c r="O100" i="323"/>
  <c r="E100" i="323"/>
  <c r="H100" i="323" s="1"/>
  <c r="M100" i="323"/>
  <c r="N126" i="323"/>
  <c r="D138" i="323"/>
  <c r="J9" i="323"/>
  <c r="H25" i="323"/>
  <c r="D37" i="323"/>
  <c r="R37" i="323"/>
  <c r="D47" i="323"/>
  <c r="P47" i="323"/>
  <c r="D64" i="323"/>
  <c r="I65" i="323"/>
  <c r="L65" i="323" s="1"/>
  <c r="R64" i="323"/>
  <c r="C65" i="323"/>
  <c r="D65" i="323" s="1"/>
  <c r="J83" i="323"/>
  <c r="R92" i="323"/>
  <c r="F99" i="323"/>
  <c r="H112" i="323"/>
  <c r="J126" i="323"/>
  <c r="E127" i="323"/>
  <c r="H127" i="323" s="1"/>
  <c r="M127" i="323"/>
  <c r="E138" i="323"/>
  <c r="H129" i="323"/>
  <c r="G139" i="323"/>
  <c r="F26" i="322"/>
  <c r="C26" i="322"/>
  <c r="D26" i="322" s="1"/>
  <c r="G26" i="322"/>
  <c r="H26" i="322" s="1"/>
  <c r="K26" i="322"/>
  <c r="L26" i="322" s="1"/>
  <c r="F18" i="322"/>
  <c r="J18" i="322"/>
  <c r="N18" i="322"/>
  <c r="P138" i="323" l="1"/>
  <c r="R100" i="323"/>
  <c r="J138" i="323"/>
  <c r="N65" i="323"/>
  <c r="O139" i="323"/>
  <c r="R65" i="323"/>
  <c r="T65" i="323"/>
  <c r="R31" i="323"/>
  <c r="Q139" i="323"/>
  <c r="T139" i="323" s="1"/>
  <c r="P100" i="323"/>
  <c r="J31" i="323"/>
  <c r="P127" i="323"/>
  <c r="O134" i="196"/>
  <c r="E139" i="323"/>
  <c r="H139" i="323" s="1"/>
  <c r="H138" i="323"/>
  <c r="F138" i="323"/>
  <c r="D127" i="323"/>
  <c r="B139" i="323"/>
  <c r="J65" i="323"/>
  <c r="M139" i="323"/>
  <c r="H65" i="323"/>
  <c r="N100" i="323"/>
  <c r="F65" i="323"/>
  <c r="C139" i="323"/>
  <c r="N127" i="323"/>
  <c r="F127" i="323"/>
  <c r="I139" i="323"/>
  <c r="L139" i="323" s="1"/>
  <c r="J127" i="323"/>
  <c r="F100" i="323"/>
  <c r="H31" i="323"/>
  <c r="D100" i="323"/>
  <c r="N26" i="322"/>
  <c r="J26" i="322"/>
  <c r="R139" i="323" l="1"/>
  <c r="P139" i="323"/>
  <c r="D139" i="323"/>
  <c r="F139" i="323"/>
  <c r="J139" i="323"/>
  <c r="N139" i="323"/>
  <c r="P32" i="37" l="1"/>
  <c r="N32" i="37"/>
  <c r="L32" i="37"/>
  <c r="F32" i="37"/>
  <c r="P30" i="37"/>
  <c r="N30" i="37"/>
  <c r="L30" i="37"/>
  <c r="F30" i="37"/>
  <c r="P28" i="37"/>
  <c r="N28" i="37"/>
  <c r="L28" i="37"/>
  <c r="F28" i="37"/>
  <c r="P26" i="37"/>
  <c r="N26" i="37"/>
  <c r="L26" i="37"/>
  <c r="F26" i="37"/>
  <c r="G18" i="259"/>
  <c r="Q43" i="29"/>
  <c r="O43" i="29"/>
  <c r="M43" i="29"/>
  <c r="K43" i="29"/>
  <c r="I43" i="29"/>
  <c r="G43" i="29"/>
  <c r="E43" i="29"/>
  <c r="Q54" i="29"/>
  <c r="Q53" i="29"/>
  <c r="P52" i="29"/>
  <c r="S52" i="29" s="1"/>
  <c r="Q51" i="29"/>
  <c r="Q50" i="29"/>
  <c r="Q49" i="29"/>
  <c r="Q48" i="29"/>
  <c r="Q47" i="29"/>
  <c r="Q46" i="29"/>
  <c r="Q45" i="29"/>
  <c r="Q44" i="29"/>
  <c r="Q42" i="29"/>
  <c r="Q41" i="29"/>
  <c r="Q40" i="29"/>
  <c r="Q39" i="29"/>
  <c r="Q38" i="29"/>
  <c r="Q37" i="29"/>
  <c r="Q36" i="29"/>
  <c r="Q35" i="29"/>
  <c r="Q34" i="29"/>
  <c r="Q33" i="29"/>
  <c r="Q32" i="29"/>
  <c r="Q31" i="29"/>
  <c r="Q30" i="29"/>
  <c r="Q29" i="29"/>
  <c r="Q28" i="29"/>
  <c r="Q27" i="29"/>
  <c r="Q25" i="29"/>
  <c r="Q24" i="29"/>
  <c r="Q23" i="29"/>
  <c r="Q22" i="29"/>
  <c r="Q21" i="29"/>
  <c r="Q20" i="29"/>
  <c r="Q19" i="29"/>
  <c r="Q18" i="29"/>
  <c r="Q17" i="29"/>
  <c r="Q16" i="29"/>
  <c r="Q15" i="29"/>
  <c r="Q14" i="29"/>
  <c r="Q13" i="29"/>
  <c r="Q12" i="29"/>
  <c r="Q11" i="29"/>
  <c r="Q10" i="29"/>
  <c r="Q9" i="29"/>
  <c r="Q8" i="29"/>
  <c r="Q7" i="29"/>
  <c r="Q6" i="29"/>
  <c r="O26" i="37" l="1"/>
  <c r="R26" i="37"/>
  <c r="M26" i="37" s="1"/>
  <c r="R30" i="37"/>
  <c r="G30" i="37" s="1"/>
  <c r="R28" i="37"/>
  <c r="G28" i="37" s="1"/>
  <c r="R32" i="37"/>
  <c r="G32" i="37" s="1"/>
  <c r="P56" i="29"/>
  <c r="S56" i="29" s="1"/>
  <c r="Q30" i="37" l="1"/>
  <c r="O32" i="37"/>
  <c r="M32" i="37"/>
  <c r="S32" i="37" s="1"/>
  <c r="K30" i="37"/>
  <c r="E30" i="37"/>
  <c r="I30" i="37"/>
  <c r="C30" i="37"/>
  <c r="Q28" i="37"/>
  <c r="O30" i="37"/>
  <c r="M30" i="37"/>
  <c r="S30" i="37" s="1"/>
  <c r="K32" i="37"/>
  <c r="E32" i="37"/>
  <c r="I32" i="37"/>
  <c r="C32" i="37"/>
  <c r="Q32" i="37"/>
  <c r="K28" i="37"/>
  <c r="E28" i="37"/>
  <c r="I28" i="37"/>
  <c r="C28" i="37"/>
  <c r="K26" i="37"/>
  <c r="E26" i="37"/>
  <c r="I26" i="37"/>
  <c r="C26" i="37"/>
  <c r="Q26" i="37"/>
  <c r="O28" i="37"/>
  <c r="M28" i="37"/>
  <c r="S28" i="37" s="1"/>
  <c r="G26" i="37"/>
  <c r="S26" i="37" s="1"/>
  <c r="I11" i="305"/>
  <c r="AH137" i="274"/>
  <c r="AG132" i="274"/>
  <c r="AI132" i="274"/>
  <c r="AE132" i="274"/>
  <c r="AC132" i="274"/>
  <c r="AA132" i="274"/>
  <c r="Y132" i="274"/>
  <c r="W132" i="274"/>
  <c r="U132" i="274"/>
  <c r="S132" i="274"/>
  <c r="Q132" i="274"/>
  <c r="O132" i="274"/>
  <c r="M132" i="274"/>
  <c r="K132" i="274"/>
  <c r="I132" i="274"/>
  <c r="G132" i="274"/>
  <c r="AH29" i="274"/>
  <c r="AF29" i="274"/>
  <c r="AD29" i="274"/>
  <c r="AB29" i="274"/>
  <c r="Z29" i="274"/>
  <c r="X29" i="274"/>
  <c r="V29" i="274"/>
  <c r="T29" i="274"/>
  <c r="R29" i="274"/>
  <c r="P29" i="274"/>
  <c r="N29" i="274"/>
  <c r="L29" i="274"/>
  <c r="J29" i="274"/>
  <c r="F29" i="274"/>
  <c r="E29" i="274"/>
  <c r="D29" i="274"/>
  <c r="C29" i="274"/>
  <c r="B29" i="274"/>
  <c r="AI24" i="274"/>
  <c r="AG24" i="274"/>
  <c r="AE24" i="274"/>
  <c r="AC24" i="274"/>
  <c r="AA24" i="274"/>
  <c r="Y24" i="274"/>
  <c r="W24" i="274"/>
  <c r="U24" i="274"/>
  <c r="S24" i="274"/>
  <c r="Q24" i="274"/>
  <c r="M24" i="274"/>
  <c r="I24" i="274"/>
  <c r="K24" i="274"/>
  <c r="G24" i="274"/>
  <c r="P123" i="159"/>
  <c r="N123" i="159"/>
  <c r="L123" i="159"/>
  <c r="J123" i="159"/>
  <c r="H123" i="159"/>
  <c r="F123" i="159"/>
  <c r="D123" i="159"/>
  <c r="O131" i="159"/>
  <c r="O40" i="159"/>
  <c r="O28" i="159"/>
  <c r="M28" i="159"/>
  <c r="K28" i="159"/>
  <c r="I28" i="159"/>
  <c r="G28" i="159"/>
  <c r="E28" i="159"/>
  <c r="C28" i="159"/>
  <c r="P24" i="159"/>
  <c r="N24" i="159"/>
  <c r="L24" i="159"/>
  <c r="J24" i="159"/>
  <c r="H24" i="159"/>
  <c r="F24" i="159"/>
  <c r="D24" i="159"/>
  <c r="O24" i="274" l="1"/>
  <c r="AI6" i="274"/>
  <c r="AH144" i="274"/>
  <c r="AI143" i="274"/>
  <c r="AI142" i="274"/>
  <c r="AI141" i="274"/>
  <c r="AI140" i="274"/>
  <c r="AI136" i="274"/>
  <c r="AI135" i="274"/>
  <c r="AI134" i="274"/>
  <c r="AI133" i="274"/>
  <c r="AI131" i="274"/>
  <c r="AI130" i="274"/>
  <c r="AI129" i="274"/>
  <c r="AI128" i="274"/>
  <c r="AI127" i="274"/>
  <c r="AI126" i="274"/>
  <c r="AI125" i="274"/>
  <c r="AI124" i="274"/>
  <c r="AI123" i="274"/>
  <c r="AH121" i="274"/>
  <c r="AI120" i="274"/>
  <c r="AI119" i="274"/>
  <c r="AI118" i="274"/>
  <c r="AI117" i="274"/>
  <c r="AI115" i="274"/>
  <c r="AI114" i="274"/>
  <c r="AH109" i="274"/>
  <c r="AI108" i="274"/>
  <c r="AI107" i="274"/>
  <c r="AI106" i="274"/>
  <c r="AI105" i="274"/>
  <c r="AI104" i="274"/>
  <c r="AH102" i="274"/>
  <c r="AI101" i="274"/>
  <c r="AI100" i="274"/>
  <c r="AI99" i="274"/>
  <c r="AI98" i="274"/>
  <c r="AI97" i="274"/>
  <c r="AI96" i="274"/>
  <c r="AI95" i="274"/>
  <c r="AH93" i="274"/>
  <c r="AI92" i="274"/>
  <c r="AI91" i="274"/>
  <c r="AI90" i="274"/>
  <c r="AI89" i="274"/>
  <c r="AI88" i="274"/>
  <c r="AI87" i="274"/>
  <c r="AI86" i="274"/>
  <c r="AI85" i="274"/>
  <c r="AI84" i="274"/>
  <c r="AI83" i="274"/>
  <c r="AI82" i="274"/>
  <c r="AI81" i="274"/>
  <c r="AI80" i="274"/>
  <c r="AI79" i="274"/>
  <c r="AI78" i="274"/>
  <c r="AI77" i="274"/>
  <c r="AI76" i="274"/>
  <c r="AI75" i="274"/>
  <c r="AH70" i="274"/>
  <c r="AI69" i="274"/>
  <c r="AI68" i="274"/>
  <c r="AI67" i="274"/>
  <c r="AI66" i="274"/>
  <c r="AI65" i="274"/>
  <c r="AI64" i="274"/>
  <c r="AI63" i="274"/>
  <c r="AI62" i="274"/>
  <c r="AI61" i="274"/>
  <c r="AI60" i="274"/>
  <c r="AH58" i="274"/>
  <c r="AI57" i="274"/>
  <c r="AI56" i="274"/>
  <c r="AI55" i="274"/>
  <c r="AH53" i="274"/>
  <c r="AI52" i="274"/>
  <c r="AI51" i="274"/>
  <c r="AH49" i="274"/>
  <c r="AI48" i="274"/>
  <c r="AI47" i="274"/>
  <c r="AI46" i="274"/>
  <c r="AI45" i="274"/>
  <c r="AH43" i="274"/>
  <c r="AI42" i="274"/>
  <c r="AI41" i="274"/>
  <c r="AI40" i="274"/>
  <c r="AH35" i="274"/>
  <c r="AI34" i="274"/>
  <c r="AI33" i="274"/>
  <c r="AI32" i="274"/>
  <c r="AI31" i="274"/>
  <c r="AI29" i="274"/>
  <c r="AI28" i="274"/>
  <c r="AI27" i="274"/>
  <c r="AI26" i="274"/>
  <c r="AI25" i="274"/>
  <c r="AH22" i="274"/>
  <c r="AI21" i="274"/>
  <c r="AI20" i="274"/>
  <c r="AI19" i="274"/>
  <c r="AI18" i="274"/>
  <c r="AI17" i="274"/>
  <c r="AI16" i="274"/>
  <c r="AI15" i="274"/>
  <c r="AH13" i="274"/>
  <c r="AI12" i="274"/>
  <c r="AI11" i="274"/>
  <c r="AI10" i="274"/>
  <c r="AI9" i="274"/>
  <c r="AI8" i="274"/>
  <c r="AI7" i="274"/>
  <c r="AH138" i="274" l="1"/>
  <c r="AH110" i="274"/>
  <c r="AH71" i="274"/>
  <c r="AH36" i="274"/>
  <c r="O34" i="159"/>
  <c r="P133" i="159"/>
  <c r="P132" i="159"/>
  <c r="P131" i="159"/>
  <c r="O128" i="159"/>
  <c r="P127" i="159"/>
  <c r="P126" i="159"/>
  <c r="P125" i="159"/>
  <c r="P124" i="159"/>
  <c r="P122" i="159"/>
  <c r="P121" i="159"/>
  <c r="P120" i="159"/>
  <c r="P119" i="159"/>
  <c r="P118" i="159"/>
  <c r="P117" i="159"/>
  <c r="P116" i="159"/>
  <c r="P115" i="159"/>
  <c r="O113" i="159"/>
  <c r="R113" i="159" s="1"/>
  <c r="P112" i="159"/>
  <c r="P111" i="159"/>
  <c r="P110" i="159"/>
  <c r="P109" i="159"/>
  <c r="P107" i="159"/>
  <c r="P106" i="159"/>
  <c r="O101" i="159"/>
  <c r="P100" i="159"/>
  <c r="P99" i="159"/>
  <c r="P98" i="159"/>
  <c r="P97" i="159"/>
  <c r="P96" i="159"/>
  <c r="O94" i="159"/>
  <c r="P93" i="159"/>
  <c r="P92" i="159"/>
  <c r="P91" i="159"/>
  <c r="P90" i="159"/>
  <c r="P89" i="159"/>
  <c r="P88" i="159"/>
  <c r="O86" i="159"/>
  <c r="P85" i="159"/>
  <c r="P84" i="159"/>
  <c r="P83" i="159"/>
  <c r="P82" i="159"/>
  <c r="P81" i="159"/>
  <c r="P80" i="159"/>
  <c r="P79" i="159"/>
  <c r="P78" i="159"/>
  <c r="P77" i="159"/>
  <c r="P76" i="159"/>
  <c r="P75" i="159"/>
  <c r="P74" i="159"/>
  <c r="P73" i="159"/>
  <c r="P72" i="159"/>
  <c r="O67" i="159"/>
  <c r="P66" i="159"/>
  <c r="P65" i="159"/>
  <c r="P64" i="159"/>
  <c r="P63" i="159"/>
  <c r="P62" i="159"/>
  <c r="P61" i="159"/>
  <c r="P60" i="159"/>
  <c r="P59" i="159"/>
  <c r="P58" i="159"/>
  <c r="P57" i="159"/>
  <c r="O55" i="159"/>
  <c r="P54" i="159"/>
  <c r="P53" i="159"/>
  <c r="P52" i="159"/>
  <c r="O50" i="159"/>
  <c r="P49" i="159"/>
  <c r="P48" i="159"/>
  <c r="O46" i="159"/>
  <c r="P45" i="159"/>
  <c r="P44" i="159"/>
  <c r="P43" i="159"/>
  <c r="O41" i="159"/>
  <c r="P40" i="159"/>
  <c r="P39" i="159"/>
  <c r="P33" i="159"/>
  <c r="P32" i="159"/>
  <c r="P31" i="159"/>
  <c r="P30" i="159"/>
  <c r="P28" i="159"/>
  <c r="P27" i="159"/>
  <c r="P26" i="159"/>
  <c r="P25" i="159"/>
  <c r="O22" i="159"/>
  <c r="P21" i="159"/>
  <c r="P20" i="159"/>
  <c r="P19" i="159"/>
  <c r="P18" i="159"/>
  <c r="P17" i="159"/>
  <c r="P16" i="159"/>
  <c r="P15" i="159"/>
  <c r="O13" i="159"/>
  <c r="P12" i="159"/>
  <c r="P11" i="159"/>
  <c r="P10" i="159"/>
  <c r="P9" i="159"/>
  <c r="P8" i="159"/>
  <c r="P7" i="159"/>
  <c r="P6" i="159"/>
  <c r="AH145" i="274" l="1"/>
  <c r="O129" i="159"/>
  <c r="R129" i="159" s="1"/>
  <c r="O102" i="159"/>
  <c r="O68" i="159"/>
  <c r="O35" i="159"/>
  <c r="O135" i="159"/>
  <c r="P342" i="321"/>
  <c r="P320" i="321"/>
  <c r="O320" i="321"/>
  <c r="N320" i="321"/>
  <c r="M320" i="321"/>
  <c r="L320" i="321"/>
  <c r="K320" i="321"/>
  <c r="J320" i="321"/>
  <c r="I320" i="321"/>
  <c r="H320" i="321"/>
  <c r="G320" i="321"/>
  <c r="F320" i="321"/>
  <c r="E320" i="321"/>
  <c r="D320" i="321"/>
  <c r="C320" i="321"/>
  <c r="B320" i="321"/>
  <c r="R320" i="321" l="1"/>
  <c r="O136" i="159"/>
  <c r="R136" i="159" s="1"/>
  <c r="P280" i="321"/>
  <c r="P254" i="321"/>
  <c r="P64" i="321"/>
  <c r="O64" i="321"/>
  <c r="N64" i="321"/>
  <c r="L64" i="321"/>
  <c r="M64" i="321"/>
  <c r="K64" i="321"/>
  <c r="J64" i="321"/>
  <c r="I64" i="321"/>
  <c r="H64" i="321"/>
  <c r="G64" i="321"/>
  <c r="F64" i="321"/>
  <c r="E64" i="321"/>
  <c r="D64" i="321"/>
  <c r="C64" i="321"/>
  <c r="B64" i="321"/>
  <c r="R64" i="321" l="1"/>
  <c r="P39" i="321"/>
  <c r="O39" i="321"/>
  <c r="N39" i="321"/>
  <c r="M39" i="321"/>
  <c r="L39" i="321"/>
  <c r="K39" i="321"/>
  <c r="J39" i="321"/>
  <c r="I39" i="321"/>
  <c r="H39" i="321"/>
  <c r="G39" i="321"/>
  <c r="F39" i="321"/>
  <c r="E39" i="321"/>
  <c r="D39" i="321"/>
  <c r="C39" i="321"/>
  <c r="B39" i="321"/>
  <c r="P9" i="321"/>
  <c r="R39" i="321" l="1"/>
  <c r="P458" i="321"/>
  <c r="P446" i="321"/>
  <c r="P439" i="321"/>
  <c r="P433" i="321"/>
  <c r="P420" i="321"/>
  <c r="P370" i="321"/>
  <c r="P363" i="321"/>
  <c r="P349" i="321"/>
  <c r="P336" i="321"/>
  <c r="P332" i="321"/>
  <c r="P324" i="321"/>
  <c r="P299" i="321"/>
  <c r="P292" i="321"/>
  <c r="P286" i="321"/>
  <c r="P273" i="321"/>
  <c r="P249" i="321"/>
  <c r="P237" i="321"/>
  <c r="P207" i="321"/>
  <c r="P198" i="321"/>
  <c r="P185" i="321"/>
  <c r="P164" i="321"/>
  <c r="P157" i="321"/>
  <c r="P150" i="321"/>
  <c r="P144" i="321"/>
  <c r="P137" i="321"/>
  <c r="P130" i="321"/>
  <c r="P125" i="321"/>
  <c r="P120" i="321"/>
  <c r="P83" i="321"/>
  <c r="P51" i="321"/>
  <c r="P44" i="321"/>
  <c r="P26" i="321"/>
  <c r="P23" i="321"/>
  <c r="O458" i="321"/>
  <c r="N458" i="321"/>
  <c r="M458" i="321"/>
  <c r="L458" i="321"/>
  <c r="K458" i="321"/>
  <c r="J458" i="321"/>
  <c r="I458" i="321"/>
  <c r="H458" i="321"/>
  <c r="G458" i="321"/>
  <c r="F458" i="321"/>
  <c r="E458" i="321"/>
  <c r="D458" i="321"/>
  <c r="C458" i="321"/>
  <c r="B458" i="321"/>
  <c r="O446" i="321"/>
  <c r="N446" i="321"/>
  <c r="M446" i="321"/>
  <c r="L446" i="321"/>
  <c r="K446" i="321"/>
  <c r="J446" i="321"/>
  <c r="I446" i="321"/>
  <c r="H446" i="321"/>
  <c r="G446" i="321"/>
  <c r="F446" i="321"/>
  <c r="E446" i="321"/>
  <c r="D446" i="321"/>
  <c r="C446" i="321"/>
  <c r="B446" i="321"/>
  <c r="O439" i="321"/>
  <c r="N439" i="321"/>
  <c r="M439" i="321"/>
  <c r="L439" i="321"/>
  <c r="K439" i="321"/>
  <c r="J439" i="321"/>
  <c r="I439" i="321"/>
  <c r="H439" i="321"/>
  <c r="G439" i="321"/>
  <c r="F439" i="321"/>
  <c r="E439" i="321"/>
  <c r="D439" i="321"/>
  <c r="C439" i="321"/>
  <c r="B439" i="321"/>
  <c r="O433" i="321"/>
  <c r="N433" i="321"/>
  <c r="M433" i="321"/>
  <c r="L433" i="321"/>
  <c r="K433" i="321"/>
  <c r="J433" i="321"/>
  <c r="I433" i="321"/>
  <c r="H433" i="321"/>
  <c r="G433" i="321"/>
  <c r="F433" i="321"/>
  <c r="E433" i="321"/>
  <c r="D433" i="321"/>
  <c r="C433" i="321"/>
  <c r="B433" i="321"/>
  <c r="O420" i="321"/>
  <c r="N420" i="321"/>
  <c r="M420" i="321"/>
  <c r="L420" i="321"/>
  <c r="K420" i="321"/>
  <c r="J420" i="321"/>
  <c r="I420" i="321"/>
  <c r="H420" i="321"/>
  <c r="G420" i="321"/>
  <c r="F420" i="321"/>
  <c r="E420" i="321"/>
  <c r="D420" i="321"/>
  <c r="C420" i="321"/>
  <c r="B420" i="321"/>
  <c r="O370" i="321"/>
  <c r="N370" i="321"/>
  <c r="M370" i="321"/>
  <c r="L370" i="321"/>
  <c r="K370" i="321"/>
  <c r="J370" i="321"/>
  <c r="I370" i="321"/>
  <c r="H370" i="321"/>
  <c r="G370" i="321"/>
  <c r="F370" i="321"/>
  <c r="E370" i="321"/>
  <c r="D370" i="321"/>
  <c r="C370" i="321"/>
  <c r="B370" i="321"/>
  <c r="O363" i="321"/>
  <c r="N363" i="321"/>
  <c r="M363" i="321"/>
  <c r="L363" i="321"/>
  <c r="K363" i="321"/>
  <c r="J363" i="321"/>
  <c r="I363" i="321"/>
  <c r="H363" i="321"/>
  <c r="G363" i="321"/>
  <c r="F363" i="321"/>
  <c r="E363" i="321"/>
  <c r="D363" i="321"/>
  <c r="C363" i="321"/>
  <c r="B363" i="321"/>
  <c r="O349" i="321"/>
  <c r="N349" i="321"/>
  <c r="M349" i="321"/>
  <c r="L349" i="321"/>
  <c r="K349" i="321"/>
  <c r="J349" i="321"/>
  <c r="I349" i="321"/>
  <c r="H349" i="321"/>
  <c r="G349" i="321"/>
  <c r="F349" i="321"/>
  <c r="E349" i="321"/>
  <c r="D349" i="321"/>
  <c r="C349" i="321"/>
  <c r="B349" i="321"/>
  <c r="O342" i="321"/>
  <c r="N342" i="321"/>
  <c r="M342" i="321"/>
  <c r="L342" i="321"/>
  <c r="K342" i="321"/>
  <c r="J342" i="321"/>
  <c r="I342" i="321"/>
  <c r="H342" i="321"/>
  <c r="G342" i="321"/>
  <c r="F342" i="321"/>
  <c r="E342" i="321"/>
  <c r="D342" i="321"/>
  <c r="C342" i="321"/>
  <c r="B342" i="321"/>
  <c r="O336" i="321"/>
  <c r="N336" i="321"/>
  <c r="M336" i="321"/>
  <c r="L336" i="321"/>
  <c r="K336" i="321"/>
  <c r="J336" i="321"/>
  <c r="I336" i="321"/>
  <c r="H336" i="321"/>
  <c r="G336" i="321"/>
  <c r="F336" i="321"/>
  <c r="E336" i="321"/>
  <c r="D336" i="321"/>
  <c r="C336" i="321"/>
  <c r="B336" i="321"/>
  <c r="O332" i="321"/>
  <c r="N332" i="321"/>
  <c r="M332" i="321"/>
  <c r="L332" i="321"/>
  <c r="K332" i="321"/>
  <c r="J332" i="321"/>
  <c r="I332" i="321"/>
  <c r="H332" i="321"/>
  <c r="G332" i="321"/>
  <c r="F332" i="321"/>
  <c r="E332" i="321"/>
  <c r="D332" i="321"/>
  <c r="C332" i="321"/>
  <c r="B332" i="321"/>
  <c r="O324" i="321"/>
  <c r="N324" i="321"/>
  <c r="M324" i="321"/>
  <c r="L324" i="321"/>
  <c r="K324" i="321"/>
  <c r="J324" i="321"/>
  <c r="I324" i="321"/>
  <c r="H324" i="321"/>
  <c r="G324" i="321"/>
  <c r="F324" i="321"/>
  <c r="E324" i="321"/>
  <c r="D324" i="321"/>
  <c r="C324" i="321"/>
  <c r="B324" i="321"/>
  <c r="O299" i="321"/>
  <c r="N299" i="321"/>
  <c r="M299" i="321"/>
  <c r="L299" i="321"/>
  <c r="K299" i="321"/>
  <c r="J299" i="321"/>
  <c r="I299" i="321"/>
  <c r="H299" i="321"/>
  <c r="G299" i="321"/>
  <c r="F299" i="321"/>
  <c r="E299" i="321"/>
  <c r="D299" i="321"/>
  <c r="C299" i="321"/>
  <c r="B299" i="321"/>
  <c r="O292" i="321"/>
  <c r="N292" i="321"/>
  <c r="M292" i="321"/>
  <c r="L292" i="321"/>
  <c r="K292" i="321"/>
  <c r="J292" i="321"/>
  <c r="I292" i="321"/>
  <c r="H292" i="321"/>
  <c r="G292" i="321"/>
  <c r="F292" i="321"/>
  <c r="E292" i="321"/>
  <c r="D292" i="321"/>
  <c r="C292" i="321"/>
  <c r="B292" i="321"/>
  <c r="O286" i="321"/>
  <c r="N286" i="321"/>
  <c r="M286" i="321"/>
  <c r="L286" i="321"/>
  <c r="K286" i="321"/>
  <c r="J286" i="321"/>
  <c r="I286" i="321"/>
  <c r="H286" i="321"/>
  <c r="G286" i="321"/>
  <c r="F286" i="321"/>
  <c r="E286" i="321"/>
  <c r="D286" i="321"/>
  <c r="C286" i="321"/>
  <c r="B286" i="321"/>
  <c r="O280" i="321"/>
  <c r="N280" i="321"/>
  <c r="M280" i="321"/>
  <c r="L280" i="321"/>
  <c r="K280" i="321"/>
  <c r="J280" i="321"/>
  <c r="I280" i="321"/>
  <c r="H280" i="321"/>
  <c r="G280" i="321"/>
  <c r="F280" i="321"/>
  <c r="E280" i="321"/>
  <c r="D280" i="321"/>
  <c r="C280" i="321"/>
  <c r="B280" i="321"/>
  <c r="O273" i="321"/>
  <c r="N273" i="321"/>
  <c r="M273" i="321"/>
  <c r="L273" i="321"/>
  <c r="K273" i="321"/>
  <c r="J273" i="321"/>
  <c r="I273" i="321"/>
  <c r="H273" i="321"/>
  <c r="G273" i="321"/>
  <c r="F273" i="321"/>
  <c r="E273" i="321"/>
  <c r="D273" i="321"/>
  <c r="C273" i="321"/>
  <c r="B273" i="321"/>
  <c r="O254" i="321"/>
  <c r="N254" i="321"/>
  <c r="M254" i="321"/>
  <c r="L254" i="321"/>
  <c r="K254" i="321"/>
  <c r="J254" i="321"/>
  <c r="I254" i="321"/>
  <c r="H254" i="321"/>
  <c r="G254" i="321"/>
  <c r="F254" i="321"/>
  <c r="E254" i="321"/>
  <c r="O249" i="321"/>
  <c r="N249" i="321"/>
  <c r="M249" i="321"/>
  <c r="L249" i="321"/>
  <c r="K249" i="321"/>
  <c r="J249" i="321"/>
  <c r="I249" i="321"/>
  <c r="H249" i="321"/>
  <c r="G249" i="321"/>
  <c r="F249" i="321"/>
  <c r="E249" i="321"/>
  <c r="D249" i="321"/>
  <c r="C249" i="321"/>
  <c r="B249" i="321"/>
  <c r="O237" i="321"/>
  <c r="N237" i="321"/>
  <c r="M237" i="321"/>
  <c r="L237" i="321"/>
  <c r="K237" i="321"/>
  <c r="J237" i="321"/>
  <c r="I237" i="321"/>
  <c r="H237" i="321"/>
  <c r="G237" i="321"/>
  <c r="F237" i="321"/>
  <c r="E237" i="321"/>
  <c r="D237" i="321"/>
  <c r="C237" i="321"/>
  <c r="O207" i="321"/>
  <c r="N207" i="321"/>
  <c r="M207" i="321"/>
  <c r="L207" i="321"/>
  <c r="K207" i="321"/>
  <c r="J207" i="321"/>
  <c r="I207" i="321"/>
  <c r="H207" i="321"/>
  <c r="G207" i="321"/>
  <c r="F207" i="321"/>
  <c r="E207" i="321"/>
  <c r="D207" i="321"/>
  <c r="C207" i="321"/>
  <c r="B207" i="321"/>
  <c r="O198" i="321"/>
  <c r="N198" i="321"/>
  <c r="M198" i="321"/>
  <c r="L198" i="321"/>
  <c r="K198" i="321"/>
  <c r="J198" i="321"/>
  <c r="I198" i="321"/>
  <c r="H198" i="321"/>
  <c r="G198" i="321"/>
  <c r="F198" i="321"/>
  <c r="E198" i="321"/>
  <c r="D198" i="321"/>
  <c r="C198" i="321"/>
  <c r="B198" i="321"/>
  <c r="O185" i="321"/>
  <c r="N185" i="321"/>
  <c r="M185" i="321"/>
  <c r="L185" i="321"/>
  <c r="K185" i="321"/>
  <c r="J185" i="321"/>
  <c r="I185" i="321"/>
  <c r="H185" i="321"/>
  <c r="G185" i="321"/>
  <c r="F185" i="321"/>
  <c r="E185" i="321"/>
  <c r="D185" i="321"/>
  <c r="C185" i="321"/>
  <c r="B185" i="321"/>
  <c r="O164" i="321"/>
  <c r="N164" i="321"/>
  <c r="M164" i="321"/>
  <c r="L164" i="321"/>
  <c r="K164" i="321"/>
  <c r="J164" i="321"/>
  <c r="I164" i="321"/>
  <c r="H164" i="321"/>
  <c r="G164" i="321"/>
  <c r="F164" i="321"/>
  <c r="E164" i="321"/>
  <c r="D164" i="321"/>
  <c r="C164" i="321"/>
  <c r="B164" i="321"/>
  <c r="O157" i="321"/>
  <c r="N157" i="321"/>
  <c r="M157" i="321"/>
  <c r="L157" i="321"/>
  <c r="K157" i="321"/>
  <c r="J157" i="321"/>
  <c r="I157" i="321"/>
  <c r="H157" i="321"/>
  <c r="G157" i="321"/>
  <c r="F157" i="321"/>
  <c r="E157" i="321"/>
  <c r="D157" i="321"/>
  <c r="C157" i="321"/>
  <c r="B157" i="321"/>
  <c r="O150" i="321"/>
  <c r="N150" i="321"/>
  <c r="M150" i="321"/>
  <c r="L150" i="321"/>
  <c r="K150" i="321"/>
  <c r="J150" i="321"/>
  <c r="I150" i="321"/>
  <c r="H150" i="321"/>
  <c r="G150" i="321"/>
  <c r="F150" i="321"/>
  <c r="E150" i="321"/>
  <c r="D150" i="321"/>
  <c r="C150" i="321"/>
  <c r="B150" i="321"/>
  <c r="O144" i="321"/>
  <c r="N144" i="321"/>
  <c r="M144" i="321"/>
  <c r="L144" i="321"/>
  <c r="K144" i="321"/>
  <c r="J144" i="321"/>
  <c r="I144" i="321"/>
  <c r="H144" i="321"/>
  <c r="G144" i="321"/>
  <c r="F144" i="321"/>
  <c r="E144" i="321"/>
  <c r="D144" i="321"/>
  <c r="C144" i="321"/>
  <c r="B144" i="321"/>
  <c r="O137" i="321"/>
  <c r="N137" i="321"/>
  <c r="M137" i="321"/>
  <c r="L137" i="321"/>
  <c r="K137" i="321"/>
  <c r="J137" i="321"/>
  <c r="I137" i="321"/>
  <c r="H137" i="321"/>
  <c r="G137" i="321"/>
  <c r="F137" i="321"/>
  <c r="E137" i="321"/>
  <c r="D137" i="321"/>
  <c r="C137" i="321"/>
  <c r="B137" i="321"/>
  <c r="O130" i="321"/>
  <c r="N130" i="321"/>
  <c r="M130" i="321"/>
  <c r="L130" i="321"/>
  <c r="K130" i="321"/>
  <c r="J130" i="321"/>
  <c r="I130" i="321"/>
  <c r="H130" i="321"/>
  <c r="G130" i="321"/>
  <c r="F130" i="321"/>
  <c r="E130" i="321"/>
  <c r="D130" i="321"/>
  <c r="C130" i="321"/>
  <c r="B130" i="321"/>
  <c r="O125" i="321"/>
  <c r="N125" i="321"/>
  <c r="M125" i="321"/>
  <c r="L125" i="321"/>
  <c r="K125" i="321"/>
  <c r="J125" i="321"/>
  <c r="I125" i="321"/>
  <c r="H125" i="321"/>
  <c r="G125" i="321"/>
  <c r="F125" i="321"/>
  <c r="E125" i="321"/>
  <c r="D125" i="321"/>
  <c r="C125" i="321"/>
  <c r="B125" i="321"/>
  <c r="O120" i="321"/>
  <c r="N120" i="321"/>
  <c r="M120" i="321"/>
  <c r="L120" i="321"/>
  <c r="K120" i="321"/>
  <c r="J120" i="321"/>
  <c r="I120" i="321"/>
  <c r="H120" i="321"/>
  <c r="G120" i="321"/>
  <c r="F120" i="321"/>
  <c r="E120" i="321"/>
  <c r="D120" i="321"/>
  <c r="C120" i="321"/>
  <c r="B120" i="321"/>
  <c r="O83" i="321"/>
  <c r="N83" i="321"/>
  <c r="M83" i="321"/>
  <c r="L83" i="321"/>
  <c r="K83" i="321"/>
  <c r="J83" i="321"/>
  <c r="I83" i="321"/>
  <c r="H83" i="321"/>
  <c r="G83" i="321"/>
  <c r="F83" i="321"/>
  <c r="E83" i="321"/>
  <c r="D83" i="321"/>
  <c r="C83" i="321"/>
  <c r="B83" i="321"/>
  <c r="O51" i="321"/>
  <c r="N51" i="321"/>
  <c r="M51" i="321"/>
  <c r="L51" i="321"/>
  <c r="K51" i="321"/>
  <c r="J51" i="321"/>
  <c r="I51" i="321"/>
  <c r="H51" i="321"/>
  <c r="G51" i="321"/>
  <c r="F51" i="321"/>
  <c r="E51" i="321"/>
  <c r="D51" i="321"/>
  <c r="C51" i="321"/>
  <c r="B51" i="321"/>
  <c r="O44" i="321"/>
  <c r="N44" i="321"/>
  <c r="M44" i="321"/>
  <c r="L44" i="321"/>
  <c r="K44" i="321"/>
  <c r="J44" i="321"/>
  <c r="I44" i="321"/>
  <c r="H44" i="321"/>
  <c r="G44" i="321"/>
  <c r="F44" i="321"/>
  <c r="E44" i="321"/>
  <c r="D44" i="321"/>
  <c r="C44" i="321"/>
  <c r="B44" i="321"/>
  <c r="O26" i="321"/>
  <c r="N26" i="321"/>
  <c r="M26" i="321"/>
  <c r="L26" i="321"/>
  <c r="K26" i="321"/>
  <c r="J26" i="321"/>
  <c r="I26" i="321"/>
  <c r="H26" i="321"/>
  <c r="G26" i="321"/>
  <c r="F26" i="321"/>
  <c r="E26" i="321"/>
  <c r="D26" i="321"/>
  <c r="C26" i="321"/>
  <c r="B26" i="321"/>
  <c r="O23" i="321"/>
  <c r="N23" i="321"/>
  <c r="M23" i="321"/>
  <c r="L23" i="321"/>
  <c r="K23" i="321"/>
  <c r="J23" i="321"/>
  <c r="I23" i="321"/>
  <c r="H23" i="321"/>
  <c r="G23" i="321"/>
  <c r="F23" i="321"/>
  <c r="E23" i="321"/>
  <c r="D23" i="321"/>
  <c r="C23" i="321"/>
  <c r="B23" i="321"/>
  <c r="O9" i="321"/>
  <c r="N9" i="321"/>
  <c r="M9" i="321"/>
  <c r="L9" i="321"/>
  <c r="K9" i="321"/>
  <c r="J9" i="321"/>
  <c r="I9" i="321"/>
  <c r="H9" i="321"/>
  <c r="G9" i="321"/>
  <c r="F9" i="321"/>
  <c r="E9" i="321"/>
  <c r="D9" i="321"/>
  <c r="C9" i="321"/>
  <c r="B9" i="321"/>
  <c r="R280" i="321" l="1"/>
  <c r="R44" i="321"/>
  <c r="R144" i="321"/>
  <c r="R207" i="321"/>
  <c r="R420" i="321"/>
  <c r="R9" i="321"/>
  <c r="R342" i="321"/>
  <c r="R51" i="321"/>
  <c r="R150" i="321"/>
  <c r="R237" i="321"/>
  <c r="R332" i="321"/>
  <c r="R433" i="321"/>
  <c r="R198" i="321"/>
  <c r="R79" i="321"/>
  <c r="R157" i="321"/>
  <c r="R249" i="321"/>
  <c r="R336" i="321"/>
  <c r="R439" i="321"/>
  <c r="R26" i="321"/>
  <c r="R324" i="321"/>
  <c r="R83" i="321"/>
  <c r="R164" i="321"/>
  <c r="R267" i="321"/>
  <c r="R349" i="321"/>
  <c r="R446" i="321"/>
  <c r="R137" i="321"/>
  <c r="R120" i="321"/>
  <c r="R273" i="321"/>
  <c r="R363" i="321"/>
  <c r="R458" i="321"/>
  <c r="R299" i="321"/>
  <c r="R254" i="321"/>
  <c r="R125" i="321"/>
  <c r="R286" i="321"/>
  <c r="R370" i="321"/>
  <c r="R402" i="321"/>
  <c r="R23" i="321"/>
  <c r="R130" i="321"/>
  <c r="R185" i="321"/>
  <c r="R292" i="321"/>
  <c r="P459" i="321"/>
  <c r="E459" i="321"/>
  <c r="E466" i="321" s="1"/>
  <c r="I459" i="321"/>
  <c r="I466" i="321" s="1"/>
  <c r="M459" i="321"/>
  <c r="M466" i="321" s="1"/>
  <c r="G459" i="321"/>
  <c r="G466" i="321" s="1"/>
  <c r="K459" i="321"/>
  <c r="K466" i="321" s="1"/>
  <c r="O459" i="321"/>
  <c r="O466" i="321" s="1"/>
  <c r="D254" i="321"/>
  <c r="D459" i="321" s="1"/>
  <c r="D466" i="321" s="1"/>
  <c r="H459" i="321"/>
  <c r="H466" i="321" s="1"/>
  <c r="L459" i="321"/>
  <c r="L466" i="321" s="1"/>
  <c r="F459" i="321"/>
  <c r="F466" i="321" s="1"/>
  <c r="J459" i="321"/>
  <c r="J466" i="321" s="1"/>
  <c r="N459" i="321"/>
  <c r="N466" i="321" s="1"/>
  <c r="B254" i="321"/>
  <c r="B459" i="321" s="1"/>
  <c r="B466" i="321" s="1"/>
  <c r="C254" i="321"/>
  <c r="C459" i="321" s="1"/>
  <c r="C466" i="321" s="1"/>
  <c r="R459" i="321" l="1"/>
  <c r="P466" i="321"/>
  <c r="R466" i="321" s="1"/>
  <c r="D27" i="320" l="1"/>
  <c r="C27" i="320"/>
  <c r="E26" i="320"/>
  <c r="E25" i="320"/>
  <c r="E27" i="320" s="1"/>
  <c r="E21" i="320"/>
  <c r="E20" i="320"/>
  <c r="C17" i="320"/>
  <c r="E16" i="320"/>
  <c r="E17" i="320" s="1"/>
  <c r="E15" i="320"/>
  <c r="D12" i="320"/>
  <c r="C12" i="320"/>
  <c r="E11" i="320"/>
  <c r="E10" i="320"/>
  <c r="B9" i="320"/>
  <c r="B14" i="320" s="1"/>
  <c r="B19" i="320" s="1"/>
  <c r="B24" i="320" s="1"/>
  <c r="D7" i="320"/>
  <c r="C7" i="320"/>
  <c r="E6" i="320"/>
  <c r="E5" i="320"/>
  <c r="Q20" i="279"/>
  <c r="H20" i="279" s="1"/>
  <c r="Q12" i="279"/>
  <c r="H12" i="279" s="1"/>
  <c r="Q28" i="279"/>
  <c r="N28" i="279" s="1"/>
  <c r="P20" i="279" l="1"/>
  <c r="D20" i="279"/>
  <c r="L20" i="279"/>
  <c r="J20" i="279"/>
  <c r="E12" i="320"/>
  <c r="E7" i="320"/>
  <c r="D12" i="279"/>
  <c r="P12" i="279"/>
  <c r="J12" i="279"/>
  <c r="L12" i="279"/>
  <c r="F20" i="279"/>
  <c r="N20" i="279"/>
  <c r="F12" i="279"/>
  <c r="N12" i="279"/>
  <c r="H28" i="279"/>
  <c r="P28" i="279"/>
  <c r="J28" i="279"/>
  <c r="D28" i="279"/>
  <c r="L28" i="279"/>
  <c r="F28" i="279"/>
  <c r="G56" i="278" l="1"/>
  <c r="F56" i="278" s="1"/>
  <c r="G38" i="278"/>
  <c r="F38" i="278" s="1"/>
  <c r="G20" i="278"/>
  <c r="D20" i="278" s="1"/>
  <c r="D5" i="277"/>
  <c r="F5" i="277"/>
  <c r="G5" i="277"/>
  <c r="F20" i="278" l="1"/>
  <c r="D56" i="278"/>
  <c r="D38" i="278"/>
  <c r="L12" i="277" l="1"/>
  <c r="K12" i="277"/>
  <c r="J12" i="277"/>
  <c r="G15" i="277"/>
  <c r="F15" i="277"/>
  <c r="D15" i="277"/>
  <c r="AD12" i="181" l="1"/>
  <c r="AD11" i="181"/>
  <c r="AD10" i="181"/>
  <c r="AD9" i="181"/>
  <c r="AD8" i="181"/>
  <c r="AD7" i="181"/>
  <c r="AD6" i="181"/>
  <c r="AD5" i="181"/>
  <c r="AD13" i="181" s="1"/>
  <c r="O24" i="181"/>
  <c r="P24" i="181" s="1"/>
  <c r="P22" i="181"/>
  <c r="P20" i="181"/>
  <c r="O18" i="181"/>
  <c r="P16" i="181"/>
  <c r="P14" i="181"/>
  <c r="P12" i="181"/>
  <c r="P10" i="181"/>
  <c r="P8" i="181"/>
  <c r="P6" i="181"/>
  <c r="O3" i="181"/>
  <c r="AB12" i="27"/>
  <c r="AB11" i="27"/>
  <c r="AB10" i="27"/>
  <c r="AB9" i="27"/>
  <c r="AB8" i="27"/>
  <c r="AB7" i="27"/>
  <c r="AB6" i="27"/>
  <c r="AB5" i="27"/>
  <c r="O24" i="27"/>
  <c r="P24" i="27" s="1"/>
  <c r="P22" i="27"/>
  <c r="P20" i="27"/>
  <c r="O18" i="27"/>
  <c r="O26" i="27" s="1"/>
  <c r="P26" i="27" s="1"/>
  <c r="P16" i="27"/>
  <c r="P14" i="27"/>
  <c r="P12" i="27"/>
  <c r="P10" i="27"/>
  <c r="P8" i="27"/>
  <c r="P6" i="27"/>
  <c r="O3" i="27"/>
  <c r="O26" i="181" l="1"/>
  <c r="P26" i="181" s="1"/>
  <c r="P18" i="181"/>
  <c r="AB13" i="27"/>
  <c r="P18" i="27"/>
  <c r="AL120" i="161"/>
  <c r="AK120" i="161"/>
  <c r="AJ120" i="161"/>
  <c r="AG120" i="161"/>
  <c r="AF120" i="161"/>
  <c r="AE120" i="161"/>
  <c r="AB120" i="161"/>
  <c r="AA120" i="161"/>
  <c r="Z120" i="161"/>
  <c r="W120" i="161"/>
  <c r="V120" i="161"/>
  <c r="U120" i="161"/>
  <c r="R120" i="161"/>
  <c r="Q120" i="161"/>
  <c r="P120" i="161"/>
  <c r="M120" i="161"/>
  <c r="L120" i="161"/>
  <c r="K120" i="161"/>
  <c r="H120" i="161"/>
  <c r="G120" i="161"/>
  <c r="F120" i="161"/>
  <c r="D120" i="161"/>
  <c r="C120" i="161"/>
  <c r="B120" i="161"/>
  <c r="AK121" i="160"/>
  <c r="AM120" i="160"/>
  <c r="AS120" i="160" s="1"/>
  <c r="AN120" i="160"/>
  <c r="AL121" i="160"/>
  <c r="AJ121" i="160"/>
  <c r="AG121" i="160"/>
  <c r="AH120" i="160"/>
  <c r="AI120" i="160"/>
  <c r="AF121" i="160"/>
  <c r="AE121" i="160"/>
  <c r="AB121" i="160"/>
  <c r="AC120" i="160"/>
  <c r="AA121" i="160"/>
  <c r="Z121" i="160"/>
  <c r="W121" i="160"/>
  <c r="X120" i="160"/>
  <c r="AD120" i="160" s="1"/>
  <c r="V121" i="160"/>
  <c r="U121" i="160"/>
  <c r="R121" i="160"/>
  <c r="S120" i="160"/>
  <c r="Y120" i="160" s="1"/>
  <c r="Q121" i="160"/>
  <c r="P121" i="160"/>
  <c r="M121" i="160"/>
  <c r="N120" i="160"/>
  <c r="O120" i="160"/>
  <c r="L121" i="160"/>
  <c r="K121" i="160"/>
  <c r="H121" i="160"/>
  <c r="I120" i="160"/>
  <c r="J120" i="160"/>
  <c r="G121" i="160"/>
  <c r="F121" i="160"/>
  <c r="D121" i="160"/>
  <c r="C121" i="160"/>
  <c r="B121" i="160"/>
  <c r="E120" i="160"/>
  <c r="AM103" i="160"/>
  <c r="AH103" i="160"/>
  <c r="AC103" i="160"/>
  <c r="X103" i="160"/>
  <c r="Y103" i="160" s="1"/>
  <c r="S103" i="160"/>
  <c r="T103" i="160" s="1"/>
  <c r="N103" i="160"/>
  <c r="AL106" i="160"/>
  <c r="AK106" i="160"/>
  <c r="AJ106" i="160"/>
  <c r="AG106" i="160"/>
  <c r="AF106" i="160"/>
  <c r="AE106" i="160"/>
  <c r="AB106" i="160"/>
  <c r="AA106" i="160"/>
  <c r="Z106" i="160"/>
  <c r="W106" i="160"/>
  <c r="V106" i="160"/>
  <c r="U106" i="160"/>
  <c r="R106" i="160"/>
  <c r="Q106" i="160"/>
  <c r="P106" i="160"/>
  <c r="M106" i="160"/>
  <c r="L106" i="160"/>
  <c r="K106" i="160"/>
  <c r="H106" i="160"/>
  <c r="G106" i="160"/>
  <c r="F106" i="160"/>
  <c r="D106" i="160"/>
  <c r="C106" i="160"/>
  <c r="B106" i="160"/>
  <c r="I103" i="160"/>
  <c r="O103" i="160" s="1"/>
  <c r="E103" i="160"/>
  <c r="J103" i="160" s="1"/>
  <c r="AL103" i="161"/>
  <c r="AK103" i="161"/>
  <c r="AJ103" i="161"/>
  <c r="AG103" i="161"/>
  <c r="AF103" i="161"/>
  <c r="AE103" i="161"/>
  <c r="AB103" i="161"/>
  <c r="AA103" i="161"/>
  <c r="Z103" i="161"/>
  <c r="W103" i="161"/>
  <c r="V103" i="161"/>
  <c r="U103" i="161"/>
  <c r="R103" i="161"/>
  <c r="Q103" i="161"/>
  <c r="P103" i="161"/>
  <c r="M103" i="161"/>
  <c r="L103" i="161"/>
  <c r="K103" i="161"/>
  <c r="H103" i="161"/>
  <c r="G103" i="161"/>
  <c r="F103" i="161"/>
  <c r="D103" i="161"/>
  <c r="C103" i="161"/>
  <c r="B103" i="161"/>
  <c r="T120" i="160" l="1"/>
  <c r="AD103" i="160"/>
  <c r="AI103" i="160"/>
  <c r="AN103" i="160"/>
  <c r="AS103" i="160"/>
  <c r="X120" i="161"/>
  <c r="N120" i="161"/>
  <c r="AH120" i="161"/>
  <c r="AH103" i="161"/>
  <c r="I120" i="161"/>
  <c r="S120" i="161"/>
  <c r="E120" i="161"/>
  <c r="AC120" i="161"/>
  <c r="AM120" i="161"/>
  <c r="AS120" i="161" s="1"/>
  <c r="AC103" i="161"/>
  <c r="AM103" i="161"/>
  <c r="AS103" i="161" s="1"/>
  <c r="X103" i="161"/>
  <c r="S103" i="161"/>
  <c r="N103" i="161"/>
  <c r="I103" i="161"/>
  <c r="E103" i="161"/>
  <c r="J120" i="161" l="1"/>
  <c r="AD120" i="161"/>
  <c r="Y120" i="161"/>
  <c r="O120" i="161"/>
  <c r="AI103" i="161"/>
  <c r="T120" i="161"/>
  <c r="AI120" i="161"/>
  <c r="AN120" i="161"/>
  <c r="AN103" i="161"/>
  <c r="AD103" i="161"/>
  <c r="Y103" i="161"/>
  <c r="T103" i="161"/>
  <c r="O103" i="161"/>
  <c r="J103" i="161"/>
  <c r="AM19" i="160" l="1"/>
  <c r="AH19" i="160"/>
  <c r="AC19" i="160"/>
  <c r="X19" i="160"/>
  <c r="S19" i="160"/>
  <c r="N19" i="160"/>
  <c r="I19" i="160"/>
  <c r="J19" i="160" s="1"/>
  <c r="E19" i="160"/>
  <c r="AL19" i="161"/>
  <c r="AK19" i="161"/>
  <c r="AJ19" i="161"/>
  <c r="AG19" i="161"/>
  <c r="AF19" i="161"/>
  <c r="AE19" i="161"/>
  <c r="AB19" i="161"/>
  <c r="AA19" i="161"/>
  <c r="Z19" i="161"/>
  <c r="W19" i="161"/>
  <c r="V19" i="161"/>
  <c r="U19" i="161"/>
  <c r="R19" i="161"/>
  <c r="Q19" i="161"/>
  <c r="P19" i="161"/>
  <c r="M19" i="161"/>
  <c r="L19" i="161"/>
  <c r="K19" i="161"/>
  <c r="H19" i="161"/>
  <c r="G19" i="161"/>
  <c r="F19" i="161"/>
  <c r="D19" i="161"/>
  <c r="C19" i="161"/>
  <c r="B19" i="161"/>
  <c r="O19" i="160" l="1"/>
  <c r="T19" i="160"/>
  <c r="Y19" i="160"/>
  <c r="AD19" i="160"/>
  <c r="AI19" i="160"/>
  <c r="AN19" i="160"/>
  <c r="AS19" i="160"/>
  <c r="S19" i="161"/>
  <c r="X19" i="161"/>
  <c r="AM19" i="161"/>
  <c r="AS19" i="161" s="1"/>
  <c r="AH19" i="161"/>
  <c r="AC19" i="161"/>
  <c r="N19" i="161"/>
  <c r="I19" i="161"/>
  <c r="E19" i="161"/>
  <c r="X11" i="239"/>
  <c r="Y9" i="239"/>
  <c r="Y7" i="239"/>
  <c r="Y5" i="239"/>
  <c r="AE5" i="239"/>
  <c r="AE6" i="239" s="1"/>
  <c r="AE7" i="239" s="1"/>
  <c r="AE8" i="239" s="1"/>
  <c r="AE9" i="239" s="1"/>
  <c r="AE10" i="239" s="1"/>
  <c r="AE11" i="239" s="1"/>
  <c r="AE12" i="239" s="1"/>
  <c r="AN19" i="161" l="1"/>
  <c r="Y19" i="161"/>
  <c r="T19" i="161"/>
  <c r="J19" i="161"/>
  <c r="AI19" i="161"/>
  <c r="AD19" i="161"/>
  <c r="O19" i="161"/>
  <c r="AL119" i="161"/>
  <c r="AK119" i="161"/>
  <c r="AJ119" i="161"/>
  <c r="AL118" i="161"/>
  <c r="AK118" i="161"/>
  <c r="AJ118" i="161"/>
  <c r="AL117" i="161"/>
  <c r="AK117" i="161"/>
  <c r="AJ117" i="161"/>
  <c r="AL116" i="161"/>
  <c r="AK116" i="161"/>
  <c r="AJ116" i="161"/>
  <c r="AL115" i="161"/>
  <c r="AK115" i="161"/>
  <c r="AJ115" i="161"/>
  <c r="AL114" i="161"/>
  <c r="AK114" i="161"/>
  <c r="AJ114" i="161"/>
  <c r="AL113" i="161"/>
  <c r="AK113" i="161"/>
  <c r="AJ113" i="161"/>
  <c r="AL112" i="161"/>
  <c r="AK112" i="161"/>
  <c r="AJ112" i="161"/>
  <c r="AL111" i="161"/>
  <c r="AK111" i="161"/>
  <c r="AJ111" i="161"/>
  <c r="AL105" i="161"/>
  <c r="AK105" i="161"/>
  <c r="AJ105" i="161"/>
  <c r="AL104" i="161"/>
  <c r="AK104" i="161"/>
  <c r="AJ104" i="161"/>
  <c r="AL100" i="161"/>
  <c r="AK100" i="161"/>
  <c r="AJ100" i="161"/>
  <c r="AL99" i="161"/>
  <c r="AK99" i="161"/>
  <c r="AJ99" i="161"/>
  <c r="AL98" i="161"/>
  <c r="AK98" i="161"/>
  <c r="AJ98" i="161"/>
  <c r="AL97" i="161"/>
  <c r="AK97" i="161"/>
  <c r="AJ97" i="161"/>
  <c r="AL94" i="161"/>
  <c r="AK94" i="161"/>
  <c r="AJ94" i="161"/>
  <c r="AL93" i="161"/>
  <c r="AK93" i="161"/>
  <c r="AJ93" i="161"/>
  <c r="AL91" i="161"/>
  <c r="AK91" i="161"/>
  <c r="AJ91" i="161"/>
  <c r="AL82" i="161"/>
  <c r="AK82" i="161"/>
  <c r="AJ82" i="161"/>
  <c r="AL80" i="161"/>
  <c r="AK80" i="161"/>
  <c r="AJ80" i="161"/>
  <c r="AL79" i="161"/>
  <c r="AK79" i="161"/>
  <c r="AJ79" i="161"/>
  <c r="AL77" i="161"/>
  <c r="AK77" i="161"/>
  <c r="AJ77" i="161"/>
  <c r="AL74" i="161"/>
  <c r="AK74" i="161"/>
  <c r="AJ74" i="161"/>
  <c r="AL73" i="161"/>
  <c r="AK73" i="161"/>
  <c r="AJ73" i="161"/>
  <c r="AL72" i="161"/>
  <c r="AK72" i="161"/>
  <c r="AJ72" i="161"/>
  <c r="AL71" i="161"/>
  <c r="AK71" i="161"/>
  <c r="AJ71" i="161"/>
  <c r="AL70" i="161"/>
  <c r="AK70" i="161"/>
  <c r="AJ70" i="161"/>
  <c r="AL67" i="161"/>
  <c r="AK67" i="161"/>
  <c r="AJ67" i="161"/>
  <c r="AL66" i="161"/>
  <c r="AK66" i="161"/>
  <c r="AJ66" i="161"/>
  <c r="AL65" i="161"/>
  <c r="AK65" i="161"/>
  <c r="AJ65" i="161"/>
  <c r="AL64" i="161"/>
  <c r="AK64" i="161"/>
  <c r="AJ64" i="161"/>
  <c r="AL63" i="161"/>
  <c r="AK63" i="161"/>
  <c r="AJ63" i="161"/>
  <c r="AL60" i="161"/>
  <c r="AK60" i="161"/>
  <c r="AJ60" i="161"/>
  <c r="AL59" i="161"/>
  <c r="AK59" i="161"/>
  <c r="AJ59" i="161"/>
  <c r="AL58" i="161"/>
  <c r="AK58" i="161"/>
  <c r="AJ58" i="161"/>
  <c r="AL57" i="161"/>
  <c r="AK57" i="161"/>
  <c r="AJ57" i="161"/>
  <c r="AL56" i="161"/>
  <c r="AK56" i="161"/>
  <c r="AJ56" i="161"/>
  <c r="AL53" i="161"/>
  <c r="AK53" i="161"/>
  <c r="AJ53" i="161"/>
  <c r="AL52" i="161"/>
  <c r="AK52" i="161"/>
  <c r="AJ52" i="161"/>
  <c r="AL51" i="161"/>
  <c r="AK51" i="161"/>
  <c r="AJ51" i="161"/>
  <c r="AL43" i="161"/>
  <c r="AK43" i="161"/>
  <c r="AJ43" i="161"/>
  <c r="AL41" i="161"/>
  <c r="AK41" i="161"/>
  <c r="AJ41" i="161"/>
  <c r="AL38" i="161"/>
  <c r="AK38" i="161"/>
  <c r="AJ38" i="161"/>
  <c r="AL37" i="161"/>
  <c r="AK37" i="161"/>
  <c r="AJ37" i="161"/>
  <c r="AL36" i="161"/>
  <c r="AK36" i="161"/>
  <c r="AJ36" i="161"/>
  <c r="AL35" i="161"/>
  <c r="AK35" i="161"/>
  <c r="AJ35" i="161"/>
  <c r="AL34" i="161"/>
  <c r="AK34" i="161"/>
  <c r="AJ34" i="161"/>
  <c r="AL33" i="161"/>
  <c r="AK33" i="161"/>
  <c r="AJ33" i="161"/>
  <c r="AL32" i="161"/>
  <c r="AK32" i="161"/>
  <c r="AJ32" i="161"/>
  <c r="AL31" i="161"/>
  <c r="AK31" i="161"/>
  <c r="AJ31" i="161"/>
  <c r="AL30" i="161"/>
  <c r="AK30" i="161"/>
  <c r="AJ30" i="161"/>
  <c r="AJ28" i="161"/>
  <c r="AJ49" i="161" s="1"/>
  <c r="AJ89" i="161" s="1"/>
  <c r="AL21" i="161"/>
  <c r="AK21" i="161"/>
  <c r="AJ21" i="161"/>
  <c r="AL20" i="161"/>
  <c r="AK20" i="161"/>
  <c r="AJ20" i="161"/>
  <c r="AL18" i="161"/>
  <c r="AK18" i="161"/>
  <c r="AJ18" i="161"/>
  <c r="AL17" i="161"/>
  <c r="AK17" i="161"/>
  <c r="AJ17" i="161"/>
  <c r="AL14" i="161"/>
  <c r="AK14" i="161"/>
  <c r="AJ14" i="161"/>
  <c r="AL13" i="161"/>
  <c r="AK13" i="161"/>
  <c r="AJ13" i="161"/>
  <c r="AL12" i="161"/>
  <c r="AK12" i="161"/>
  <c r="AJ12" i="161"/>
  <c r="AL11" i="161"/>
  <c r="AK11" i="161"/>
  <c r="AJ11" i="161"/>
  <c r="AL10" i="161"/>
  <c r="AK10" i="161"/>
  <c r="AJ10" i="161"/>
  <c r="AL9" i="161"/>
  <c r="AK9" i="161"/>
  <c r="AJ9" i="161"/>
  <c r="AL8" i="161"/>
  <c r="AK8" i="161"/>
  <c r="AJ8" i="161"/>
  <c r="AL7" i="161"/>
  <c r="AK7" i="161"/>
  <c r="AJ7" i="161"/>
  <c r="AM119" i="160"/>
  <c r="AS119" i="160" s="1"/>
  <c r="AM118" i="160"/>
  <c r="AS118" i="160" s="1"/>
  <c r="AM117" i="160"/>
  <c r="AS117" i="160" s="1"/>
  <c r="AM116" i="160"/>
  <c r="AS116" i="160" s="1"/>
  <c r="AM115" i="160"/>
  <c r="AS115" i="160" s="1"/>
  <c r="AM114" i="160"/>
  <c r="AS114" i="160" s="1"/>
  <c r="AM113" i="160"/>
  <c r="AS113" i="160" s="1"/>
  <c r="AM112" i="160"/>
  <c r="AS112" i="160" s="1"/>
  <c r="AM111" i="160"/>
  <c r="AM105" i="160"/>
  <c r="AS105" i="160" s="1"/>
  <c r="AM104" i="160"/>
  <c r="AS104" i="160" s="1"/>
  <c r="AL101" i="160"/>
  <c r="AK101" i="160"/>
  <c r="AJ101" i="160"/>
  <c r="AM100" i="160"/>
  <c r="AS100" i="160" s="1"/>
  <c r="AM99" i="160"/>
  <c r="AS99" i="160" s="1"/>
  <c r="AM98" i="160"/>
  <c r="AS98" i="160" s="1"/>
  <c r="AM97" i="160"/>
  <c r="AS97" i="160" s="1"/>
  <c r="AL95" i="160"/>
  <c r="AK95" i="160"/>
  <c r="AJ95" i="160"/>
  <c r="AM94" i="160"/>
  <c r="AS94" i="160" s="1"/>
  <c r="AM93" i="160"/>
  <c r="AS93" i="160" s="1"/>
  <c r="AM91" i="160"/>
  <c r="AS91" i="160" s="1"/>
  <c r="AL83" i="160"/>
  <c r="AK83" i="160"/>
  <c r="AJ83" i="160"/>
  <c r="AM82" i="160"/>
  <c r="AS82" i="160" s="1"/>
  <c r="AM80" i="160"/>
  <c r="AS80" i="160" s="1"/>
  <c r="AM79" i="160"/>
  <c r="AS79" i="160" s="1"/>
  <c r="AM77" i="160"/>
  <c r="AS77" i="160" s="1"/>
  <c r="AL75" i="160"/>
  <c r="AK75" i="160"/>
  <c r="AJ75" i="160"/>
  <c r="AM74" i="160"/>
  <c r="AS74" i="160" s="1"/>
  <c r="AM73" i="160"/>
  <c r="AS73" i="160" s="1"/>
  <c r="AM72" i="160"/>
  <c r="AS72" i="160" s="1"/>
  <c r="AM71" i="160"/>
  <c r="AS71" i="160" s="1"/>
  <c r="AM70" i="160"/>
  <c r="AS70" i="160" s="1"/>
  <c r="AL68" i="160"/>
  <c r="AK68" i="160"/>
  <c r="AJ68" i="160"/>
  <c r="AM67" i="160"/>
  <c r="AS67" i="160" s="1"/>
  <c r="AM66" i="160"/>
  <c r="AS66" i="160" s="1"/>
  <c r="AM65" i="160"/>
  <c r="AS65" i="160" s="1"/>
  <c r="AM64" i="160"/>
  <c r="AS64" i="160" s="1"/>
  <c r="AM63" i="160"/>
  <c r="AS63" i="160" s="1"/>
  <c r="AL61" i="160"/>
  <c r="AK61" i="160"/>
  <c r="AJ61" i="160"/>
  <c r="AM60" i="160"/>
  <c r="AS60" i="160" s="1"/>
  <c r="AM59" i="160"/>
  <c r="AS59" i="160" s="1"/>
  <c r="AM58" i="160"/>
  <c r="AS58" i="160" s="1"/>
  <c r="AM57" i="160"/>
  <c r="AS57" i="160" s="1"/>
  <c r="AM56" i="160"/>
  <c r="AS56" i="160" s="1"/>
  <c r="AL54" i="160"/>
  <c r="AK54" i="160"/>
  <c r="AJ54" i="160"/>
  <c r="AM53" i="160"/>
  <c r="AS53" i="160" s="1"/>
  <c r="AM52" i="160"/>
  <c r="AS52" i="160" s="1"/>
  <c r="AM51" i="160"/>
  <c r="AS51" i="160" s="1"/>
  <c r="AM43" i="160"/>
  <c r="AS43" i="160" s="1"/>
  <c r="AM41" i="160"/>
  <c r="AS41" i="160" s="1"/>
  <c r="AL39" i="160"/>
  <c r="AL44" i="160" s="1"/>
  <c r="AK39" i="160"/>
  <c r="AK44" i="160" s="1"/>
  <c r="AJ39" i="160"/>
  <c r="AJ44" i="160" s="1"/>
  <c r="AM38" i="160"/>
  <c r="AS38" i="160" s="1"/>
  <c r="AM37" i="160"/>
  <c r="AS37" i="160" s="1"/>
  <c r="AM36" i="160"/>
  <c r="AS36" i="160" s="1"/>
  <c r="AM35" i="160"/>
  <c r="AS35" i="160" s="1"/>
  <c r="AM34" i="160"/>
  <c r="AS34" i="160" s="1"/>
  <c r="AM33" i="160"/>
  <c r="AS33" i="160" s="1"/>
  <c r="AM32" i="160"/>
  <c r="AS32" i="160" s="1"/>
  <c r="AM31" i="160"/>
  <c r="AS31" i="160" s="1"/>
  <c r="AM30" i="160"/>
  <c r="AS30" i="160" s="1"/>
  <c r="AJ28" i="160"/>
  <c r="AJ49" i="160" s="1"/>
  <c r="AJ89" i="160" s="1"/>
  <c r="AL22" i="160"/>
  <c r="AK22" i="160"/>
  <c r="AJ22" i="160"/>
  <c r="AM21" i="160"/>
  <c r="AS21" i="160" s="1"/>
  <c r="AM20" i="160"/>
  <c r="AS20" i="160" s="1"/>
  <c r="AM18" i="160"/>
  <c r="AS18" i="160" s="1"/>
  <c r="AM17" i="160"/>
  <c r="AS17" i="160" s="1"/>
  <c r="AL15" i="160"/>
  <c r="AK15" i="160"/>
  <c r="AJ15" i="160"/>
  <c r="AM14" i="160"/>
  <c r="AS14" i="160" s="1"/>
  <c r="AM13" i="160"/>
  <c r="AS13" i="160" s="1"/>
  <c r="AM12" i="160"/>
  <c r="AS12" i="160" s="1"/>
  <c r="AM11" i="160"/>
  <c r="AS11" i="160" s="1"/>
  <c r="AM10" i="160"/>
  <c r="AS10" i="160" s="1"/>
  <c r="AM9" i="160"/>
  <c r="AS9" i="160" s="1"/>
  <c r="AM8" i="160"/>
  <c r="AS8" i="160" s="1"/>
  <c r="AM7" i="160"/>
  <c r="AS7" i="160" s="1"/>
  <c r="AS111" i="160" l="1"/>
  <c r="AM121" i="160"/>
  <c r="AS121" i="160" s="1"/>
  <c r="AL106" i="161"/>
  <c r="AJ121" i="161"/>
  <c r="AK121" i="161"/>
  <c r="AL121" i="161"/>
  <c r="AK106" i="161"/>
  <c r="AJ106" i="161"/>
  <c r="AM106" i="160"/>
  <c r="AS106" i="160" s="1"/>
  <c r="AM31" i="161"/>
  <c r="AS31" i="161" s="1"/>
  <c r="AM35" i="161"/>
  <c r="AS35" i="161" s="1"/>
  <c r="AM43" i="161"/>
  <c r="AS43" i="161" s="1"/>
  <c r="AJ54" i="161"/>
  <c r="AM116" i="161"/>
  <c r="AS116" i="161" s="1"/>
  <c r="AM10" i="161"/>
  <c r="AS10" i="161" s="1"/>
  <c r="AM34" i="161"/>
  <c r="AS34" i="161" s="1"/>
  <c r="AM38" i="161"/>
  <c r="AS38" i="161" s="1"/>
  <c r="AM117" i="161"/>
  <c r="AS117" i="161" s="1"/>
  <c r="AM54" i="160"/>
  <c r="AS54" i="160" s="1"/>
  <c r="AJ107" i="160"/>
  <c r="AK15" i="161"/>
  <c r="AM8" i="161"/>
  <c r="AS8" i="161" s="1"/>
  <c r="AM17" i="161"/>
  <c r="AS17" i="161" s="1"/>
  <c r="AM115" i="161"/>
  <c r="AS115" i="161" s="1"/>
  <c r="AM71" i="161"/>
  <c r="AS71" i="161" s="1"/>
  <c r="AM73" i="161"/>
  <c r="AS73" i="161" s="1"/>
  <c r="AM80" i="161"/>
  <c r="AS80" i="161" s="1"/>
  <c r="AM100" i="161"/>
  <c r="AS100" i="161" s="1"/>
  <c r="AM56" i="161"/>
  <c r="AS56" i="161" s="1"/>
  <c r="AM60" i="161"/>
  <c r="AS60" i="161" s="1"/>
  <c r="AL22" i="161"/>
  <c r="AM18" i="161"/>
  <c r="AS18" i="161" s="1"/>
  <c r="AM32" i="161"/>
  <c r="AS32" i="161" s="1"/>
  <c r="AM53" i="161"/>
  <c r="AS53" i="161" s="1"/>
  <c r="AM67" i="161"/>
  <c r="AS67" i="161" s="1"/>
  <c r="AM12" i="161"/>
  <c r="AS12" i="161" s="1"/>
  <c r="AK39" i="161"/>
  <c r="AK44" i="161" s="1"/>
  <c r="AM51" i="161"/>
  <c r="AS51" i="161" s="1"/>
  <c r="AL68" i="161"/>
  <c r="AM65" i="161"/>
  <c r="AS65" i="161" s="1"/>
  <c r="AM72" i="161"/>
  <c r="AS72" i="161" s="1"/>
  <c r="AJ83" i="161"/>
  <c r="AM97" i="161"/>
  <c r="AS97" i="161" s="1"/>
  <c r="AM9" i="161"/>
  <c r="AS9" i="161" s="1"/>
  <c r="AM11" i="161"/>
  <c r="AS11" i="161" s="1"/>
  <c r="AM52" i="161"/>
  <c r="AS52" i="161" s="1"/>
  <c r="AM74" i="161"/>
  <c r="AS74" i="161" s="1"/>
  <c r="AM77" i="161"/>
  <c r="AS77" i="161" s="1"/>
  <c r="AK95" i="161"/>
  <c r="AM119" i="161"/>
  <c r="AS119" i="161" s="1"/>
  <c r="AM14" i="161"/>
  <c r="AS14" i="161" s="1"/>
  <c r="AK22" i="161"/>
  <c r="AM33" i="161"/>
  <c r="AS33" i="161" s="1"/>
  <c r="AM41" i="161"/>
  <c r="AS41" i="161" s="1"/>
  <c r="AK61" i="161"/>
  <c r="AM66" i="161"/>
  <c r="AS66" i="161" s="1"/>
  <c r="AJ75" i="161"/>
  <c r="AM79" i="161"/>
  <c r="AS79" i="161" s="1"/>
  <c r="AM91" i="161"/>
  <c r="AS91" i="161" s="1"/>
  <c r="AM94" i="161"/>
  <c r="AS94" i="161" s="1"/>
  <c r="AK101" i="161"/>
  <c r="AM114" i="161"/>
  <c r="AS114" i="161" s="1"/>
  <c r="AJ15" i="161"/>
  <c r="AM21" i="161"/>
  <c r="AS21" i="161" s="1"/>
  <c r="AM30" i="161"/>
  <c r="AS30" i="161" s="1"/>
  <c r="AM37" i="161"/>
  <c r="AS37" i="161" s="1"/>
  <c r="AL54" i="161"/>
  <c r="AM57" i="161"/>
  <c r="AS57" i="161" s="1"/>
  <c r="AM59" i="161"/>
  <c r="AS59" i="161" s="1"/>
  <c r="AM63" i="161"/>
  <c r="AS63" i="161" s="1"/>
  <c r="AK75" i="161"/>
  <c r="AM82" i="161"/>
  <c r="AS82" i="161" s="1"/>
  <c r="AM99" i="161"/>
  <c r="AS99" i="161" s="1"/>
  <c r="AM104" i="161"/>
  <c r="AS104" i="161" s="1"/>
  <c r="AM111" i="161"/>
  <c r="AM113" i="161"/>
  <c r="AS113" i="161" s="1"/>
  <c r="AM118" i="161"/>
  <c r="AS118" i="161" s="1"/>
  <c r="AM15" i="160"/>
  <c r="AS15" i="160" s="1"/>
  <c r="AL15" i="161"/>
  <c r="AM13" i="161"/>
  <c r="AS13" i="161" s="1"/>
  <c r="AJ22" i="161"/>
  <c r="AM20" i="161"/>
  <c r="AS20" i="161" s="1"/>
  <c r="AL39" i="161"/>
  <c r="AL44" i="161" s="1"/>
  <c r="AM36" i="161"/>
  <c r="AS36" i="161" s="1"/>
  <c r="AJ61" i="161"/>
  <c r="AM58" i="161"/>
  <c r="AS58" i="161" s="1"/>
  <c r="AM64" i="161"/>
  <c r="AS64" i="161" s="1"/>
  <c r="AM70" i="161"/>
  <c r="AS70" i="161" s="1"/>
  <c r="AL83" i="161"/>
  <c r="AL95" i="161"/>
  <c r="AJ101" i="161"/>
  <c r="AM98" i="161"/>
  <c r="AS98" i="161" s="1"/>
  <c r="AM105" i="161"/>
  <c r="AS105" i="161" s="1"/>
  <c r="AM112" i="161"/>
  <c r="AS112" i="161" s="1"/>
  <c r="AL101" i="161"/>
  <c r="AJ95" i="161"/>
  <c r="AM93" i="161"/>
  <c r="AS93" i="161" s="1"/>
  <c r="AL61" i="161"/>
  <c r="AJ68" i="161"/>
  <c r="AL75" i="161"/>
  <c r="AK83" i="161"/>
  <c r="AK54" i="161"/>
  <c r="AK68" i="161"/>
  <c r="AJ39" i="161"/>
  <c r="AJ44" i="161" s="1"/>
  <c r="AM7" i="161"/>
  <c r="AS7" i="161" s="1"/>
  <c r="AM101" i="160"/>
  <c r="AS101" i="160" s="1"/>
  <c r="AK107" i="160"/>
  <c r="AL107" i="160"/>
  <c r="AM95" i="160"/>
  <c r="AS95" i="160" s="1"/>
  <c r="AM83" i="160"/>
  <c r="AS83" i="160" s="1"/>
  <c r="AM75" i="160"/>
  <c r="AS75" i="160" s="1"/>
  <c r="AM68" i="160"/>
  <c r="AS68" i="160" s="1"/>
  <c r="AK84" i="160"/>
  <c r="AM61" i="160"/>
  <c r="AS61" i="160" s="1"/>
  <c r="AL84" i="160"/>
  <c r="AJ84" i="160"/>
  <c r="AM39" i="160"/>
  <c r="AS39" i="160" s="1"/>
  <c r="AK23" i="160"/>
  <c r="AL23" i="160"/>
  <c r="AJ23" i="160"/>
  <c r="AM22" i="160"/>
  <c r="AS22" i="160" s="1"/>
  <c r="AM121" i="161" l="1"/>
  <c r="AS121" i="161" s="1"/>
  <c r="AS111" i="161"/>
  <c r="AK23" i="161"/>
  <c r="AL23" i="161"/>
  <c r="AM106" i="161"/>
  <c r="AS106" i="161" s="1"/>
  <c r="AM107" i="160"/>
  <c r="AS107" i="160" s="1"/>
  <c r="AL124" i="160"/>
  <c r="AK124" i="160"/>
  <c r="AK107" i="161"/>
  <c r="AM54" i="161"/>
  <c r="AS54" i="161" s="1"/>
  <c r="AM75" i="161"/>
  <c r="AS75" i="161" s="1"/>
  <c r="AM68" i="161"/>
  <c r="AS68" i="161" s="1"/>
  <c r="AM83" i="161"/>
  <c r="AS83" i="161" s="1"/>
  <c r="AL107" i="161"/>
  <c r="AJ23" i="161"/>
  <c r="AM39" i="161"/>
  <c r="AJ107" i="161"/>
  <c r="AM101" i="161"/>
  <c r="AS101" i="161" s="1"/>
  <c r="AL84" i="161"/>
  <c r="AM61" i="161"/>
  <c r="AS61" i="161" s="1"/>
  <c r="AJ84" i="161"/>
  <c r="AM22" i="161"/>
  <c r="AS22" i="161" s="1"/>
  <c r="AM95" i="161"/>
  <c r="AS95" i="161" s="1"/>
  <c r="AK84" i="161"/>
  <c r="AM15" i="161"/>
  <c r="AS15" i="161" s="1"/>
  <c r="AM84" i="160"/>
  <c r="AS84" i="160" s="1"/>
  <c r="AJ124" i="160"/>
  <c r="AM44" i="160"/>
  <c r="AS44" i="160" s="1"/>
  <c r="AM23" i="160"/>
  <c r="AS23" i="160" s="1"/>
  <c r="H18" i="21"/>
  <c r="E18" i="21"/>
  <c r="AM44" i="161" l="1"/>
  <c r="AS44" i="161" s="1"/>
  <c r="AS39" i="161"/>
  <c r="AK124" i="161"/>
  <c r="AM84" i="161"/>
  <c r="AS84" i="161" s="1"/>
  <c r="AL124" i="161"/>
  <c r="AJ124" i="161"/>
  <c r="AM23" i="161"/>
  <c r="AS23" i="161" s="1"/>
  <c r="AM107" i="161"/>
  <c r="AS107" i="161" s="1"/>
  <c r="AM124" i="160"/>
  <c r="AS124" i="160" s="1"/>
  <c r="AM124" i="161" l="1"/>
  <c r="AS124" i="161" s="1"/>
  <c r="K42" i="281"/>
  <c r="Q42" i="281" s="1"/>
  <c r="J42" i="281"/>
  <c r="P42" i="281" s="1"/>
  <c r="I42" i="281"/>
  <c r="O42" i="281" s="1"/>
  <c r="AG49" i="261" l="1"/>
  <c r="AF47" i="261"/>
  <c r="AG46" i="261"/>
  <c r="AG45" i="261"/>
  <c r="AG43" i="261"/>
  <c r="AG42" i="261"/>
  <c r="AG41" i="261"/>
  <c r="AG39" i="261"/>
  <c r="AG38" i="261"/>
  <c r="AG37" i="261"/>
  <c r="AG36" i="261"/>
  <c r="AG35" i="261"/>
  <c r="AG34" i="261"/>
  <c r="AG33" i="261"/>
  <c r="AG32" i="261"/>
  <c r="AG31" i="261"/>
  <c r="AG30" i="261"/>
  <c r="AG29" i="261"/>
  <c r="AG27" i="261"/>
  <c r="AG26" i="261"/>
  <c r="AG25" i="261"/>
  <c r="AG24" i="261"/>
  <c r="AG23" i="261"/>
  <c r="AG22" i="261"/>
  <c r="AG21" i="261"/>
  <c r="AG20" i="261"/>
  <c r="AG19" i="261"/>
  <c r="AG18" i="261"/>
  <c r="AG17" i="261"/>
  <c r="AG16" i="261"/>
  <c r="AG15" i="261"/>
  <c r="AG14" i="261"/>
  <c r="AG13" i="261"/>
  <c r="AG12" i="261"/>
  <c r="AG11" i="261"/>
  <c r="AG10" i="261"/>
  <c r="AG9" i="261"/>
  <c r="AG8" i="261"/>
  <c r="AG7" i="261"/>
  <c r="AG6" i="261"/>
  <c r="AG5" i="261"/>
  <c r="AF48" i="261" l="1"/>
  <c r="AF51" i="261"/>
  <c r="M46" i="39"/>
  <c r="L12" i="276"/>
  <c r="AE71" i="308"/>
  <c r="AG71" i="308"/>
  <c r="AC71" i="308"/>
  <c r="AA71" i="308"/>
  <c r="Y71" i="308"/>
  <c r="W71" i="308"/>
  <c r="U71" i="308"/>
  <c r="S71" i="308"/>
  <c r="Q71" i="308"/>
  <c r="O71" i="308"/>
  <c r="M71" i="308"/>
  <c r="K71" i="308"/>
  <c r="I71" i="308"/>
  <c r="G71" i="308"/>
  <c r="AF72" i="308"/>
  <c r="AD72" i="308"/>
  <c r="AB72" i="308"/>
  <c r="Z72" i="308"/>
  <c r="X72" i="308"/>
  <c r="V72" i="308"/>
  <c r="T72" i="308"/>
  <c r="R72" i="308"/>
  <c r="P72" i="308"/>
  <c r="N72" i="308"/>
  <c r="L72" i="308"/>
  <c r="J72" i="308"/>
  <c r="H72" i="308"/>
  <c r="F72" i="308"/>
  <c r="E72" i="308"/>
  <c r="D72" i="308"/>
  <c r="C72" i="308"/>
  <c r="B72" i="308"/>
  <c r="M65" i="187"/>
  <c r="L65" i="187"/>
  <c r="K65" i="187"/>
  <c r="J65" i="187"/>
  <c r="I65" i="187"/>
  <c r="H65" i="187"/>
  <c r="G65" i="187"/>
  <c r="F65" i="187"/>
  <c r="E65" i="187"/>
  <c r="D65" i="187"/>
  <c r="C65" i="187"/>
  <c r="B65" i="187"/>
  <c r="M47" i="39" l="1"/>
  <c r="M50" i="39" s="1"/>
  <c r="AF111" i="308" l="1"/>
  <c r="AG110" i="308"/>
  <c r="AG109" i="308"/>
  <c r="AG108" i="308"/>
  <c r="AG107" i="308"/>
  <c r="AG106" i="308"/>
  <c r="AG105" i="308"/>
  <c r="AG104" i="308"/>
  <c r="AG103" i="308"/>
  <c r="AG102" i="308"/>
  <c r="AG101" i="308"/>
  <c r="AG100" i="308"/>
  <c r="AF98" i="308"/>
  <c r="AG97" i="308"/>
  <c r="AG96" i="308"/>
  <c r="AG95" i="308"/>
  <c r="AG94" i="308"/>
  <c r="AG93" i="308"/>
  <c r="AG92" i="308"/>
  <c r="AG91" i="308"/>
  <c r="AF86" i="308"/>
  <c r="AG85" i="308"/>
  <c r="AG84" i="308"/>
  <c r="AG83" i="308"/>
  <c r="AG82" i="308"/>
  <c r="AF80" i="308"/>
  <c r="AG79" i="308"/>
  <c r="AG78" i="308"/>
  <c r="AG77" i="308"/>
  <c r="AG76" i="308"/>
  <c r="AG75" i="308"/>
  <c r="AG74" i="308"/>
  <c r="AG70" i="308"/>
  <c r="AG69" i="308"/>
  <c r="AG68" i="308"/>
  <c r="AG67" i="308"/>
  <c r="AG66" i="308"/>
  <c r="AG65" i="308"/>
  <c r="AG64" i="308"/>
  <c r="AG63" i="308"/>
  <c r="AG62" i="308"/>
  <c r="AG61" i="308"/>
  <c r="AF56" i="308"/>
  <c r="AG55" i="308"/>
  <c r="AG54" i="308"/>
  <c r="AF52" i="308"/>
  <c r="AG51" i="308"/>
  <c r="AG50" i="308"/>
  <c r="AG49" i="308"/>
  <c r="AF47" i="308"/>
  <c r="AG46" i="308"/>
  <c r="AG45" i="308"/>
  <c r="AF43" i="308"/>
  <c r="AG42" i="308"/>
  <c r="AG41" i="308"/>
  <c r="AG40" i="308"/>
  <c r="AG39" i="308"/>
  <c r="AG38" i="308"/>
  <c r="AF36" i="308"/>
  <c r="AG35" i="308"/>
  <c r="AG34" i="308"/>
  <c r="AF29" i="308"/>
  <c r="AG28" i="308"/>
  <c r="AG27" i="308"/>
  <c r="AG26" i="308"/>
  <c r="AG25" i="308"/>
  <c r="AG22" i="308"/>
  <c r="AG21" i="308"/>
  <c r="AF18" i="308"/>
  <c r="AG17" i="308"/>
  <c r="AG16" i="308"/>
  <c r="AG15" i="308"/>
  <c r="AG14" i="308"/>
  <c r="AG13" i="308"/>
  <c r="AG12" i="308"/>
  <c r="AG11" i="308"/>
  <c r="AF9" i="308"/>
  <c r="AG8" i="308"/>
  <c r="AG7" i="308"/>
  <c r="AG6" i="308"/>
  <c r="M104" i="187"/>
  <c r="M91" i="187"/>
  <c r="M79" i="187"/>
  <c r="M73" i="187"/>
  <c r="M52" i="187"/>
  <c r="M48" i="187"/>
  <c r="M44" i="187"/>
  <c r="M40" i="187"/>
  <c r="M33" i="187"/>
  <c r="M26" i="187"/>
  <c r="M17" i="187"/>
  <c r="M9" i="187"/>
  <c r="AF112" i="308" l="1"/>
  <c r="AF57" i="308"/>
  <c r="AF30" i="308"/>
  <c r="AF87" i="308"/>
  <c r="M105" i="187"/>
  <c r="M80" i="187"/>
  <c r="M53" i="187"/>
  <c r="M27" i="187"/>
  <c r="N74" i="286"/>
  <c r="M74" i="286"/>
  <c r="L74" i="286"/>
  <c r="K74" i="286"/>
  <c r="J74" i="286"/>
  <c r="I74" i="286"/>
  <c r="H74" i="286"/>
  <c r="G74" i="286"/>
  <c r="F74" i="286"/>
  <c r="E74" i="286"/>
  <c r="D74" i="286"/>
  <c r="C74" i="286"/>
  <c r="B74" i="286"/>
  <c r="AF113" i="308" l="1"/>
  <c r="M106" i="187"/>
  <c r="M49" i="196"/>
  <c r="N49" i="196" s="1"/>
  <c r="M126" i="196"/>
  <c r="P126" i="196" s="1"/>
  <c r="M129" i="196"/>
  <c r="M133" i="196" s="1"/>
  <c r="M27" i="196"/>
  <c r="K27" i="196"/>
  <c r="I27" i="196"/>
  <c r="G27" i="196"/>
  <c r="C27" i="196"/>
  <c r="N22" i="196"/>
  <c r="L22" i="196"/>
  <c r="J22" i="196"/>
  <c r="H22" i="196"/>
  <c r="F22" i="196"/>
  <c r="D22" i="196"/>
  <c r="N132" i="196"/>
  <c r="N131" i="196"/>
  <c r="N130" i="196"/>
  <c r="N125" i="196"/>
  <c r="N124" i="196"/>
  <c r="N123" i="196"/>
  <c r="N122" i="196"/>
  <c r="N120" i="196"/>
  <c r="N119" i="196"/>
  <c r="N118" i="196"/>
  <c r="N117" i="196"/>
  <c r="N116" i="196"/>
  <c r="N115" i="196"/>
  <c r="M113" i="196"/>
  <c r="N112" i="196"/>
  <c r="N111" i="196"/>
  <c r="N110" i="196"/>
  <c r="N109" i="196"/>
  <c r="N108" i="196"/>
  <c r="N107" i="196"/>
  <c r="M102" i="196"/>
  <c r="N101" i="196"/>
  <c r="N100" i="196"/>
  <c r="N99" i="196"/>
  <c r="N98" i="196"/>
  <c r="N97" i="196"/>
  <c r="N96" i="196"/>
  <c r="M94" i="196"/>
  <c r="N93" i="196"/>
  <c r="N92" i="196"/>
  <c r="N91" i="196"/>
  <c r="N90" i="196"/>
  <c r="N89" i="196"/>
  <c r="N88" i="196"/>
  <c r="N87" i="196"/>
  <c r="M85" i="196"/>
  <c r="N84" i="196"/>
  <c r="N83" i="196"/>
  <c r="N82" i="196"/>
  <c r="N81" i="196"/>
  <c r="N80" i="196"/>
  <c r="N79" i="196"/>
  <c r="N78" i="196"/>
  <c r="N77" i="196"/>
  <c r="N76" i="196"/>
  <c r="N75" i="196"/>
  <c r="N74" i="196"/>
  <c r="N73" i="196"/>
  <c r="N72" i="196"/>
  <c r="N71" i="196"/>
  <c r="M66" i="196"/>
  <c r="N65" i="196"/>
  <c r="N64" i="196"/>
  <c r="N63" i="196"/>
  <c r="N62" i="196"/>
  <c r="N61" i="196"/>
  <c r="N60" i="196"/>
  <c r="N59" i="196"/>
  <c r="N58" i="196"/>
  <c r="M56" i="196"/>
  <c r="N55" i="196"/>
  <c r="N54" i="196"/>
  <c r="N53" i="196"/>
  <c r="N50" i="196"/>
  <c r="M47" i="196"/>
  <c r="N46" i="196"/>
  <c r="N45" i="196"/>
  <c r="N44" i="196"/>
  <c r="N43" i="196"/>
  <c r="M41" i="196"/>
  <c r="N40" i="196"/>
  <c r="N38" i="196"/>
  <c r="M33" i="196"/>
  <c r="N32" i="196"/>
  <c r="N31" i="196"/>
  <c r="N30" i="196"/>
  <c r="N29" i="196"/>
  <c r="N26" i="196"/>
  <c r="N25" i="196"/>
  <c r="N24" i="196"/>
  <c r="N23" i="196"/>
  <c r="M20" i="196"/>
  <c r="N19" i="196"/>
  <c r="N18" i="196"/>
  <c r="N17" i="196"/>
  <c r="N16" i="196"/>
  <c r="N15" i="196"/>
  <c r="N14" i="196"/>
  <c r="N13" i="196"/>
  <c r="N12" i="196"/>
  <c r="M10" i="196"/>
  <c r="N9" i="196"/>
  <c r="N8" i="196"/>
  <c r="N7" i="196"/>
  <c r="N6" i="196"/>
  <c r="N5" i="196"/>
  <c r="AG115" i="184"/>
  <c r="AF115" i="184"/>
  <c r="AE115" i="184"/>
  <c r="AB115" i="184"/>
  <c r="AA115" i="184"/>
  <c r="Z115" i="184"/>
  <c r="W115" i="184"/>
  <c r="V115" i="184"/>
  <c r="U115" i="184"/>
  <c r="R115" i="184"/>
  <c r="Q115" i="184"/>
  <c r="P115" i="184"/>
  <c r="M115" i="184"/>
  <c r="L115" i="184"/>
  <c r="K115" i="184"/>
  <c r="H115" i="184"/>
  <c r="G115" i="184"/>
  <c r="F115" i="184"/>
  <c r="D115" i="184"/>
  <c r="C115" i="184"/>
  <c r="B115" i="184"/>
  <c r="AG105" i="184"/>
  <c r="AF105" i="184"/>
  <c r="AE105" i="184"/>
  <c r="AB105" i="184"/>
  <c r="AA105" i="184"/>
  <c r="Z105" i="184"/>
  <c r="W105" i="184"/>
  <c r="V105" i="184"/>
  <c r="U105" i="184"/>
  <c r="R105" i="184"/>
  <c r="Q105" i="184"/>
  <c r="P105" i="184"/>
  <c r="M105" i="184"/>
  <c r="L105" i="184"/>
  <c r="K105" i="184"/>
  <c r="H105" i="184"/>
  <c r="G105" i="184"/>
  <c r="F105" i="184"/>
  <c r="D105" i="184"/>
  <c r="C105" i="184"/>
  <c r="B105" i="184"/>
  <c r="AG80" i="184"/>
  <c r="AF80" i="184"/>
  <c r="AE80" i="184"/>
  <c r="AB80" i="184"/>
  <c r="AA80" i="184"/>
  <c r="Z80" i="184"/>
  <c r="W80" i="184"/>
  <c r="V80" i="184"/>
  <c r="U80" i="184"/>
  <c r="R80" i="184"/>
  <c r="Q80" i="184"/>
  <c r="P80" i="184"/>
  <c r="M80" i="184"/>
  <c r="L80" i="184"/>
  <c r="K80" i="184"/>
  <c r="H80" i="184"/>
  <c r="G80" i="184"/>
  <c r="F80" i="184"/>
  <c r="D80" i="184"/>
  <c r="C80" i="184"/>
  <c r="B80" i="184"/>
  <c r="AG121" i="184"/>
  <c r="AF121" i="184"/>
  <c r="AE121" i="184"/>
  <c r="AG120" i="184"/>
  <c r="AF120" i="184"/>
  <c r="AE120" i="184"/>
  <c r="AG119" i="184"/>
  <c r="AF119" i="184"/>
  <c r="AE119" i="184"/>
  <c r="AG118" i="184"/>
  <c r="AF118" i="184"/>
  <c r="AE118" i="184"/>
  <c r="AG117" i="184"/>
  <c r="AF117" i="184"/>
  <c r="AE117" i="184"/>
  <c r="AG116" i="184"/>
  <c r="AF116" i="184"/>
  <c r="AE116" i="184"/>
  <c r="AG114" i="184"/>
  <c r="AF114" i="184"/>
  <c r="AE114" i="184"/>
  <c r="AG113" i="184"/>
  <c r="AF113" i="184"/>
  <c r="AE113" i="184"/>
  <c r="AG107" i="184"/>
  <c r="AF107" i="184"/>
  <c r="AE107" i="184"/>
  <c r="AG106" i="184"/>
  <c r="AF106" i="184"/>
  <c r="AE106" i="184"/>
  <c r="AG102" i="184"/>
  <c r="AF102" i="184"/>
  <c r="AE102" i="184"/>
  <c r="AG101" i="184"/>
  <c r="AF101" i="184"/>
  <c r="AE101" i="184"/>
  <c r="AG100" i="184"/>
  <c r="AF100" i="184"/>
  <c r="AE100" i="184"/>
  <c r="AG99" i="184"/>
  <c r="AF99" i="184"/>
  <c r="AE99" i="184"/>
  <c r="AG98" i="184"/>
  <c r="AF98" i="184"/>
  <c r="AE98" i="184"/>
  <c r="AG95" i="184"/>
  <c r="AF95" i="184"/>
  <c r="AE95" i="184"/>
  <c r="AG94" i="184"/>
  <c r="AF94" i="184"/>
  <c r="AE94" i="184"/>
  <c r="AG92" i="184"/>
  <c r="AF92" i="184"/>
  <c r="AE92" i="184"/>
  <c r="AG83" i="184"/>
  <c r="AF83" i="184"/>
  <c r="AE83" i="184"/>
  <c r="AG81" i="184"/>
  <c r="AF81" i="184"/>
  <c r="AE81" i="184"/>
  <c r="AG79" i="184"/>
  <c r="AF79" i="184"/>
  <c r="AE79" i="184"/>
  <c r="AG75" i="184"/>
  <c r="AF75" i="184"/>
  <c r="AE75" i="184"/>
  <c r="AG74" i="184"/>
  <c r="AF74" i="184"/>
  <c r="AE74" i="184"/>
  <c r="AG73" i="184"/>
  <c r="AF73" i="184"/>
  <c r="AE73" i="184"/>
  <c r="AG72" i="184"/>
  <c r="AF72" i="184"/>
  <c r="AE72" i="184"/>
  <c r="AG71" i="184"/>
  <c r="AF71" i="184"/>
  <c r="AE71" i="184"/>
  <c r="AG68" i="184"/>
  <c r="AF68" i="184"/>
  <c r="AE68" i="184"/>
  <c r="AG67" i="184"/>
  <c r="AF67" i="184"/>
  <c r="AE67" i="184"/>
  <c r="AG66" i="184"/>
  <c r="AF66" i="184"/>
  <c r="AE66" i="184"/>
  <c r="AG65" i="184"/>
  <c r="AF65" i="184"/>
  <c r="AE65" i="184"/>
  <c r="AG64" i="184"/>
  <c r="AF64" i="184"/>
  <c r="AE64" i="184"/>
  <c r="AG61" i="184"/>
  <c r="AF61" i="184"/>
  <c r="AE61" i="184"/>
  <c r="AG60" i="184"/>
  <c r="AF60" i="184"/>
  <c r="AE60" i="184"/>
  <c r="AG59" i="184"/>
  <c r="AF59" i="184"/>
  <c r="AE59" i="184"/>
  <c r="AG58" i="184"/>
  <c r="AF58" i="184"/>
  <c r="AE58" i="184"/>
  <c r="AG57" i="184"/>
  <c r="AF57" i="184"/>
  <c r="AE57" i="184"/>
  <c r="AG56" i="184"/>
  <c r="AF56" i="184"/>
  <c r="AE56" i="184"/>
  <c r="AG53" i="184"/>
  <c r="AF53" i="184"/>
  <c r="AE53" i="184"/>
  <c r="AG52" i="184"/>
  <c r="AF52" i="184"/>
  <c r="AE52" i="184"/>
  <c r="AG44" i="184"/>
  <c r="AF44" i="184"/>
  <c r="AE44" i="184"/>
  <c r="AG42" i="184"/>
  <c r="AF42" i="184"/>
  <c r="AE42" i="184"/>
  <c r="AG39" i="184"/>
  <c r="AF39" i="184"/>
  <c r="AE39" i="184"/>
  <c r="AG38" i="184"/>
  <c r="AF38" i="184"/>
  <c r="AE38" i="184"/>
  <c r="AG37" i="184"/>
  <c r="AF37" i="184"/>
  <c r="AE37" i="184"/>
  <c r="AG36" i="184"/>
  <c r="AF36" i="184"/>
  <c r="AE36" i="184"/>
  <c r="AG35" i="184"/>
  <c r="AF35" i="184"/>
  <c r="AE35" i="184"/>
  <c r="AG34" i="184"/>
  <c r="AF34" i="184"/>
  <c r="AE34" i="184"/>
  <c r="AG33" i="184"/>
  <c r="AF33" i="184"/>
  <c r="AE33" i="184"/>
  <c r="AG32" i="184"/>
  <c r="AF32" i="184"/>
  <c r="AE32" i="184"/>
  <c r="AG31" i="184"/>
  <c r="AF31" i="184"/>
  <c r="AE31" i="184"/>
  <c r="AG22" i="184"/>
  <c r="AF22" i="184"/>
  <c r="AE22" i="184"/>
  <c r="AG21" i="184"/>
  <c r="AF21" i="184"/>
  <c r="AE21" i="184"/>
  <c r="AG19" i="184"/>
  <c r="AF19" i="184"/>
  <c r="AE19" i="184"/>
  <c r="AG18" i="184"/>
  <c r="AF18" i="184"/>
  <c r="AE18" i="184"/>
  <c r="AG15" i="184"/>
  <c r="AF15" i="184"/>
  <c r="AE15" i="184"/>
  <c r="AG14" i="184"/>
  <c r="AF14" i="184"/>
  <c r="AE14" i="184"/>
  <c r="AG13" i="184"/>
  <c r="AF13" i="184"/>
  <c r="AE13" i="184"/>
  <c r="AG12" i="184"/>
  <c r="AF12" i="184"/>
  <c r="AE12" i="184"/>
  <c r="AG11" i="184"/>
  <c r="AF11" i="184"/>
  <c r="AE11" i="184"/>
  <c r="AG10" i="184"/>
  <c r="AF10" i="184"/>
  <c r="AE10" i="184"/>
  <c r="AG9" i="184"/>
  <c r="AF9" i="184"/>
  <c r="AE9" i="184"/>
  <c r="AG8" i="184"/>
  <c r="AF8" i="184"/>
  <c r="AE8" i="184"/>
  <c r="AG7" i="184"/>
  <c r="AF7" i="184"/>
  <c r="AE7" i="184"/>
  <c r="AB31" i="184"/>
  <c r="AA31" i="184"/>
  <c r="Z31" i="184"/>
  <c r="W31" i="184"/>
  <c r="V31" i="184"/>
  <c r="U31" i="184"/>
  <c r="R31" i="184"/>
  <c r="Q31" i="184"/>
  <c r="P31" i="184"/>
  <c r="M31" i="184"/>
  <c r="L31" i="184"/>
  <c r="K31" i="184"/>
  <c r="H31" i="184"/>
  <c r="G31" i="184"/>
  <c r="F31" i="184"/>
  <c r="D31" i="184"/>
  <c r="C31" i="184"/>
  <c r="B31" i="184"/>
  <c r="AH115" i="183"/>
  <c r="AN115" i="183" s="1"/>
  <c r="AC115" i="183"/>
  <c r="X115" i="183"/>
  <c r="Y115" i="183" s="1"/>
  <c r="S115" i="183"/>
  <c r="N115" i="183"/>
  <c r="I115" i="183"/>
  <c r="E115" i="183"/>
  <c r="E113" i="183"/>
  <c r="AH80" i="183"/>
  <c r="AN80" i="183" s="1"/>
  <c r="AC80" i="183"/>
  <c r="X80" i="183"/>
  <c r="S80" i="183"/>
  <c r="N80" i="183"/>
  <c r="I80" i="183"/>
  <c r="E80" i="183"/>
  <c r="AE123" i="184" l="1"/>
  <c r="AF123" i="184"/>
  <c r="AG123" i="184"/>
  <c r="AD80" i="183"/>
  <c r="O80" i="183"/>
  <c r="Y80" i="183"/>
  <c r="AG84" i="184"/>
  <c r="AE84" i="184"/>
  <c r="AF84" i="184"/>
  <c r="E115" i="184"/>
  <c r="AH38" i="184"/>
  <c r="AN38" i="184" s="1"/>
  <c r="AG54" i="184"/>
  <c r="S115" i="184"/>
  <c r="AE40" i="184"/>
  <c r="AF96" i="184"/>
  <c r="AE108" i="184"/>
  <c r="AC115" i="184"/>
  <c r="AF40" i="184"/>
  <c r="AF45" i="184" s="1"/>
  <c r="AG40" i="184"/>
  <c r="AG45" i="184" s="1"/>
  <c r="AG108" i="184"/>
  <c r="I115" i="184"/>
  <c r="AF108" i="184"/>
  <c r="N105" i="184"/>
  <c r="AH105" i="184"/>
  <c r="AN105" i="184" s="1"/>
  <c r="T80" i="183"/>
  <c r="O115" i="183"/>
  <c r="X105" i="184"/>
  <c r="T115" i="183"/>
  <c r="AH115" i="184"/>
  <c r="AD115" i="183"/>
  <c r="E105" i="184"/>
  <c r="J80" i="183"/>
  <c r="AH57" i="184"/>
  <c r="AN57" i="184" s="1"/>
  <c r="AH95" i="184"/>
  <c r="AN95" i="184" s="1"/>
  <c r="X80" i="184"/>
  <c r="N115" i="184"/>
  <c r="X115" i="184"/>
  <c r="M51" i="196"/>
  <c r="N129" i="196"/>
  <c r="N27" i="196"/>
  <c r="M127" i="196"/>
  <c r="P127" i="196" s="1"/>
  <c r="M103" i="196"/>
  <c r="M34" i="196"/>
  <c r="AC105" i="184"/>
  <c r="AF54" i="184"/>
  <c r="AH99" i="184"/>
  <c r="AN99" i="184" s="1"/>
  <c r="I80" i="184"/>
  <c r="X31" i="184"/>
  <c r="AH18" i="184"/>
  <c r="AN18" i="184" s="1"/>
  <c r="AG23" i="184"/>
  <c r="I105" i="184"/>
  <c r="S105" i="184"/>
  <c r="I31" i="184"/>
  <c r="AH21" i="184"/>
  <c r="AN21" i="184" s="1"/>
  <c r="AH34" i="184"/>
  <c r="AN34" i="184" s="1"/>
  <c r="AH36" i="184"/>
  <c r="AN36" i="184" s="1"/>
  <c r="AH65" i="184"/>
  <c r="AN65" i="184" s="1"/>
  <c r="AH92" i="184"/>
  <c r="AN92" i="184" s="1"/>
  <c r="AH120" i="184"/>
  <c r="AN120" i="184" s="1"/>
  <c r="N80" i="184"/>
  <c r="AH19" i="184"/>
  <c r="AN19" i="184" s="1"/>
  <c r="AH58" i="184"/>
  <c r="AN58" i="184" s="1"/>
  <c r="AG96" i="184"/>
  <c r="AH102" i="184"/>
  <c r="AN102" i="184" s="1"/>
  <c r="AH117" i="184"/>
  <c r="AN117" i="184" s="1"/>
  <c r="AH80" i="184"/>
  <c r="AN80" i="184" s="1"/>
  <c r="N31" i="184"/>
  <c r="AF23" i="184"/>
  <c r="AH22" i="184"/>
  <c r="AN22" i="184" s="1"/>
  <c r="AH42" i="184"/>
  <c r="AN42" i="184" s="1"/>
  <c r="AH66" i="184"/>
  <c r="AN66" i="184" s="1"/>
  <c r="AE76" i="184"/>
  <c r="AH73" i="184"/>
  <c r="AN73" i="184" s="1"/>
  <c r="AE96" i="184"/>
  <c r="AH121" i="184"/>
  <c r="AN121" i="184" s="1"/>
  <c r="E80" i="184"/>
  <c r="S80" i="184"/>
  <c r="AC80" i="184"/>
  <c r="AF16" i="184"/>
  <c r="AH12" i="184"/>
  <c r="AN12" i="184" s="1"/>
  <c r="AH59" i="184"/>
  <c r="AN59" i="184" s="1"/>
  <c r="AG103" i="184"/>
  <c r="AH114" i="184"/>
  <c r="AN114" i="184" s="1"/>
  <c r="AG16" i="184"/>
  <c r="AH10" i="184"/>
  <c r="AN10" i="184" s="1"/>
  <c r="AH14" i="184"/>
  <c r="AN14" i="184" s="1"/>
  <c r="AH32" i="184"/>
  <c r="AN32" i="184" s="1"/>
  <c r="AG62" i="184"/>
  <c r="AH60" i="184"/>
  <c r="AN60" i="184" s="1"/>
  <c r="AH61" i="184"/>
  <c r="AN61" i="184" s="1"/>
  <c r="AH67" i="184"/>
  <c r="AN67" i="184" s="1"/>
  <c r="AH68" i="184"/>
  <c r="AN68" i="184" s="1"/>
  <c r="AH81" i="184"/>
  <c r="AN81" i="184" s="1"/>
  <c r="AH83" i="184"/>
  <c r="AN83" i="184" s="1"/>
  <c r="AH94" i="184"/>
  <c r="AN94" i="184" s="1"/>
  <c r="AH98" i="184"/>
  <c r="AN98" i="184" s="1"/>
  <c r="AF103" i="184"/>
  <c r="AH106" i="184"/>
  <c r="AH107" i="184"/>
  <c r="AN107" i="184" s="1"/>
  <c r="AH116" i="184"/>
  <c r="AN116" i="184" s="1"/>
  <c r="E31" i="184"/>
  <c r="S31" i="184"/>
  <c r="AC31" i="184"/>
  <c r="AF62" i="184"/>
  <c r="AH64" i="184"/>
  <c r="AN64" i="184" s="1"/>
  <c r="AG69" i="184"/>
  <c r="AF76" i="184"/>
  <c r="AG76" i="184"/>
  <c r="AH74" i="184"/>
  <c r="AN74" i="184" s="1"/>
  <c r="AH75" i="184"/>
  <c r="AN75" i="184" s="1"/>
  <c r="AH100" i="184"/>
  <c r="AN100" i="184" s="1"/>
  <c r="AH101" i="184"/>
  <c r="AN101" i="184" s="1"/>
  <c r="AH118" i="184"/>
  <c r="AN118" i="184" s="1"/>
  <c r="AH119" i="184"/>
  <c r="AN119" i="184" s="1"/>
  <c r="AE23" i="184"/>
  <c r="AH8" i="184"/>
  <c r="AN8" i="184" s="1"/>
  <c r="AH31" i="184"/>
  <c r="AN31" i="184" s="1"/>
  <c r="AH33" i="184"/>
  <c r="AN33" i="184" s="1"/>
  <c r="AH35" i="184"/>
  <c r="AN35" i="184" s="1"/>
  <c r="AH37" i="184"/>
  <c r="AN37" i="184" s="1"/>
  <c r="AH39" i="184"/>
  <c r="AN39" i="184" s="1"/>
  <c r="AH52" i="184"/>
  <c r="AN52" i="184" s="1"/>
  <c r="AE45" i="184"/>
  <c r="AH56" i="184"/>
  <c r="AN56" i="184" s="1"/>
  <c r="AE62" i="184"/>
  <c r="AH7" i="184"/>
  <c r="AN7" i="184" s="1"/>
  <c r="AE16" i="184"/>
  <c r="AH9" i="184"/>
  <c r="AN9" i="184" s="1"/>
  <c r="AH11" i="184"/>
  <c r="AN11" i="184" s="1"/>
  <c r="AH13" i="184"/>
  <c r="AN13" i="184" s="1"/>
  <c r="AH15" i="184"/>
  <c r="AN15" i="184" s="1"/>
  <c r="AH44" i="184"/>
  <c r="AN44" i="184" s="1"/>
  <c r="AE54" i="184"/>
  <c r="AH53" i="184"/>
  <c r="AN53" i="184" s="1"/>
  <c r="AE69" i="184"/>
  <c r="AH71" i="184"/>
  <c r="AN71" i="184" s="1"/>
  <c r="AF69" i="184"/>
  <c r="AH72" i="184"/>
  <c r="AN72" i="184" s="1"/>
  <c r="AE103" i="184"/>
  <c r="AH113" i="184"/>
  <c r="AH79" i="184"/>
  <c r="AI115" i="183"/>
  <c r="J115" i="183"/>
  <c r="AI80" i="183"/>
  <c r="AG40" i="183"/>
  <c r="AF40" i="183"/>
  <c r="AE40" i="183"/>
  <c r="AB40" i="183"/>
  <c r="AA40" i="183"/>
  <c r="Z40" i="183"/>
  <c r="W40" i="183"/>
  <c r="V40" i="183"/>
  <c r="U40" i="183"/>
  <c r="R40" i="183"/>
  <c r="Q40" i="183"/>
  <c r="P40" i="183"/>
  <c r="M40" i="183"/>
  <c r="L40" i="183"/>
  <c r="K40" i="183"/>
  <c r="H40" i="183"/>
  <c r="G40" i="183"/>
  <c r="F40" i="183"/>
  <c r="D40" i="183"/>
  <c r="C40" i="183"/>
  <c r="B40" i="183"/>
  <c r="AH31" i="183"/>
  <c r="AN31" i="183" s="1"/>
  <c r="AC31" i="183"/>
  <c r="X31" i="183"/>
  <c r="S31" i="183"/>
  <c r="N31" i="183"/>
  <c r="I31" i="183"/>
  <c r="E31" i="183"/>
  <c r="AD115" i="184" l="1"/>
  <c r="AN113" i="184"/>
  <c r="AH123" i="184"/>
  <c r="AG24" i="184"/>
  <c r="J80" i="184"/>
  <c r="T115" i="184"/>
  <c r="AN79" i="184"/>
  <c r="AH84" i="184"/>
  <c r="AN84" i="184" s="1"/>
  <c r="AD80" i="184"/>
  <c r="Y80" i="184"/>
  <c r="J115" i="184"/>
  <c r="AH108" i="184"/>
  <c r="AN108" i="184" s="1"/>
  <c r="AN106" i="184"/>
  <c r="O80" i="184"/>
  <c r="O115" i="184"/>
  <c r="AI115" i="184"/>
  <c r="AN115" i="184"/>
  <c r="J105" i="184"/>
  <c r="AH40" i="184"/>
  <c r="AN40" i="184" s="1"/>
  <c r="AD31" i="184"/>
  <c r="O31" i="184"/>
  <c r="AH23" i="184"/>
  <c r="AN23" i="184" s="1"/>
  <c r="T31" i="183"/>
  <c r="Y31" i="184"/>
  <c r="AH96" i="184"/>
  <c r="AN96" i="184" s="1"/>
  <c r="T80" i="184"/>
  <c r="Y105" i="184"/>
  <c r="AD105" i="184"/>
  <c r="M67" i="196"/>
  <c r="Y115" i="184"/>
  <c r="M134" i="196"/>
  <c r="P134" i="196" s="1"/>
  <c r="O105" i="184"/>
  <c r="AI105" i="184"/>
  <c r="J31" i="184"/>
  <c r="AI31" i="184"/>
  <c r="AH69" i="184"/>
  <c r="AN69" i="184" s="1"/>
  <c r="AF24" i="184"/>
  <c r="T105" i="184"/>
  <c r="AE109" i="184"/>
  <c r="T31" i="184"/>
  <c r="AG85" i="184"/>
  <c r="AG109" i="184"/>
  <c r="AI80" i="184"/>
  <c r="AH103" i="184"/>
  <c r="AN103" i="184" s="1"/>
  <c r="AF109" i="184"/>
  <c r="AF85" i="184"/>
  <c r="AH76" i="184"/>
  <c r="AN76" i="184" s="1"/>
  <c r="AH62" i="184"/>
  <c r="AN62" i="184" s="1"/>
  <c r="AH54" i="184"/>
  <c r="AN54" i="184" s="1"/>
  <c r="AE24" i="184"/>
  <c r="AN123" i="184"/>
  <c r="AE85" i="184"/>
  <c r="AH16" i="184"/>
  <c r="AN16" i="184" s="1"/>
  <c r="AI31" i="183"/>
  <c r="AD31" i="183"/>
  <c r="Y31" i="183"/>
  <c r="O31" i="183"/>
  <c r="J31" i="183"/>
  <c r="AG103" i="183"/>
  <c r="AF103" i="183"/>
  <c r="AE103" i="183"/>
  <c r="AG96" i="183"/>
  <c r="AF96" i="183"/>
  <c r="AE96" i="183"/>
  <c r="AG76" i="183"/>
  <c r="AF76" i="183"/>
  <c r="AE76" i="183"/>
  <c r="AG62" i="183"/>
  <c r="AF62" i="183"/>
  <c r="AE62" i="183"/>
  <c r="AG54" i="183"/>
  <c r="AF54" i="183"/>
  <c r="AE54" i="183"/>
  <c r="AE45" i="183"/>
  <c r="AG45" i="183"/>
  <c r="AF45" i="183"/>
  <c r="AG23" i="183"/>
  <c r="AF23" i="183"/>
  <c r="AE23" i="183"/>
  <c r="AG16" i="183"/>
  <c r="AF16" i="183"/>
  <c r="AE16" i="183"/>
  <c r="AG108" i="183"/>
  <c r="AF108" i="183"/>
  <c r="AE108" i="183"/>
  <c r="AB108" i="183"/>
  <c r="AA108" i="183"/>
  <c r="Z108" i="183"/>
  <c r="W108" i="183"/>
  <c r="V108" i="183"/>
  <c r="U108" i="183"/>
  <c r="R108" i="183"/>
  <c r="Q108" i="183"/>
  <c r="P108" i="183"/>
  <c r="M108" i="183"/>
  <c r="L108" i="183"/>
  <c r="K108" i="183"/>
  <c r="H108" i="183"/>
  <c r="G108" i="183"/>
  <c r="F108" i="183"/>
  <c r="D108" i="183"/>
  <c r="C108" i="183"/>
  <c r="B108" i="183"/>
  <c r="AH105" i="183"/>
  <c r="AN105" i="183" s="1"/>
  <c r="AC105" i="183"/>
  <c r="AD105" i="183" s="1"/>
  <c r="S105" i="183"/>
  <c r="N105" i="183"/>
  <c r="I105" i="183"/>
  <c r="E105" i="183"/>
  <c r="AH45" i="184" l="1"/>
  <c r="AN45" i="184" s="1"/>
  <c r="AI105" i="183"/>
  <c r="AG126" i="184"/>
  <c r="T105" i="183"/>
  <c r="AH109" i="184"/>
  <c r="AN109" i="184" s="1"/>
  <c r="AH24" i="184"/>
  <c r="AN24" i="184" s="1"/>
  <c r="AE126" i="184"/>
  <c r="AF126" i="184"/>
  <c r="AH85" i="184"/>
  <c r="AN85" i="184" s="1"/>
  <c r="AE24" i="183"/>
  <c r="Y105" i="183"/>
  <c r="J105" i="183"/>
  <c r="O105" i="183"/>
  <c r="AF85" i="183"/>
  <c r="AE85" i="183"/>
  <c r="AG85" i="183"/>
  <c r="AG24" i="183"/>
  <c r="AF24" i="183"/>
  <c r="AE109" i="183"/>
  <c r="AF109" i="183"/>
  <c r="AG109" i="183"/>
  <c r="AC12" i="181"/>
  <c r="AC11" i="181"/>
  <c r="AC10" i="181"/>
  <c r="AC9" i="181"/>
  <c r="AC8" i="181"/>
  <c r="AC7" i="181"/>
  <c r="AC6" i="181"/>
  <c r="AC5" i="181"/>
  <c r="M24" i="181"/>
  <c r="N22" i="181"/>
  <c r="N20" i="181"/>
  <c r="M18" i="181"/>
  <c r="N16" i="181"/>
  <c r="N14" i="181"/>
  <c r="N12" i="181"/>
  <c r="N10" i="181"/>
  <c r="N8" i="181"/>
  <c r="N6" i="181"/>
  <c r="AH126" i="184" l="1"/>
  <c r="AN126" i="184" s="1"/>
  <c r="AC13" i="181"/>
  <c r="M26" i="181"/>
  <c r="AH121" i="183"/>
  <c r="AN121" i="183" s="1"/>
  <c r="AH120" i="183"/>
  <c r="AN120" i="183" s="1"/>
  <c r="AH119" i="183"/>
  <c r="AN119" i="183" s="1"/>
  <c r="AH118" i="183"/>
  <c r="AN118" i="183" s="1"/>
  <c r="AH117" i="183"/>
  <c r="AN117" i="183" s="1"/>
  <c r="AH116" i="183"/>
  <c r="AN116" i="183" s="1"/>
  <c r="AH114" i="183"/>
  <c r="AN114" i="183" s="1"/>
  <c r="AH113" i="183"/>
  <c r="AH107" i="183"/>
  <c r="AN107" i="183" s="1"/>
  <c r="AH106" i="183"/>
  <c r="AN106" i="183" s="1"/>
  <c r="AH102" i="183"/>
  <c r="AN102" i="183" s="1"/>
  <c r="AH101" i="183"/>
  <c r="AN101" i="183" s="1"/>
  <c r="AH100" i="183"/>
  <c r="AN100" i="183" s="1"/>
  <c r="AH99" i="183"/>
  <c r="AN99" i="183" s="1"/>
  <c r="AH98" i="183"/>
  <c r="AN98" i="183" s="1"/>
  <c r="AH95" i="183"/>
  <c r="AN95" i="183" s="1"/>
  <c r="AH94" i="183"/>
  <c r="AH92" i="183"/>
  <c r="AN92" i="183" s="1"/>
  <c r="AH83" i="183"/>
  <c r="AN83" i="183" s="1"/>
  <c r="AH81" i="183"/>
  <c r="AN81" i="183" s="1"/>
  <c r="AH79" i="183"/>
  <c r="AH75" i="183"/>
  <c r="AN75" i="183" s="1"/>
  <c r="AH74" i="183"/>
  <c r="AN74" i="183" s="1"/>
  <c r="AH73" i="183"/>
  <c r="AN73" i="183" s="1"/>
  <c r="AH72" i="183"/>
  <c r="AN72" i="183" s="1"/>
  <c r="AH71" i="183"/>
  <c r="AN71" i="183" s="1"/>
  <c r="AH68" i="183"/>
  <c r="AN68" i="183" s="1"/>
  <c r="AH67" i="183"/>
  <c r="AN67" i="183" s="1"/>
  <c r="AH66" i="183"/>
  <c r="AN66" i="183" s="1"/>
  <c r="AH65" i="183"/>
  <c r="AN65" i="183" s="1"/>
  <c r="AH64" i="183"/>
  <c r="AH61" i="183"/>
  <c r="AN61" i="183" s="1"/>
  <c r="AH60" i="183"/>
  <c r="AN60" i="183" s="1"/>
  <c r="AH59" i="183"/>
  <c r="AN59" i="183" s="1"/>
  <c r="AH58" i="183"/>
  <c r="AN58" i="183" s="1"/>
  <c r="AH57" i="183"/>
  <c r="AN57" i="183" s="1"/>
  <c r="AH56" i="183"/>
  <c r="AN56" i="183" s="1"/>
  <c r="AH53" i="183"/>
  <c r="AN53" i="183" s="1"/>
  <c r="AH52" i="183"/>
  <c r="AN52" i="183" s="1"/>
  <c r="AH44" i="183"/>
  <c r="AN44" i="183" s="1"/>
  <c r="AH42" i="183"/>
  <c r="AN42" i="183" s="1"/>
  <c r="AH39" i="183"/>
  <c r="AN39" i="183" s="1"/>
  <c r="AH38" i="183"/>
  <c r="AN38" i="183" s="1"/>
  <c r="AH37" i="183"/>
  <c r="AN37" i="183" s="1"/>
  <c r="AH36" i="183"/>
  <c r="AN36" i="183" s="1"/>
  <c r="AH35" i="183"/>
  <c r="AN35" i="183" s="1"/>
  <c r="AH34" i="183"/>
  <c r="AN34" i="183" s="1"/>
  <c r="AH33" i="183"/>
  <c r="AN33" i="183" s="1"/>
  <c r="AH32" i="183"/>
  <c r="AN32" i="183" s="1"/>
  <c r="AH22" i="183"/>
  <c r="AN22" i="183" s="1"/>
  <c r="AH21" i="183"/>
  <c r="AN21" i="183" s="1"/>
  <c r="AH19" i="183"/>
  <c r="AN19" i="183" s="1"/>
  <c r="AH18" i="183"/>
  <c r="AN18" i="183" s="1"/>
  <c r="AH15" i="183"/>
  <c r="AN15" i="183" s="1"/>
  <c r="AH14" i="183"/>
  <c r="AN14" i="183" s="1"/>
  <c r="AH13" i="183"/>
  <c r="AN13" i="183" s="1"/>
  <c r="AH12" i="183"/>
  <c r="AN12" i="183" s="1"/>
  <c r="AH11" i="183"/>
  <c r="AN11" i="183" s="1"/>
  <c r="AH10" i="183"/>
  <c r="AN10" i="183" s="1"/>
  <c r="AH9" i="183"/>
  <c r="AN9" i="183" s="1"/>
  <c r="AH8" i="183"/>
  <c r="AN8" i="183" s="1"/>
  <c r="AH7" i="183"/>
  <c r="AN7" i="183" s="1"/>
  <c r="AG126" i="183"/>
  <c r="AF126" i="183"/>
  <c r="AE126" i="183"/>
  <c r="AH96" i="183" l="1"/>
  <c r="AN96" i="183" s="1"/>
  <c r="AN94" i="183"/>
  <c r="AH69" i="183"/>
  <c r="AN69" i="183" s="1"/>
  <c r="AN64" i="183"/>
  <c r="AH84" i="183"/>
  <c r="AN84" i="183" s="1"/>
  <c r="AN79" i="183"/>
  <c r="AN113" i="183"/>
  <c r="AH123" i="183"/>
  <c r="AN123" i="183" s="1"/>
  <c r="AH40" i="183"/>
  <c r="AH54" i="183"/>
  <c r="AN54" i="183" s="1"/>
  <c r="AH103" i="183"/>
  <c r="AN103" i="183" s="1"/>
  <c r="AH76" i="183"/>
  <c r="AN76" i="183" s="1"/>
  <c r="AH62" i="183"/>
  <c r="AN62" i="183" s="1"/>
  <c r="AH23" i="183"/>
  <c r="AN23" i="183" s="1"/>
  <c r="AH108" i="183"/>
  <c r="AN108" i="183" s="1"/>
  <c r="AH16" i="183"/>
  <c r="AN16" i="183" s="1"/>
  <c r="AH45" i="183" l="1"/>
  <c r="AN45" i="183" s="1"/>
  <c r="AN40" i="183"/>
  <c r="AH109" i="183"/>
  <c r="AN109" i="183" s="1"/>
  <c r="AH85" i="183"/>
  <c r="AN85" i="183" s="1"/>
  <c r="AH24" i="183"/>
  <c r="AN24" i="183" s="1"/>
  <c r="AH126" i="183" l="1"/>
  <c r="O10" i="279"/>
  <c r="G50" i="278"/>
  <c r="F50" i="278" s="1"/>
  <c r="G48" i="278"/>
  <c r="F48" i="278" s="1"/>
  <c r="D48" i="278"/>
  <c r="G46" i="278"/>
  <c r="F46" i="278" s="1"/>
  <c r="G42" i="278"/>
  <c r="F42" i="278"/>
  <c r="D42" i="278"/>
  <c r="G32" i="278"/>
  <c r="F32" i="278" s="1"/>
  <c r="G30" i="278"/>
  <c r="F30" i="278" s="1"/>
  <c r="G28" i="278"/>
  <c r="F28" i="278" s="1"/>
  <c r="G24" i="278"/>
  <c r="F24" i="278" s="1"/>
  <c r="G14" i="278"/>
  <c r="F14" i="278" s="1"/>
  <c r="G12" i="278"/>
  <c r="F12" i="278" s="1"/>
  <c r="G10" i="278"/>
  <c r="F10" i="278" s="1"/>
  <c r="G8" i="278"/>
  <c r="F8" i="278" s="1"/>
  <c r="Q25" i="279"/>
  <c r="P25" i="279" s="1"/>
  <c r="F25" i="279"/>
  <c r="Q24" i="279"/>
  <c r="P24" i="279" s="1"/>
  <c r="J24" i="279"/>
  <c r="D24" i="279"/>
  <c r="E23" i="279"/>
  <c r="Q23" i="279" s="1"/>
  <c r="C23" i="279"/>
  <c r="E22" i="279"/>
  <c r="C22" i="279"/>
  <c r="Q22" i="279" s="1"/>
  <c r="Q17" i="279"/>
  <c r="P17" i="279" s="1"/>
  <c r="J17" i="279"/>
  <c r="D17" i="279"/>
  <c r="Q16" i="279"/>
  <c r="P16" i="279" s="1"/>
  <c r="D16" i="279"/>
  <c r="Q15" i="279"/>
  <c r="P15" i="279" s="1"/>
  <c r="Q14" i="279"/>
  <c r="P14" i="279" s="1"/>
  <c r="O9" i="279"/>
  <c r="Q9" i="279" s="1"/>
  <c r="Q8" i="279"/>
  <c r="N8" i="279" s="1"/>
  <c r="Q7" i="279"/>
  <c r="N7" i="279" s="1"/>
  <c r="Q6" i="279"/>
  <c r="L6" i="279" s="1"/>
  <c r="Q10" i="279"/>
  <c r="D28" i="278" l="1"/>
  <c r="AN126" i="183"/>
  <c r="H6" i="279"/>
  <c r="J8" i="279"/>
  <c r="J6" i="279"/>
  <c r="D7" i="279"/>
  <c r="L7" i="279"/>
  <c r="D8" i="279"/>
  <c r="L8" i="279"/>
  <c r="F6" i="279"/>
  <c r="P6" i="279"/>
  <c r="H7" i="279"/>
  <c r="P7" i="279"/>
  <c r="H8" i="279"/>
  <c r="P8" i="279"/>
  <c r="J15" i="279"/>
  <c r="D46" i="278"/>
  <c r="J7" i="279"/>
  <c r="N6" i="279"/>
  <c r="F7" i="279"/>
  <c r="F8" i="279"/>
  <c r="J16" i="279"/>
  <c r="L17" i="279"/>
  <c r="L24" i="279"/>
  <c r="D8" i="278"/>
  <c r="D50" i="278"/>
  <c r="D32" i="278"/>
  <c r="D30" i="278"/>
  <c r="D24" i="278"/>
  <c r="D14" i="278"/>
  <c r="D12" i="278"/>
  <c r="D10" i="278"/>
  <c r="J25" i="279"/>
  <c r="L25" i="279"/>
  <c r="D25" i="279"/>
  <c r="N25" i="279"/>
  <c r="J23" i="279"/>
  <c r="D23" i="279"/>
  <c r="P23" i="279"/>
  <c r="H23" i="279"/>
  <c r="N23" i="279"/>
  <c r="L23" i="279"/>
  <c r="N22" i="279"/>
  <c r="F22" i="279"/>
  <c r="P22" i="279"/>
  <c r="L22" i="279"/>
  <c r="J22" i="279"/>
  <c r="H22" i="279"/>
  <c r="D22" i="279"/>
  <c r="F23" i="279"/>
  <c r="F24" i="279"/>
  <c r="N24" i="279"/>
  <c r="H24" i="279"/>
  <c r="H25" i="279"/>
  <c r="J14" i="279"/>
  <c r="D14" i="279"/>
  <c r="L14" i="279"/>
  <c r="D15" i="279"/>
  <c r="L15" i="279"/>
  <c r="L16" i="279"/>
  <c r="F14" i="279"/>
  <c r="N14" i="279"/>
  <c r="F15" i="279"/>
  <c r="N15" i="279"/>
  <c r="F16" i="279"/>
  <c r="N16" i="279"/>
  <c r="F17" i="279"/>
  <c r="N17" i="279"/>
  <c r="H14" i="279"/>
  <c r="H15" i="279"/>
  <c r="H16" i="279"/>
  <c r="H17" i="279"/>
  <c r="L9" i="279"/>
  <c r="D9" i="279"/>
  <c r="F9" i="279"/>
  <c r="J9" i="279"/>
  <c r="H9" i="279"/>
  <c r="N9" i="279"/>
  <c r="P9" i="279"/>
  <c r="D6" i="279"/>
  <c r="D10" i="279"/>
  <c r="L10" i="279"/>
  <c r="F10" i="279"/>
  <c r="N10" i="279"/>
  <c r="H10" i="279"/>
  <c r="J10" i="279"/>
  <c r="P10" i="279"/>
  <c r="D27" i="319"/>
  <c r="C27" i="319"/>
  <c r="E26" i="319"/>
  <c r="E25" i="319"/>
  <c r="E21" i="319"/>
  <c r="E20" i="319"/>
  <c r="C17" i="319"/>
  <c r="E16" i="319"/>
  <c r="E15" i="319"/>
  <c r="D12" i="319"/>
  <c r="C12" i="319"/>
  <c r="E11" i="319"/>
  <c r="E10" i="319"/>
  <c r="B9" i="319"/>
  <c r="B14" i="319" s="1"/>
  <c r="B19" i="319" s="1"/>
  <c r="B24" i="319" s="1"/>
  <c r="D7" i="319"/>
  <c r="C7" i="319"/>
  <c r="E6" i="319"/>
  <c r="E5" i="319"/>
  <c r="E7" i="319" s="1"/>
  <c r="AF70" i="274"/>
  <c r="AI70" i="274" s="1"/>
  <c r="AE64" i="274"/>
  <c r="AE63" i="274"/>
  <c r="AD70" i="274"/>
  <c r="AE69" i="274"/>
  <c r="AB70" i="274"/>
  <c r="AC69" i="274"/>
  <c r="AC64" i="274"/>
  <c r="AC63" i="274"/>
  <c r="AA64" i="274"/>
  <c r="AA63" i="274"/>
  <c r="Z70" i="274"/>
  <c r="AA69" i="274"/>
  <c r="X70" i="274"/>
  <c r="Y69" i="274"/>
  <c r="Y64" i="274"/>
  <c r="Y63" i="274"/>
  <c r="W64" i="274"/>
  <c r="W63" i="274"/>
  <c r="V70" i="274"/>
  <c r="W69" i="274"/>
  <c r="T70" i="274"/>
  <c r="U69" i="274"/>
  <c r="U64" i="274"/>
  <c r="U63" i="274"/>
  <c r="AG69" i="274"/>
  <c r="AG64" i="274"/>
  <c r="AG63" i="274"/>
  <c r="AE61" i="274"/>
  <c r="AG61" i="274"/>
  <c r="AC61" i="274"/>
  <c r="AA61" i="274"/>
  <c r="Y61" i="274"/>
  <c r="W61" i="274"/>
  <c r="U61" i="274"/>
  <c r="S64" i="274"/>
  <c r="S63" i="274"/>
  <c r="S61" i="274"/>
  <c r="R70" i="274"/>
  <c r="S69" i="274"/>
  <c r="P70" i="274"/>
  <c r="Q69" i="274"/>
  <c r="Q64" i="274"/>
  <c r="Q63" i="274"/>
  <c r="Q61" i="274"/>
  <c r="N70" i="274"/>
  <c r="O69" i="274"/>
  <c r="O64" i="274"/>
  <c r="O63" i="274"/>
  <c r="O61" i="274"/>
  <c r="L70" i="274"/>
  <c r="J70" i="274"/>
  <c r="M61" i="274"/>
  <c r="M62" i="274"/>
  <c r="M63" i="274"/>
  <c r="M64" i="274"/>
  <c r="M65" i="274"/>
  <c r="M66" i="274"/>
  <c r="M67" i="274"/>
  <c r="M68" i="274"/>
  <c r="M69" i="274"/>
  <c r="I61" i="274"/>
  <c r="I62" i="274"/>
  <c r="I63" i="274"/>
  <c r="I64" i="274"/>
  <c r="H70" i="274"/>
  <c r="I69" i="274"/>
  <c r="K61" i="274"/>
  <c r="K62" i="274"/>
  <c r="K63" i="274"/>
  <c r="K64" i="274"/>
  <c r="K65" i="274"/>
  <c r="K66" i="274"/>
  <c r="K67" i="274"/>
  <c r="K68" i="274"/>
  <c r="K69" i="274"/>
  <c r="F70" i="274"/>
  <c r="E70" i="274"/>
  <c r="D70" i="274"/>
  <c r="C70" i="274"/>
  <c r="B70" i="274"/>
  <c r="G61" i="274"/>
  <c r="G62" i="274"/>
  <c r="G63" i="274"/>
  <c r="G64" i="274"/>
  <c r="G65" i="274"/>
  <c r="G66" i="274"/>
  <c r="G67" i="274"/>
  <c r="G68" i="274"/>
  <c r="G69" i="274"/>
  <c r="E27" i="319" l="1"/>
  <c r="E17" i="319"/>
  <c r="E12" i="319"/>
  <c r="O30" i="29" l="1"/>
  <c r="M30" i="29"/>
  <c r="K30" i="29"/>
  <c r="I30" i="29"/>
  <c r="G30" i="29"/>
  <c r="E30" i="29"/>
  <c r="M134" i="159"/>
  <c r="P134" i="159" s="1"/>
  <c r="M86" i="159"/>
  <c r="P86" i="159" s="1"/>
  <c r="M67" i="159"/>
  <c r="P67" i="159" s="1"/>
  <c r="N66" i="159"/>
  <c r="L66" i="159"/>
  <c r="J66" i="159"/>
  <c r="H66" i="159"/>
  <c r="F66" i="159"/>
  <c r="D66" i="159"/>
  <c r="N61" i="159"/>
  <c r="L61" i="159"/>
  <c r="J61" i="159"/>
  <c r="H61" i="159"/>
  <c r="F61" i="159"/>
  <c r="D61" i="159"/>
  <c r="N58" i="159"/>
  <c r="L58" i="159"/>
  <c r="J58" i="159"/>
  <c r="H58" i="159"/>
  <c r="F58" i="159"/>
  <c r="D58" i="159"/>
  <c r="N59" i="159"/>
  <c r="L59" i="159"/>
  <c r="J59" i="159"/>
  <c r="H59" i="159"/>
  <c r="F59" i="159"/>
  <c r="D59" i="159"/>
  <c r="AG113" i="161" l="1"/>
  <c r="AF113" i="161"/>
  <c r="AE113" i="161"/>
  <c r="AB113" i="161"/>
  <c r="AA113" i="161"/>
  <c r="Z113" i="161"/>
  <c r="W113" i="161"/>
  <c r="V113" i="161"/>
  <c r="U113" i="161"/>
  <c r="R113" i="161"/>
  <c r="Q113" i="161"/>
  <c r="P113" i="161"/>
  <c r="M113" i="161"/>
  <c r="L113" i="161"/>
  <c r="K113" i="161"/>
  <c r="H113" i="161"/>
  <c r="G113" i="161"/>
  <c r="F113" i="161"/>
  <c r="D113" i="161"/>
  <c r="C113" i="161"/>
  <c r="B113" i="161"/>
  <c r="AH113" i="160"/>
  <c r="AN113" i="160" s="1"/>
  <c r="AC113" i="160"/>
  <c r="X113" i="160"/>
  <c r="S113" i="160"/>
  <c r="N113" i="160"/>
  <c r="I113" i="160"/>
  <c r="E113" i="160"/>
  <c r="Y113" i="160" l="1"/>
  <c r="N113" i="161"/>
  <c r="AH113" i="161"/>
  <c r="AN113" i="161" s="1"/>
  <c r="S113" i="161"/>
  <c r="AI113" i="160"/>
  <c r="X113" i="161"/>
  <c r="I113" i="161"/>
  <c r="E113" i="161"/>
  <c r="AC113" i="161"/>
  <c r="AD113" i="160"/>
  <c r="O113" i="160"/>
  <c r="T113" i="160"/>
  <c r="J113" i="160"/>
  <c r="AG30" i="161"/>
  <c r="AF30" i="161"/>
  <c r="AE30" i="161"/>
  <c r="AB30" i="161"/>
  <c r="AA30" i="161"/>
  <c r="Z30" i="161"/>
  <c r="W30" i="161"/>
  <c r="V30" i="161"/>
  <c r="U30" i="161"/>
  <c r="R30" i="161"/>
  <c r="Q30" i="161"/>
  <c r="P30" i="161"/>
  <c r="M30" i="161"/>
  <c r="L30" i="161"/>
  <c r="K30" i="161"/>
  <c r="H30" i="161"/>
  <c r="G30" i="161"/>
  <c r="F30" i="161"/>
  <c r="D30" i="161"/>
  <c r="C30" i="161"/>
  <c r="B30" i="161"/>
  <c r="AG39" i="160"/>
  <c r="AF39" i="160"/>
  <c r="AE39" i="160"/>
  <c r="AB39" i="160"/>
  <c r="AA39" i="160"/>
  <c r="Z39" i="160"/>
  <c r="W39" i="160"/>
  <c r="V39" i="160"/>
  <c r="U39" i="160"/>
  <c r="R39" i="160"/>
  <c r="Q39" i="160"/>
  <c r="P39" i="160"/>
  <c r="M39" i="160"/>
  <c r="L39" i="160"/>
  <c r="K39" i="160"/>
  <c r="H39" i="160"/>
  <c r="G39" i="160"/>
  <c r="F39" i="160"/>
  <c r="D39" i="160"/>
  <c r="C39" i="160"/>
  <c r="B39" i="160"/>
  <c r="AH30" i="160"/>
  <c r="AN30" i="160" s="1"/>
  <c r="AC30" i="160"/>
  <c r="AD30" i="160" s="1"/>
  <c r="X30" i="160"/>
  <c r="S30" i="160"/>
  <c r="N30" i="160"/>
  <c r="O30" i="160" s="1"/>
  <c r="E30" i="160"/>
  <c r="J30" i="160" s="1"/>
  <c r="Y113" i="161" l="1"/>
  <c r="T113" i="161"/>
  <c r="T30" i="160"/>
  <c r="AI113" i="161"/>
  <c r="O113" i="161"/>
  <c r="AD113" i="161"/>
  <c r="Y30" i="160"/>
  <c r="AI30" i="160"/>
  <c r="N30" i="161"/>
  <c r="J113" i="161"/>
  <c r="AC30" i="161"/>
  <c r="E30" i="161"/>
  <c r="S30" i="161"/>
  <c r="X30" i="161"/>
  <c r="AH30" i="161"/>
  <c r="AN30" i="161" s="1"/>
  <c r="I30" i="161"/>
  <c r="J30" i="161" s="1"/>
  <c r="T30" i="161" l="1"/>
  <c r="Y30" i="161"/>
  <c r="AD30" i="161"/>
  <c r="O30" i="161"/>
  <c r="AI30" i="161"/>
  <c r="K51" i="48"/>
  <c r="K55" i="48" s="1"/>
  <c r="K58" i="49"/>
  <c r="K42" i="50"/>
  <c r="K46" i="50" s="1"/>
  <c r="H51" i="35"/>
  <c r="H55" i="35" s="1"/>
  <c r="H53" i="34"/>
  <c r="H64" i="36"/>
  <c r="H68" i="36" s="1"/>
  <c r="G17" i="259" l="1"/>
  <c r="O54" i="29"/>
  <c r="N52" i="29"/>
  <c r="Q52" i="29" s="1"/>
  <c r="O51" i="29"/>
  <c r="O50" i="29"/>
  <c r="O49" i="29"/>
  <c r="O48" i="29"/>
  <c r="O47" i="29"/>
  <c r="O46" i="29"/>
  <c r="O45" i="29"/>
  <c r="O44" i="29"/>
  <c r="O42" i="29"/>
  <c r="O41" i="29"/>
  <c r="O40" i="29"/>
  <c r="O39" i="29"/>
  <c r="O38" i="29"/>
  <c r="O37" i="29"/>
  <c r="O36" i="29"/>
  <c r="O35" i="29"/>
  <c r="O34" i="29"/>
  <c r="O33" i="29"/>
  <c r="O32" i="29"/>
  <c r="O31" i="29"/>
  <c r="O29" i="29"/>
  <c r="O28" i="29"/>
  <c r="O27" i="29"/>
  <c r="O25" i="29"/>
  <c r="O24" i="29"/>
  <c r="O23" i="29"/>
  <c r="O22" i="29"/>
  <c r="O21" i="29"/>
  <c r="O20" i="29"/>
  <c r="O19" i="29"/>
  <c r="O18" i="29"/>
  <c r="O17" i="29"/>
  <c r="O16" i="29"/>
  <c r="O15" i="29"/>
  <c r="O14" i="29"/>
  <c r="O13" i="29"/>
  <c r="O12" i="29"/>
  <c r="O11" i="29"/>
  <c r="O10" i="29"/>
  <c r="O9" i="29"/>
  <c r="O8" i="29"/>
  <c r="O7" i="29"/>
  <c r="O6" i="29"/>
  <c r="H11" i="305"/>
  <c r="AF144" i="274"/>
  <c r="AG143" i="274"/>
  <c r="AG142" i="274"/>
  <c r="AG141" i="274"/>
  <c r="AF137" i="274"/>
  <c r="AG136" i="274"/>
  <c r="AG135" i="274"/>
  <c r="AG134" i="274"/>
  <c r="AG133" i="274"/>
  <c r="AG131" i="274"/>
  <c r="AG130" i="274"/>
  <c r="AG129" i="274"/>
  <c r="AG128" i="274"/>
  <c r="AG127" i="274"/>
  <c r="AG126" i="274"/>
  <c r="AG125" i="274"/>
  <c r="AG124" i="274"/>
  <c r="AG123" i="274"/>
  <c r="AF121" i="274"/>
  <c r="AG120" i="274"/>
  <c r="AG119" i="274"/>
  <c r="AG118" i="274"/>
  <c r="AG117" i="274"/>
  <c r="AG115" i="274"/>
  <c r="AG114" i="274"/>
  <c r="AF109" i="274"/>
  <c r="AG108" i="274"/>
  <c r="AG107" i="274"/>
  <c r="AG106" i="274"/>
  <c r="AG105" i="274"/>
  <c r="AG104" i="274"/>
  <c r="AF102" i="274"/>
  <c r="AG101" i="274"/>
  <c r="AG100" i="274"/>
  <c r="AG99" i="274"/>
  <c r="AG98" i="274"/>
  <c r="AG97" i="274"/>
  <c r="AG96" i="274"/>
  <c r="AG95" i="274"/>
  <c r="AF93" i="274"/>
  <c r="AG92" i="274"/>
  <c r="AG91" i="274"/>
  <c r="AG90" i="274"/>
  <c r="AG89" i="274"/>
  <c r="AG88" i="274"/>
  <c r="AG87" i="274"/>
  <c r="AG86" i="274"/>
  <c r="AG85" i="274"/>
  <c r="AG84" i="274"/>
  <c r="AG83" i="274"/>
  <c r="AG82" i="274"/>
  <c r="AG81" i="274"/>
  <c r="AG80" i="274"/>
  <c r="AG79" i="274"/>
  <c r="AG78" i="274"/>
  <c r="AG77" i="274"/>
  <c r="AG76" i="274"/>
  <c r="AG75" i="274"/>
  <c r="AG68" i="274"/>
  <c r="AG67" i="274"/>
  <c r="AG66" i="274"/>
  <c r="AG65" i="274"/>
  <c r="AG62" i="274"/>
  <c r="AG60" i="274"/>
  <c r="AF58" i="274"/>
  <c r="AG57" i="274"/>
  <c r="AG56" i="274"/>
  <c r="AG55" i="274"/>
  <c r="AF53" i="274"/>
  <c r="AG52" i="274"/>
  <c r="AG51" i="274"/>
  <c r="AF49" i="274"/>
  <c r="AG48" i="274"/>
  <c r="AG47" i="274"/>
  <c r="AG46" i="274"/>
  <c r="AG45" i="274"/>
  <c r="AF43" i="274"/>
  <c r="AG42" i="274"/>
  <c r="AG41" i="274"/>
  <c r="AG40" i="274"/>
  <c r="AF35" i="274"/>
  <c r="AG34" i="274"/>
  <c r="AG33" i="274"/>
  <c r="AG32" i="274"/>
  <c r="AG31" i="274"/>
  <c r="AG28" i="274"/>
  <c r="AG27" i="274"/>
  <c r="AG26" i="274"/>
  <c r="AG25" i="274"/>
  <c r="AF22" i="274"/>
  <c r="AG21" i="274"/>
  <c r="AG20" i="274"/>
  <c r="AG19" i="274"/>
  <c r="AG18" i="274"/>
  <c r="AG17" i="274"/>
  <c r="AG16" i="274"/>
  <c r="AG15" i="274"/>
  <c r="AF13" i="274"/>
  <c r="AG12" i="274"/>
  <c r="AG11" i="274"/>
  <c r="AG10" i="274"/>
  <c r="AG9" i="274"/>
  <c r="AG8" i="274"/>
  <c r="AG7" i="274"/>
  <c r="AG6" i="274"/>
  <c r="N56" i="29" l="1"/>
  <c r="Q56" i="29" s="1"/>
  <c r="AF138" i="274"/>
  <c r="AF110" i="274"/>
  <c r="AF71" i="274"/>
  <c r="AF36" i="274"/>
  <c r="AF145" i="274" l="1"/>
  <c r="N134" i="159" l="1"/>
  <c r="N133" i="159"/>
  <c r="N132" i="159"/>
  <c r="M135" i="159"/>
  <c r="P135" i="159" s="1"/>
  <c r="M128" i="159"/>
  <c r="P128" i="159" s="1"/>
  <c r="N127" i="159"/>
  <c r="N126" i="159"/>
  <c r="N125" i="159"/>
  <c r="N124" i="159"/>
  <c r="N122" i="159"/>
  <c r="N121" i="159"/>
  <c r="N120" i="159"/>
  <c r="N119" i="159"/>
  <c r="N118" i="159"/>
  <c r="N117" i="159"/>
  <c r="N116" i="159"/>
  <c r="N115" i="159"/>
  <c r="M113" i="159"/>
  <c r="P113" i="159" s="1"/>
  <c r="N112" i="159"/>
  <c r="N111" i="159"/>
  <c r="N110" i="159"/>
  <c r="N109" i="159"/>
  <c r="N107" i="159"/>
  <c r="N106" i="159"/>
  <c r="M101" i="159"/>
  <c r="P101" i="159" s="1"/>
  <c r="N100" i="159"/>
  <c r="N99" i="159"/>
  <c r="N98" i="159"/>
  <c r="N97" i="159"/>
  <c r="N96" i="159"/>
  <c r="M94" i="159"/>
  <c r="P94" i="159" s="1"/>
  <c r="N93" i="159"/>
  <c r="N92" i="159"/>
  <c r="N91" i="159"/>
  <c r="N90" i="159"/>
  <c r="N89" i="159"/>
  <c r="N88" i="159"/>
  <c r="N85" i="159"/>
  <c r="N84" i="159"/>
  <c r="N83" i="159"/>
  <c r="N82" i="159"/>
  <c r="N81" i="159"/>
  <c r="N80" i="159"/>
  <c r="N79" i="159"/>
  <c r="N78" i="159"/>
  <c r="N77" i="159"/>
  <c r="N76" i="159"/>
  <c r="N75" i="159"/>
  <c r="N74" i="159"/>
  <c r="N73" i="159"/>
  <c r="N72" i="159"/>
  <c r="N65" i="159"/>
  <c r="N64" i="159"/>
  <c r="N63" i="159"/>
  <c r="N62" i="159"/>
  <c r="N60" i="159"/>
  <c r="N57" i="159"/>
  <c r="M55" i="159"/>
  <c r="P55" i="159" s="1"/>
  <c r="N54" i="159"/>
  <c r="N53" i="159"/>
  <c r="N52" i="159"/>
  <c r="M50" i="159"/>
  <c r="P50" i="159" s="1"/>
  <c r="N49" i="159"/>
  <c r="N48" i="159"/>
  <c r="M46" i="159"/>
  <c r="P46" i="159" s="1"/>
  <c r="N45" i="159"/>
  <c r="N44" i="159"/>
  <c r="N43" i="159"/>
  <c r="M41" i="159"/>
  <c r="P41" i="159" s="1"/>
  <c r="N40" i="159"/>
  <c r="N39" i="159"/>
  <c r="M34" i="159"/>
  <c r="P34" i="159" s="1"/>
  <c r="N33" i="159"/>
  <c r="N32" i="159"/>
  <c r="N31" i="159"/>
  <c r="N30" i="159"/>
  <c r="N27" i="159"/>
  <c r="N26" i="159"/>
  <c r="N25" i="159"/>
  <c r="M22" i="159"/>
  <c r="P22" i="159" s="1"/>
  <c r="N21" i="159"/>
  <c r="N20" i="159"/>
  <c r="N19" i="159"/>
  <c r="N18" i="159"/>
  <c r="N17" i="159"/>
  <c r="N16" i="159"/>
  <c r="N15" i="159"/>
  <c r="M13" i="159"/>
  <c r="P13" i="159" s="1"/>
  <c r="N12" i="159"/>
  <c r="N11" i="159"/>
  <c r="N10" i="159"/>
  <c r="N9" i="159"/>
  <c r="N8" i="159"/>
  <c r="N7" i="159"/>
  <c r="N6" i="159"/>
  <c r="AA12" i="27"/>
  <c r="AA11" i="27"/>
  <c r="AA10" i="27"/>
  <c r="AA9" i="27"/>
  <c r="AA8" i="27"/>
  <c r="AA7" i="27"/>
  <c r="AA6" i="27"/>
  <c r="AA5" i="27"/>
  <c r="AE28" i="161"/>
  <c r="AE49" i="161" s="1"/>
  <c r="AE89" i="161" s="1"/>
  <c r="AG119" i="161"/>
  <c r="AF119" i="161"/>
  <c r="AE119" i="161"/>
  <c r="AG118" i="161"/>
  <c r="AF118" i="161"/>
  <c r="AE118" i="161"/>
  <c r="AG117" i="161"/>
  <c r="AF117" i="161"/>
  <c r="AE117" i="161"/>
  <c r="AG116" i="161"/>
  <c r="AF116" i="161"/>
  <c r="AE116" i="161"/>
  <c r="AG115" i="161"/>
  <c r="AF115" i="161"/>
  <c r="AE115" i="161"/>
  <c r="AG114" i="161"/>
  <c r="AF114" i="161"/>
  <c r="AE114" i="161"/>
  <c r="AG112" i="161"/>
  <c r="AF112" i="161"/>
  <c r="AE112" i="161"/>
  <c r="AG111" i="161"/>
  <c r="AF111" i="161"/>
  <c r="AE111" i="161"/>
  <c r="AG105" i="161"/>
  <c r="AF105" i="161"/>
  <c r="AE105" i="161"/>
  <c r="AG104" i="161"/>
  <c r="AF104" i="161"/>
  <c r="AE104" i="161"/>
  <c r="AG100" i="161"/>
  <c r="AF100" i="161"/>
  <c r="AE100" i="161"/>
  <c r="AG99" i="161"/>
  <c r="AF99" i="161"/>
  <c r="AE99" i="161"/>
  <c r="AG98" i="161"/>
  <c r="AF98" i="161"/>
  <c r="AE98" i="161"/>
  <c r="AG97" i="161"/>
  <c r="AF97" i="161"/>
  <c r="AE97" i="161"/>
  <c r="AG94" i="161"/>
  <c r="AF94" i="161"/>
  <c r="AE94" i="161"/>
  <c r="AG93" i="161"/>
  <c r="AF93" i="161"/>
  <c r="AE93" i="161"/>
  <c r="AG91" i="161"/>
  <c r="AF91" i="161"/>
  <c r="AE91" i="161"/>
  <c r="AG82" i="161"/>
  <c r="AF82" i="161"/>
  <c r="AE82" i="161"/>
  <c r="AG80" i="161"/>
  <c r="AF80" i="161"/>
  <c r="AE80" i="161"/>
  <c r="AG79" i="161"/>
  <c r="AF79" i="161"/>
  <c r="AE79" i="161"/>
  <c r="AG77" i="161"/>
  <c r="AF77" i="161"/>
  <c r="AE77" i="161"/>
  <c r="AG74" i="161"/>
  <c r="AF74" i="161"/>
  <c r="AE74" i="161"/>
  <c r="AG73" i="161"/>
  <c r="AF73" i="161"/>
  <c r="AE73" i="161"/>
  <c r="AG72" i="161"/>
  <c r="AF72" i="161"/>
  <c r="AE72" i="161"/>
  <c r="AG71" i="161"/>
  <c r="AF71" i="161"/>
  <c r="AE71" i="161"/>
  <c r="AG70" i="161"/>
  <c r="AF70" i="161"/>
  <c r="AE70" i="161"/>
  <c r="AG67" i="161"/>
  <c r="AF67" i="161"/>
  <c r="AE67" i="161"/>
  <c r="AG66" i="161"/>
  <c r="AF66" i="161"/>
  <c r="AE66" i="161"/>
  <c r="AG65" i="161"/>
  <c r="AF65" i="161"/>
  <c r="AE65" i="161"/>
  <c r="AG64" i="161"/>
  <c r="AF64" i="161"/>
  <c r="AE64" i="161"/>
  <c r="AG63" i="161"/>
  <c r="AF63" i="161"/>
  <c r="AE63" i="161"/>
  <c r="AG60" i="161"/>
  <c r="AF60" i="161"/>
  <c r="AE60" i="161"/>
  <c r="AG59" i="161"/>
  <c r="AF59" i="161"/>
  <c r="AE59" i="161"/>
  <c r="AG58" i="161"/>
  <c r="AF58" i="161"/>
  <c r="AE58" i="161"/>
  <c r="AG57" i="161"/>
  <c r="AF57" i="161"/>
  <c r="AE57" i="161"/>
  <c r="AG56" i="161"/>
  <c r="AF56" i="161"/>
  <c r="AE56" i="161"/>
  <c r="AG53" i="161"/>
  <c r="AF53" i="161"/>
  <c r="AE53" i="161"/>
  <c r="AG52" i="161"/>
  <c r="AF52" i="161"/>
  <c r="AE52" i="161"/>
  <c r="AG51" i="161"/>
  <c r="AF51" i="161"/>
  <c r="AE51" i="161"/>
  <c r="AG43" i="161"/>
  <c r="AF43" i="161"/>
  <c r="AE43" i="161"/>
  <c r="AG41" i="161"/>
  <c r="AF41" i="161"/>
  <c r="AE41" i="161"/>
  <c r="AG38" i="161"/>
  <c r="AF38" i="161"/>
  <c r="AE38" i="161"/>
  <c r="AG37" i="161"/>
  <c r="AF37" i="161"/>
  <c r="AE37" i="161"/>
  <c r="AG36" i="161"/>
  <c r="AF36" i="161"/>
  <c r="AE36" i="161"/>
  <c r="AG35" i="161"/>
  <c r="AF35" i="161"/>
  <c r="AE35" i="161"/>
  <c r="AG34" i="161"/>
  <c r="AF34" i="161"/>
  <c r="AE34" i="161"/>
  <c r="AG33" i="161"/>
  <c r="AF33" i="161"/>
  <c r="AE33" i="161"/>
  <c r="AG32" i="161"/>
  <c r="AF32" i="161"/>
  <c r="AE32" i="161"/>
  <c r="AG31" i="161"/>
  <c r="AF31" i="161"/>
  <c r="AE31" i="161"/>
  <c r="AG21" i="161"/>
  <c r="AF21" i="161"/>
  <c r="AE21" i="161"/>
  <c r="AG20" i="161"/>
  <c r="AF20" i="161"/>
  <c r="AE20" i="161"/>
  <c r="AG18" i="161"/>
  <c r="AF18" i="161"/>
  <c r="AE18" i="161"/>
  <c r="AG17" i="161"/>
  <c r="AF17" i="161"/>
  <c r="AE17" i="161"/>
  <c r="AG14" i="161"/>
  <c r="AF14" i="161"/>
  <c r="AE14" i="161"/>
  <c r="AG13" i="161"/>
  <c r="AF13" i="161"/>
  <c r="AE13" i="161"/>
  <c r="AG12" i="161"/>
  <c r="AF12" i="161"/>
  <c r="AE12" i="161"/>
  <c r="AG11" i="161"/>
  <c r="AF11" i="161"/>
  <c r="AE11" i="161"/>
  <c r="AG10" i="161"/>
  <c r="AF10" i="161"/>
  <c r="AE10" i="161"/>
  <c r="AG9" i="161"/>
  <c r="AF9" i="161"/>
  <c r="AE9" i="161"/>
  <c r="AG8" i="161"/>
  <c r="AF8" i="161"/>
  <c r="AE8" i="161"/>
  <c r="AG7" i="161"/>
  <c r="AF7" i="161"/>
  <c r="AE7" i="161"/>
  <c r="AE28" i="160"/>
  <c r="AE49" i="160" s="1"/>
  <c r="AE89" i="160" s="1"/>
  <c r="AH119" i="160"/>
  <c r="AN119" i="160" s="1"/>
  <c r="AH118" i="160"/>
  <c r="AN118" i="160" s="1"/>
  <c r="AH117" i="160"/>
  <c r="AN117" i="160" s="1"/>
  <c r="AH116" i="160"/>
  <c r="AN116" i="160" s="1"/>
  <c r="AH115" i="160"/>
  <c r="AN115" i="160" s="1"/>
  <c r="AH114" i="160"/>
  <c r="AN114" i="160" s="1"/>
  <c r="AH112" i="160"/>
  <c r="AN112" i="160" s="1"/>
  <c r="AH111" i="160"/>
  <c r="AH105" i="160"/>
  <c r="AH104" i="160"/>
  <c r="AN104" i="160" s="1"/>
  <c r="AG101" i="160"/>
  <c r="AF101" i="160"/>
  <c r="AE101" i="160"/>
  <c r="AH100" i="160"/>
  <c r="AN100" i="160" s="1"/>
  <c r="AH99" i="160"/>
  <c r="AN99" i="160" s="1"/>
  <c r="AH98" i="160"/>
  <c r="AN98" i="160" s="1"/>
  <c r="AH97" i="160"/>
  <c r="AN97" i="160" s="1"/>
  <c r="AG95" i="160"/>
  <c r="AF95" i="160"/>
  <c r="AE95" i="160"/>
  <c r="AH94" i="160"/>
  <c r="AN94" i="160" s="1"/>
  <c r="AH93" i="160"/>
  <c r="AN93" i="160" s="1"/>
  <c r="AH91" i="160"/>
  <c r="AN91" i="160" s="1"/>
  <c r="AG83" i="160"/>
  <c r="AF83" i="160"/>
  <c r="AE83" i="160"/>
  <c r="AH82" i="160"/>
  <c r="AN82" i="160" s="1"/>
  <c r="AH80" i="160"/>
  <c r="AN80" i="160" s="1"/>
  <c r="AH79" i="160"/>
  <c r="AN79" i="160" s="1"/>
  <c r="AH77" i="160"/>
  <c r="AN77" i="160" s="1"/>
  <c r="AG75" i="160"/>
  <c r="AF75" i="160"/>
  <c r="AE75" i="160"/>
  <c r="AH74" i="160"/>
  <c r="AN74" i="160" s="1"/>
  <c r="AH73" i="160"/>
  <c r="AN73" i="160" s="1"/>
  <c r="AH72" i="160"/>
  <c r="AN72" i="160" s="1"/>
  <c r="AH71" i="160"/>
  <c r="AN71" i="160" s="1"/>
  <c r="AH70" i="160"/>
  <c r="AN70" i="160" s="1"/>
  <c r="AG68" i="160"/>
  <c r="AF68" i="160"/>
  <c r="AE68" i="160"/>
  <c r="AH67" i="160"/>
  <c r="AN67" i="160" s="1"/>
  <c r="AH66" i="160"/>
  <c r="AN66" i="160" s="1"/>
  <c r="AH65" i="160"/>
  <c r="AN65" i="160" s="1"/>
  <c r="AH64" i="160"/>
  <c r="AN64" i="160" s="1"/>
  <c r="AH63" i="160"/>
  <c r="AN63" i="160" s="1"/>
  <c r="AG61" i="160"/>
  <c r="AF61" i="160"/>
  <c r="AE61" i="160"/>
  <c r="AH60" i="160"/>
  <c r="AN60" i="160" s="1"/>
  <c r="AH59" i="160"/>
  <c r="AN59" i="160" s="1"/>
  <c r="AH58" i="160"/>
  <c r="AN58" i="160" s="1"/>
  <c r="AH57" i="160"/>
  <c r="AN57" i="160" s="1"/>
  <c r="AH56" i="160"/>
  <c r="AN56" i="160" s="1"/>
  <c r="AG54" i="160"/>
  <c r="AF54" i="160"/>
  <c r="AE54" i="160"/>
  <c r="AH53" i="160"/>
  <c r="AN53" i="160" s="1"/>
  <c r="AH52" i="160"/>
  <c r="AN52" i="160" s="1"/>
  <c r="AH51" i="160"/>
  <c r="AN51" i="160" s="1"/>
  <c r="AF44" i="160"/>
  <c r="AH43" i="160"/>
  <c r="AN43" i="160" s="1"/>
  <c r="AH41" i="160"/>
  <c r="AN41" i="160" s="1"/>
  <c r="AG44" i="160"/>
  <c r="AE44" i="160"/>
  <c r="AH38" i="160"/>
  <c r="AN38" i="160" s="1"/>
  <c r="AH37" i="160"/>
  <c r="AN37" i="160" s="1"/>
  <c r="AH36" i="160"/>
  <c r="AN36" i="160" s="1"/>
  <c r="AH35" i="160"/>
  <c r="AN35" i="160" s="1"/>
  <c r="AH34" i="160"/>
  <c r="AN34" i="160" s="1"/>
  <c r="AH33" i="160"/>
  <c r="AN33" i="160" s="1"/>
  <c r="AH32" i="160"/>
  <c r="AN32" i="160" s="1"/>
  <c r="AH31" i="160"/>
  <c r="AN31" i="160" s="1"/>
  <c r="AG22" i="160"/>
  <c r="AF22" i="160"/>
  <c r="AE22" i="160"/>
  <c r="AH21" i="160"/>
  <c r="AN21" i="160" s="1"/>
  <c r="AH20" i="160"/>
  <c r="AN20" i="160" s="1"/>
  <c r="AH18" i="160"/>
  <c r="AN18" i="160" s="1"/>
  <c r="AH17" i="160"/>
  <c r="AN17" i="160" s="1"/>
  <c r="AG15" i="160"/>
  <c r="AF15" i="160"/>
  <c r="AE15" i="160"/>
  <c r="AH14" i="160"/>
  <c r="AN14" i="160" s="1"/>
  <c r="AH13" i="160"/>
  <c r="AN13" i="160" s="1"/>
  <c r="AH12" i="160"/>
  <c r="AN12" i="160" s="1"/>
  <c r="AH11" i="160"/>
  <c r="AN11" i="160" s="1"/>
  <c r="AH10" i="160"/>
  <c r="AN10" i="160" s="1"/>
  <c r="AH9" i="160"/>
  <c r="AN9" i="160" s="1"/>
  <c r="AH8" i="160"/>
  <c r="AN8" i="160" s="1"/>
  <c r="AH7" i="160"/>
  <c r="AN7" i="160" s="1"/>
  <c r="N26" i="286"/>
  <c r="N39" i="286" s="1"/>
  <c r="N43" i="286" s="1"/>
  <c r="N71" i="286" s="1"/>
  <c r="N75" i="286"/>
  <c r="N73" i="286"/>
  <c r="N72" i="286"/>
  <c r="Q30" i="285"/>
  <c r="N30" i="285" s="1"/>
  <c r="Q21" i="285"/>
  <c r="N21" i="285" s="1"/>
  <c r="Q12" i="285"/>
  <c r="N12" i="285" s="1"/>
  <c r="M17" i="283"/>
  <c r="L17" i="283"/>
  <c r="K17" i="283"/>
  <c r="J17" i="283"/>
  <c r="G17" i="283"/>
  <c r="F17" i="283"/>
  <c r="D17" i="283"/>
  <c r="D5" i="283"/>
  <c r="F5" i="283"/>
  <c r="G5" i="283"/>
  <c r="K40" i="281"/>
  <c r="Q40" i="281" s="1"/>
  <c r="J40" i="281"/>
  <c r="P40" i="281" s="1"/>
  <c r="I40" i="281"/>
  <c r="O40" i="281" s="1"/>
  <c r="M24" i="27"/>
  <c r="N22" i="27"/>
  <c r="N20" i="27"/>
  <c r="M18" i="27"/>
  <c r="N16" i="27"/>
  <c r="N14" i="27"/>
  <c r="N12" i="27"/>
  <c r="N10" i="27"/>
  <c r="N8" i="27"/>
  <c r="N6" i="27"/>
  <c r="H14" i="21"/>
  <c r="E14" i="21"/>
  <c r="H12" i="21"/>
  <c r="E12" i="21"/>
  <c r="H10" i="21"/>
  <c r="E10" i="21"/>
  <c r="H8" i="21"/>
  <c r="E8" i="21"/>
  <c r="W5" i="239"/>
  <c r="W7" i="239"/>
  <c r="W9" i="239"/>
  <c r="V11" i="239"/>
  <c r="Y11" i="239" s="1"/>
  <c r="I11" i="277"/>
  <c r="I10" i="277"/>
  <c r="I9" i="277"/>
  <c r="I8" i="277"/>
  <c r="I7" i="277"/>
  <c r="G11" i="277"/>
  <c r="F11" i="277"/>
  <c r="D11" i="277"/>
  <c r="G9" i="277"/>
  <c r="F9" i="277"/>
  <c r="D9" i="277"/>
  <c r="G7" i="277"/>
  <c r="F7" i="277"/>
  <c r="D7" i="277"/>
  <c r="AN111" i="160" l="1"/>
  <c r="AH121" i="160"/>
  <c r="AN105" i="160"/>
  <c r="AH106" i="160"/>
  <c r="AF106" i="161"/>
  <c r="AF121" i="161"/>
  <c r="AG121" i="161"/>
  <c r="AG106" i="161"/>
  <c r="AE121" i="161"/>
  <c r="AE106" i="161"/>
  <c r="AG39" i="161"/>
  <c r="AG44" i="161" s="1"/>
  <c r="AG83" i="161"/>
  <c r="P21" i="285"/>
  <c r="P30" i="285"/>
  <c r="AA13" i="27"/>
  <c r="AH20" i="161"/>
  <c r="AN20" i="161" s="1"/>
  <c r="AE39" i="161"/>
  <c r="AE44" i="161" s="1"/>
  <c r="AF39" i="161"/>
  <c r="AF44" i="161" s="1"/>
  <c r="AG95" i="161"/>
  <c r="AH105" i="161"/>
  <c r="AH94" i="161"/>
  <c r="AN94" i="161" s="1"/>
  <c r="AH119" i="161"/>
  <c r="AN119" i="161" s="1"/>
  <c r="AN121" i="160"/>
  <c r="AH112" i="161"/>
  <c r="AN112" i="161" s="1"/>
  <c r="AH100" i="161"/>
  <c r="AN100" i="161" s="1"/>
  <c r="AH99" i="161"/>
  <c r="AN99" i="161" s="1"/>
  <c r="AH95" i="160"/>
  <c r="AN95" i="160" s="1"/>
  <c r="AH79" i="161"/>
  <c r="AN79" i="161" s="1"/>
  <c r="AH17" i="161"/>
  <c r="AN17" i="161" s="1"/>
  <c r="AE23" i="160"/>
  <c r="AH22" i="160"/>
  <c r="AN22" i="160" s="1"/>
  <c r="AF101" i="161"/>
  <c r="AH104" i="161"/>
  <c r="AN104" i="161" s="1"/>
  <c r="AH118" i="161"/>
  <c r="AN118" i="161" s="1"/>
  <c r="AH58" i="161"/>
  <c r="AN58" i="161" s="1"/>
  <c r="AF95" i="161"/>
  <c r="AH117" i="161"/>
  <c r="AN117" i="161" s="1"/>
  <c r="AH36" i="161"/>
  <c r="AN36" i="161" s="1"/>
  <c r="AH64" i="161"/>
  <c r="AN64" i="161" s="1"/>
  <c r="AH59" i="161"/>
  <c r="AN59" i="161" s="1"/>
  <c r="AG61" i="161"/>
  <c r="AH57" i="161"/>
  <c r="AN57" i="161" s="1"/>
  <c r="AG68" i="161"/>
  <c r="AH72" i="161"/>
  <c r="AN72" i="161" s="1"/>
  <c r="AG75" i="161"/>
  <c r="AH73" i="161"/>
  <c r="AN73" i="161" s="1"/>
  <c r="AH41" i="161"/>
  <c r="AN41" i="161" s="1"/>
  <c r="AH37" i="161"/>
  <c r="AN37" i="161" s="1"/>
  <c r="AH38" i="161"/>
  <c r="AN38" i="161" s="1"/>
  <c r="AH32" i="161"/>
  <c r="AN32" i="161" s="1"/>
  <c r="AH31" i="161"/>
  <c r="AN31" i="161" s="1"/>
  <c r="AH39" i="160"/>
  <c r="AN39" i="160" s="1"/>
  <c r="AG22" i="161"/>
  <c r="AH21" i="161"/>
  <c r="AN21" i="161" s="1"/>
  <c r="AH35" i="161"/>
  <c r="AN35" i="161" s="1"/>
  <c r="AH65" i="161"/>
  <c r="AN65" i="161" s="1"/>
  <c r="AH66" i="161"/>
  <c r="AN66" i="161" s="1"/>
  <c r="AH80" i="161"/>
  <c r="AN80" i="161" s="1"/>
  <c r="AH82" i="161"/>
  <c r="AN82" i="161" s="1"/>
  <c r="AG101" i="161"/>
  <c r="AH116" i="161"/>
  <c r="AN116" i="161" s="1"/>
  <c r="AH18" i="161"/>
  <c r="AN18" i="161" s="1"/>
  <c r="AH56" i="161"/>
  <c r="AN56" i="161" s="1"/>
  <c r="AE68" i="161"/>
  <c r="AF68" i="161"/>
  <c r="AH70" i="161"/>
  <c r="AN70" i="161" s="1"/>
  <c r="AF75" i="161"/>
  <c r="AH77" i="161"/>
  <c r="AN77" i="161" s="1"/>
  <c r="AH93" i="161"/>
  <c r="AN93" i="161" s="1"/>
  <c r="AH98" i="161"/>
  <c r="AN98" i="161" s="1"/>
  <c r="AE22" i="161"/>
  <c r="AH33" i="161"/>
  <c r="AN33" i="161" s="1"/>
  <c r="AH34" i="161"/>
  <c r="AN34" i="161" s="1"/>
  <c r="AH60" i="161"/>
  <c r="AN60" i="161" s="1"/>
  <c r="AH67" i="161"/>
  <c r="AN67" i="161" s="1"/>
  <c r="AH74" i="161"/>
  <c r="AN74" i="161" s="1"/>
  <c r="AF83" i="161"/>
  <c r="AE101" i="161"/>
  <c r="AH114" i="161"/>
  <c r="AN114" i="161" s="1"/>
  <c r="AH115" i="161"/>
  <c r="AN115" i="161" s="1"/>
  <c r="AH14" i="161"/>
  <c r="AN14" i="161" s="1"/>
  <c r="AH13" i="161"/>
  <c r="AN13" i="161" s="1"/>
  <c r="AH12" i="161"/>
  <c r="AN12" i="161" s="1"/>
  <c r="AH10" i="161"/>
  <c r="AN10" i="161" s="1"/>
  <c r="AF15" i="161"/>
  <c r="AH9" i="161"/>
  <c r="AN9" i="161" s="1"/>
  <c r="AE15" i="161"/>
  <c r="AH11" i="161"/>
  <c r="AN11" i="161" s="1"/>
  <c r="AH8" i="161"/>
  <c r="AN8" i="161" s="1"/>
  <c r="AG15" i="161"/>
  <c r="AG54" i="161"/>
  <c r="AH51" i="161"/>
  <c r="AN51" i="161" s="1"/>
  <c r="AF54" i="161"/>
  <c r="AE54" i="161"/>
  <c r="M102" i="159"/>
  <c r="P102" i="159" s="1"/>
  <c r="M35" i="159"/>
  <c r="P35" i="159" s="1"/>
  <c r="M129" i="159"/>
  <c r="P129" i="159" s="1"/>
  <c r="M68" i="159"/>
  <c r="P68" i="159" s="1"/>
  <c r="M26" i="27"/>
  <c r="AH111" i="161"/>
  <c r="AH91" i="161"/>
  <c r="AN91" i="161" s="1"/>
  <c r="AE95" i="161"/>
  <c r="AH97" i="161"/>
  <c r="AN97" i="161" s="1"/>
  <c r="AF61" i="161"/>
  <c r="AE83" i="161"/>
  <c r="AH52" i="161"/>
  <c r="AN52" i="161" s="1"/>
  <c r="AH71" i="161"/>
  <c r="AN71" i="161" s="1"/>
  <c r="AH53" i="161"/>
  <c r="AN53" i="161" s="1"/>
  <c r="AE61" i="161"/>
  <c r="AH63" i="161"/>
  <c r="AN63" i="161" s="1"/>
  <c r="AE75" i="161"/>
  <c r="AH43" i="161"/>
  <c r="AN43" i="161" s="1"/>
  <c r="AF22" i="161"/>
  <c r="AH7" i="161"/>
  <c r="AN7" i="161" s="1"/>
  <c r="AN106" i="160"/>
  <c r="AH101" i="160"/>
  <c r="AN101" i="160" s="1"/>
  <c r="AG107" i="160"/>
  <c r="AF107" i="160"/>
  <c r="AE107" i="160"/>
  <c r="AH83" i="160"/>
  <c r="AN83" i="160" s="1"/>
  <c r="AH75" i="160"/>
  <c r="AN75" i="160" s="1"/>
  <c r="AG84" i="160"/>
  <c r="AH68" i="160"/>
  <c r="AN68" i="160" s="1"/>
  <c r="AH61" i="160"/>
  <c r="AN61" i="160" s="1"/>
  <c r="AE84" i="160"/>
  <c r="AH54" i="160"/>
  <c r="AN54" i="160" s="1"/>
  <c r="AF84" i="160"/>
  <c r="AG23" i="160"/>
  <c r="AF23" i="160"/>
  <c r="AH15" i="160"/>
  <c r="AN15" i="160" s="1"/>
  <c r="D30" i="285"/>
  <c r="H30" i="285"/>
  <c r="J30" i="285"/>
  <c r="L30" i="285"/>
  <c r="H21" i="285"/>
  <c r="J21" i="285"/>
  <c r="P12" i="285"/>
  <c r="H12" i="285"/>
  <c r="J12" i="285"/>
  <c r="F30" i="285"/>
  <c r="D21" i="285"/>
  <c r="L21" i="285"/>
  <c r="F21" i="285"/>
  <c r="D12" i="285"/>
  <c r="L12" i="285"/>
  <c r="F12" i="285"/>
  <c r="J73" i="286"/>
  <c r="AN111" i="161" l="1"/>
  <c r="AH121" i="161"/>
  <c r="AN121" i="161" s="1"/>
  <c r="AN105" i="161"/>
  <c r="AH106" i="161"/>
  <c r="AN106" i="161" s="1"/>
  <c r="AH95" i="161"/>
  <c r="AN95" i="161" s="1"/>
  <c r="AH39" i="161"/>
  <c r="AH22" i="161"/>
  <c r="AN22" i="161" s="1"/>
  <c r="AG107" i="161"/>
  <c r="AF107" i="161"/>
  <c r="AG23" i="161"/>
  <c r="AE107" i="161"/>
  <c r="AE23" i="161"/>
  <c r="AG84" i="161"/>
  <c r="AF84" i="161"/>
  <c r="AH83" i="161"/>
  <c r="AN83" i="161" s="1"/>
  <c r="AH61" i="161"/>
  <c r="AN61" i="161" s="1"/>
  <c r="AH75" i="161"/>
  <c r="AN75" i="161" s="1"/>
  <c r="AF23" i="161"/>
  <c r="AE84" i="161"/>
  <c r="M136" i="159"/>
  <c r="P136" i="159" s="1"/>
  <c r="AH101" i="161"/>
  <c r="AH54" i="161"/>
  <c r="AN54" i="161" s="1"/>
  <c r="AH68" i="161"/>
  <c r="AN68" i="161" s="1"/>
  <c r="AH15" i="161"/>
  <c r="AN15" i="161" s="1"/>
  <c r="AH107" i="160"/>
  <c r="AN107" i="160" s="1"/>
  <c r="AE124" i="160"/>
  <c r="AH84" i="160"/>
  <c r="AN84" i="160" s="1"/>
  <c r="AG124" i="160"/>
  <c r="AF124" i="160"/>
  <c r="AH44" i="160"/>
  <c r="AN44" i="160" s="1"/>
  <c r="AH23" i="160"/>
  <c r="AN23" i="160" s="1"/>
  <c r="M75" i="286"/>
  <c r="M73" i="286"/>
  <c r="M72" i="286"/>
  <c r="M26" i="286"/>
  <c r="M39" i="286" s="1"/>
  <c r="M43" i="286" s="1"/>
  <c r="M71" i="286" s="1"/>
  <c r="AE124" i="161" l="1"/>
  <c r="AH107" i="161"/>
  <c r="AN107" i="161" s="1"/>
  <c r="AN101" i="161"/>
  <c r="AH44" i="161"/>
  <c r="AN44" i="161" s="1"/>
  <c r="AN39" i="161"/>
  <c r="AG124" i="161"/>
  <c r="AF124" i="161"/>
  <c r="AH84" i="161"/>
  <c r="AN84" i="161" s="1"/>
  <c r="AH23" i="161"/>
  <c r="AN23" i="161" s="1"/>
  <c r="AH124" i="160"/>
  <c r="AN124" i="160" s="1"/>
  <c r="AH124" i="161" l="1"/>
  <c r="AN124" i="161" s="1"/>
  <c r="P34" i="37" l="1"/>
  <c r="N34" i="37"/>
  <c r="L34" i="37"/>
  <c r="F34" i="37"/>
  <c r="F24" i="37"/>
  <c r="L24" i="37"/>
  <c r="N24" i="37"/>
  <c r="P24" i="37"/>
  <c r="R24" i="37" l="1"/>
  <c r="E24" i="37" s="1"/>
  <c r="G24" i="37"/>
  <c r="O24" i="37"/>
  <c r="R34" i="37"/>
  <c r="Q34" i="37" s="1"/>
  <c r="Q24" i="37"/>
  <c r="M24" i="37"/>
  <c r="C24" i="37" l="1"/>
  <c r="S24" i="37"/>
  <c r="K24" i="37"/>
  <c r="I24" i="37"/>
  <c r="O34" i="37"/>
  <c r="M34" i="37"/>
  <c r="K34" i="37"/>
  <c r="E34" i="37"/>
  <c r="I34" i="37"/>
  <c r="C34" i="37"/>
  <c r="G34" i="37"/>
  <c r="S34" i="37" l="1"/>
  <c r="AE33" i="261"/>
  <c r="AC33" i="261"/>
  <c r="AA33" i="261"/>
  <c r="Y33" i="261"/>
  <c r="W33" i="261"/>
  <c r="U33" i="261"/>
  <c r="S33" i="261"/>
  <c r="Q33" i="261"/>
  <c r="O33" i="261"/>
  <c r="M33" i="261"/>
  <c r="K33" i="261"/>
  <c r="I33" i="261"/>
  <c r="G33" i="261"/>
  <c r="AE15" i="261"/>
  <c r="AC15" i="261"/>
  <c r="AA15" i="261"/>
  <c r="Y15" i="261"/>
  <c r="W15" i="261"/>
  <c r="U15" i="261"/>
  <c r="S15" i="261"/>
  <c r="Q15" i="261"/>
  <c r="O15" i="261"/>
  <c r="M15" i="261"/>
  <c r="K15" i="261"/>
  <c r="I15" i="261"/>
  <c r="G15" i="261"/>
  <c r="AE49" i="261"/>
  <c r="AD47" i="261"/>
  <c r="AE46" i="261"/>
  <c r="AE45" i="261"/>
  <c r="AE43" i="261"/>
  <c r="AE42" i="261"/>
  <c r="AE41" i="261"/>
  <c r="AE39" i="261"/>
  <c r="AE38" i="261"/>
  <c r="AE37" i="261"/>
  <c r="AE36" i="261"/>
  <c r="AE35" i="261"/>
  <c r="AE34" i="261"/>
  <c r="AE32" i="261"/>
  <c r="AE31" i="261"/>
  <c r="AE30" i="261"/>
  <c r="AE29" i="261"/>
  <c r="AE27" i="261"/>
  <c r="AE26" i="261"/>
  <c r="AE25" i="261"/>
  <c r="AE24" i="261"/>
  <c r="AE23" i="261"/>
  <c r="AE22" i="261"/>
  <c r="AE21" i="261"/>
  <c r="AE20" i="261"/>
  <c r="AE19" i="261"/>
  <c r="AE18" i="261"/>
  <c r="AE17" i="261"/>
  <c r="AE16" i="261"/>
  <c r="AE14" i="261"/>
  <c r="AE13" i="261"/>
  <c r="AE12" i="261"/>
  <c r="AE11" i="261"/>
  <c r="AE10" i="261"/>
  <c r="AE9" i="261"/>
  <c r="AE8" i="261"/>
  <c r="AE7" i="261"/>
  <c r="AE6" i="261"/>
  <c r="AE5" i="261"/>
  <c r="AC49" i="261"/>
  <c r="AC46" i="261"/>
  <c r="AC45" i="261"/>
  <c r="AC43" i="261"/>
  <c r="AC42" i="261"/>
  <c r="AC41" i="261"/>
  <c r="AC39" i="261"/>
  <c r="AC38" i="261"/>
  <c r="AC37" i="261"/>
  <c r="AC36" i="261"/>
  <c r="AC35" i="261"/>
  <c r="AC34" i="261"/>
  <c r="AC32" i="261"/>
  <c r="AC31" i="261"/>
  <c r="AC30" i="261"/>
  <c r="AC29" i="261"/>
  <c r="AC27" i="261"/>
  <c r="AC26" i="261"/>
  <c r="AC25" i="261"/>
  <c r="AC24" i="261"/>
  <c r="AC23" i="261"/>
  <c r="AC22" i="261"/>
  <c r="AC21" i="261"/>
  <c r="AC20" i="261"/>
  <c r="AC19" i="261"/>
  <c r="AC18" i="261"/>
  <c r="AC17" i="261"/>
  <c r="AC16" i="261"/>
  <c r="AC14" i="261"/>
  <c r="AC13" i="261"/>
  <c r="AC12" i="261"/>
  <c r="AC11" i="261"/>
  <c r="AC10" i="261"/>
  <c r="AC9" i="261"/>
  <c r="AC8" i="261"/>
  <c r="AC7" i="261"/>
  <c r="AC6" i="261"/>
  <c r="AC5" i="261"/>
  <c r="AD48" i="261" l="1"/>
  <c r="AK48" i="261" s="1"/>
  <c r="AI48" i="261" l="1"/>
  <c r="AG48" i="261"/>
  <c r="AD51" i="261"/>
  <c r="K12" i="276"/>
  <c r="L46" i="39" l="1"/>
  <c r="L47" i="39" s="1"/>
  <c r="L40" i="187"/>
  <c r="L50" i="39" l="1"/>
  <c r="Q16" i="285" l="1"/>
  <c r="P16" i="285" s="1"/>
  <c r="Q7" i="285"/>
  <c r="N7" i="285" s="1"/>
  <c r="P7" i="285" l="1"/>
  <c r="H7" i="285"/>
  <c r="J7" i="285"/>
  <c r="J16" i="285"/>
  <c r="D16" i="285"/>
  <c r="L16" i="285"/>
  <c r="F16" i="285"/>
  <c r="N16" i="285"/>
  <c r="H16" i="285"/>
  <c r="D7" i="285"/>
  <c r="L7" i="285"/>
  <c r="F7" i="285"/>
  <c r="K38" i="281"/>
  <c r="Q38" i="281" s="1"/>
  <c r="J38" i="281"/>
  <c r="P38" i="281" s="1"/>
  <c r="I38" i="281"/>
  <c r="O38" i="281" s="1"/>
  <c r="D26" i="278" l="1"/>
  <c r="G26" i="278"/>
  <c r="F26" i="278" s="1"/>
  <c r="AD111" i="308" l="1"/>
  <c r="AE110" i="308"/>
  <c r="AE109" i="308"/>
  <c r="AE108" i="308"/>
  <c r="AE107" i="308"/>
  <c r="AE106" i="308"/>
  <c r="AE105" i="308"/>
  <c r="AE104" i="308"/>
  <c r="AE103" i="308"/>
  <c r="AE102" i="308"/>
  <c r="AE101" i="308"/>
  <c r="AE100" i="308"/>
  <c r="AD98" i="308"/>
  <c r="AE97" i="308"/>
  <c r="AE96" i="308"/>
  <c r="AE95" i="308"/>
  <c r="AE94" i="308"/>
  <c r="AE93" i="308"/>
  <c r="AE92" i="308"/>
  <c r="AE91" i="308"/>
  <c r="AD86" i="308"/>
  <c r="AE85" i="308"/>
  <c r="AE84" i="308"/>
  <c r="AE83" i="308"/>
  <c r="AE82" i="308"/>
  <c r="AD80" i="308"/>
  <c r="AE79" i="308"/>
  <c r="AE78" i="308"/>
  <c r="AE77" i="308"/>
  <c r="AE76" i="308"/>
  <c r="AE75" i="308"/>
  <c r="AE74" i="308"/>
  <c r="AE70" i="308"/>
  <c r="AE69" i="308"/>
  <c r="AE68" i="308"/>
  <c r="AE67" i="308"/>
  <c r="AE66" i="308"/>
  <c r="AE65" i="308"/>
  <c r="AE64" i="308"/>
  <c r="AE63" i="308"/>
  <c r="AE62" i="308"/>
  <c r="AE61" i="308"/>
  <c r="AD56" i="308"/>
  <c r="AE55" i="308"/>
  <c r="AE54" i="308"/>
  <c r="AD52" i="308"/>
  <c r="AE51" i="308"/>
  <c r="AE50" i="308"/>
  <c r="AE49" i="308"/>
  <c r="AD47" i="308"/>
  <c r="AE46" i="308"/>
  <c r="AE45" i="308"/>
  <c r="AD43" i="308"/>
  <c r="AE42" i="308"/>
  <c r="AE41" i="308"/>
  <c r="AE40" i="308"/>
  <c r="AE39" i="308"/>
  <c r="AE38" i="308"/>
  <c r="AD36" i="308"/>
  <c r="AE35" i="308"/>
  <c r="AE34" i="308"/>
  <c r="AD29" i="308"/>
  <c r="AE28" i="308"/>
  <c r="AE27" i="308"/>
  <c r="AE26" i="308"/>
  <c r="AE25" i="308"/>
  <c r="AE22" i="308"/>
  <c r="AE21" i="308"/>
  <c r="AD18" i="308"/>
  <c r="AE17" i="308"/>
  <c r="AE16" i="308"/>
  <c r="AE15" i="308"/>
  <c r="AE14" i="308"/>
  <c r="AE13" i="308"/>
  <c r="AE12" i="308"/>
  <c r="AE11" i="308"/>
  <c r="AD9" i="308"/>
  <c r="AE8" i="308"/>
  <c r="AE7" i="308"/>
  <c r="AE6" i="308"/>
  <c r="L104" i="187"/>
  <c r="L91" i="187"/>
  <c r="L79" i="187"/>
  <c r="L73" i="187"/>
  <c r="L52" i="187"/>
  <c r="L48" i="187"/>
  <c r="L44" i="187"/>
  <c r="K40" i="187"/>
  <c r="L33" i="187"/>
  <c r="L26" i="187"/>
  <c r="L17" i="187"/>
  <c r="L9" i="187"/>
  <c r="L105" i="187" l="1"/>
  <c r="L80" i="187"/>
  <c r="L53" i="187"/>
  <c r="L27" i="187"/>
  <c r="AD57" i="308"/>
  <c r="AD30" i="308"/>
  <c r="AD87" i="308"/>
  <c r="AD112" i="308"/>
  <c r="J51" i="48"/>
  <c r="J55" i="48" s="1"/>
  <c r="J58" i="49"/>
  <c r="J42" i="50"/>
  <c r="J46" i="50" s="1"/>
  <c r="L106" i="187" l="1"/>
  <c r="AD113" i="308"/>
  <c r="D27" i="315"/>
  <c r="C27" i="315"/>
  <c r="E26" i="315"/>
  <c r="E25" i="315"/>
  <c r="D22" i="315"/>
  <c r="E21" i="315"/>
  <c r="E20" i="315"/>
  <c r="C17" i="315"/>
  <c r="E16" i="315"/>
  <c r="E15" i="315"/>
  <c r="D12" i="315"/>
  <c r="C12" i="315"/>
  <c r="E11" i="315"/>
  <c r="E10" i="315"/>
  <c r="B9" i="315"/>
  <c r="B14" i="315" s="1"/>
  <c r="B19" i="315" s="1"/>
  <c r="B24" i="315" s="1"/>
  <c r="D7" i="315"/>
  <c r="C7" i="315"/>
  <c r="E6" i="315"/>
  <c r="E5" i="315"/>
  <c r="AB113" i="184"/>
  <c r="AA113" i="184"/>
  <c r="Z113" i="184"/>
  <c r="W113" i="184"/>
  <c r="V113" i="184"/>
  <c r="U113" i="184"/>
  <c r="R113" i="184"/>
  <c r="Q113" i="184"/>
  <c r="P113" i="184"/>
  <c r="M113" i="184"/>
  <c r="L113" i="184"/>
  <c r="K113" i="184"/>
  <c r="H113" i="184"/>
  <c r="G113" i="184"/>
  <c r="F113" i="184"/>
  <c r="D113" i="184"/>
  <c r="C113" i="184"/>
  <c r="B113" i="184"/>
  <c r="B72" i="184"/>
  <c r="C72" i="184"/>
  <c r="D72" i="184"/>
  <c r="F72" i="184"/>
  <c r="G72" i="184"/>
  <c r="H72" i="184"/>
  <c r="K72" i="184"/>
  <c r="L72" i="184"/>
  <c r="M72" i="184"/>
  <c r="P72" i="184"/>
  <c r="Q72" i="184"/>
  <c r="R72" i="184"/>
  <c r="U72" i="184"/>
  <c r="V72" i="184"/>
  <c r="W72" i="184"/>
  <c r="Z72" i="184"/>
  <c r="AA72" i="184"/>
  <c r="AB72" i="184"/>
  <c r="AB68" i="184"/>
  <c r="AA68" i="184"/>
  <c r="Z68" i="184"/>
  <c r="W68" i="184"/>
  <c r="V68" i="184"/>
  <c r="U68" i="184"/>
  <c r="R68" i="184"/>
  <c r="Q68" i="184"/>
  <c r="P68" i="184"/>
  <c r="M68" i="184"/>
  <c r="L68" i="184"/>
  <c r="K68" i="184"/>
  <c r="H68" i="184"/>
  <c r="G68" i="184"/>
  <c r="F68" i="184"/>
  <c r="D68" i="184"/>
  <c r="C68" i="184"/>
  <c r="B68" i="184"/>
  <c r="AB67" i="184"/>
  <c r="AA67" i="184"/>
  <c r="Z67" i="184"/>
  <c r="W67" i="184"/>
  <c r="V67" i="184"/>
  <c r="U67" i="184"/>
  <c r="R67" i="184"/>
  <c r="Q67" i="184"/>
  <c r="P67" i="184"/>
  <c r="M67" i="184"/>
  <c r="L67" i="184"/>
  <c r="K67" i="184"/>
  <c r="H67" i="184"/>
  <c r="G67" i="184"/>
  <c r="F67" i="184"/>
  <c r="D67" i="184"/>
  <c r="C67" i="184"/>
  <c r="B67" i="184"/>
  <c r="AB66" i="184"/>
  <c r="AA66" i="184"/>
  <c r="Z66" i="184"/>
  <c r="W66" i="184"/>
  <c r="V66" i="184"/>
  <c r="U66" i="184"/>
  <c r="R66" i="184"/>
  <c r="Q66" i="184"/>
  <c r="P66" i="184"/>
  <c r="M66" i="184"/>
  <c r="L66" i="184"/>
  <c r="K66" i="184"/>
  <c r="H66" i="184"/>
  <c r="G66" i="184"/>
  <c r="F66" i="184"/>
  <c r="D66" i="184"/>
  <c r="C66" i="184"/>
  <c r="B66" i="184"/>
  <c r="AB13" i="184"/>
  <c r="AA13" i="184"/>
  <c r="Z13" i="184"/>
  <c r="W13" i="184"/>
  <c r="V13" i="184"/>
  <c r="U13" i="184"/>
  <c r="R13" i="184"/>
  <c r="Q13" i="184"/>
  <c r="P13" i="184"/>
  <c r="M13" i="184"/>
  <c r="L13" i="184"/>
  <c r="K13" i="184"/>
  <c r="H13" i="184"/>
  <c r="G13" i="184"/>
  <c r="F13" i="184"/>
  <c r="D13" i="184"/>
  <c r="C13" i="184"/>
  <c r="B13" i="184"/>
  <c r="K24" i="181"/>
  <c r="AB12" i="181"/>
  <c r="AB11" i="181"/>
  <c r="AB10" i="181"/>
  <c r="AB9" i="181"/>
  <c r="AB8" i="181"/>
  <c r="AB7" i="181"/>
  <c r="AB6" i="181"/>
  <c r="AB5" i="181"/>
  <c r="L22" i="181"/>
  <c r="L20" i="181"/>
  <c r="K18" i="181"/>
  <c r="L16" i="181"/>
  <c r="L14" i="181"/>
  <c r="L12" i="181"/>
  <c r="L10" i="181"/>
  <c r="L8" i="181"/>
  <c r="L6" i="181"/>
  <c r="AB121" i="184"/>
  <c r="AA121" i="184"/>
  <c r="Z121" i="184"/>
  <c r="AB120" i="184"/>
  <c r="AA120" i="184"/>
  <c r="Z120" i="184"/>
  <c r="AB119" i="184"/>
  <c r="AA119" i="184"/>
  <c r="Z119" i="184"/>
  <c r="AB118" i="184"/>
  <c r="AA118" i="184"/>
  <c r="Z118" i="184"/>
  <c r="AB117" i="184"/>
  <c r="AA117" i="184"/>
  <c r="Z117" i="184"/>
  <c r="AB116" i="184"/>
  <c r="AA116" i="184"/>
  <c r="Z116" i="184"/>
  <c r="AB114" i="184"/>
  <c r="AA114" i="184"/>
  <c r="Z114" i="184"/>
  <c r="AB107" i="184"/>
  <c r="AA107" i="184"/>
  <c r="Z107" i="184"/>
  <c r="AB106" i="184"/>
  <c r="AA106" i="184"/>
  <c r="Z106" i="184"/>
  <c r="AB102" i="184"/>
  <c r="AA102" i="184"/>
  <c r="Z102" i="184"/>
  <c r="AB101" i="184"/>
  <c r="AA101" i="184"/>
  <c r="Z101" i="184"/>
  <c r="AB100" i="184"/>
  <c r="AA100" i="184"/>
  <c r="Z100" i="184"/>
  <c r="AB99" i="184"/>
  <c r="AA99" i="184"/>
  <c r="Z99" i="184"/>
  <c r="AB98" i="184"/>
  <c r="AA98" i="184"/>
  <c r="Z98" i="184"/>
  <c r="AB95" i="184"/>
  <c r="AA95" i="184"/>
  <c r="Z95" i="184"/>
  <c r="AB94" i="184"/>
  <c r="AA94" i="184"/>
  <c r="Z94" i="184"/>
  <c r="AB92" i="184"/>
  <c r="AA92" i="184"/>
  <c r="Z92" i="184"/>
  <c r="AB83" i="184"/>
  <c r="AA83" i="184"/>
  <c r="Z83" i="184"/>
  <c r="AB81" i="184"/>
  <c r="AA81" i="184"/>
  <c r="Z81" i="184"/>
  <c r="AB79" i="184"/>
  <c r="AA79" i="184"/>
  <c r="Z79" i="184"/>
  <c r="AB75" i="184"/>
  <c r="AA75" i="184"/>
  <c r="Z75" i="184"/>
  <c r="AB74" i="184"/>
  <c r="AA74" i="184"/>
  <c r="Z74" i="184"/>
  <c r="AB73" i="184"/>
  <c r="AA73" i="184"/>
  <c r="Z73" i="184"/>
  <c r="AB71" i="184"/>
  <c r="AA71" i="184"/>
  <c r="Z71" i="184"/>
  <c r="AB65" i="184"/>
  <c r="AA65" i="184"/>
  <c r="Z65" i="184"/>
  <c r="AB64" i="184"/>
  <c r="AA64" i="184"/>
  <c r="Z64" i="184"/>
  <c r="AB61" i="184"/>
  <c r="AA61" i="184"/>
  <c r="Z61" i="184"/>
  <c r="AB60" i="184"/>
  <c r="AA60" i="184"/>
  <c r="Z60" i="184"/>
  <c r="AB59" i="184"/>
  <c r="AA59" i="184"/>
  <c r="Z59" i="184"/>
  <c r="AB58" i="184"/>
  <c r="AA58" i="184"/>
  <c r="Z58" i="184"/>
  <c r="AB57" i="184"/>
  <c r="AA57" i="184"/>
  <c r="Z57" i="184"/>
  <c r="AB56" i="184"/>
  <c r="AA56" i="184"/>
  <c r="Z56" i="184"/>
  <c r="AB53" i="184"/>
  <c r="AA53" i="184"/>
  <c r="Z53" i="184"/>
  <c r="AB52" i="184"/>
  <c r="AA52" i="184"/>
  <c r="Z52" i="184"/>
  <c r="AB44" i="184"/>
  <c r="AA44" i="184"/>
  <c r="Z44" i="184"/>
  <c r="AB42" i="184"/>
  <c r="AA42" i="184"/>
  <c r="Z42" i="184"/>
  <c r="AB39" i="184"/>
  <c r="AA39" i="184"/>
  <c r="Z39" i="184"/>
  <c r="AB38" i="184"/>
  <c r="AA38" i="184"/>
  <c r="Z38" i="184"/>
  <c r="AB37" i="184"/>
  <c r="AA37" i="184"/>
  <c r="Z37" i="184"/>
  <c r="AB36" i="184"/>
  <c r="AA36" i="184"/>
  <c r="Z36" i="184"/>
  <c r="AB35" i="184"/>
  <c r="AA35" i="184"/>
  <c r="Z35" i="184"/>
  <c r="AB34" i="184"/>
  <c r="AA34" i="184"/>
  <c r="Z34" i="184"/>
  <c r="AB33" i="184"/>
  <c r="AA33" i="184"/>
  <c r="Z33" i="184"/>
  <c r="AB32" i="184"/>
  <c r="AA32" i="184"/>
  <c r="Z32" i="184"/>
  <c r="AB22" i="184"/>
  <c r="AA22" i="184"/>
  <c r="Z22" i="184"/>
  <c r="AB21" i="184"/>
  <c r="AA21" i="184"/>
  <c r="Z21" i="184"/>
  <c r="AB19" i="184"/>
  <c r="AA19" i="184"/>
  <c r="Z19" i="184"/>
  <c r="AB18" i="184"/>
  <c r="AA18" i="184"/>
  <c r="Z18" i="184"/>
  <c r="AB15" i="184"/>
  <c r="AA15" i="184"/>
  <c r="Z15" i="184"/>
  <c r="AB14" i="184"/>
  <c r="AA14" i="184"/>
  <c r="Z14" i="184"/>
  <c r="AB12" i="184"/>
  <c r="AA12" i="184"/>
  <c r="Z12" i="184"/>
  <c r="AB11" i="184"/>
  <c r="AA11" i="184"/>
  <c r="Z11" i="184"/>
  <c r="AB10" i="184"/>
  <c r="AA10" i="184"/>
  <c r="Z10" i="184"/>
  <c r="AB9" i="184"/>
  <c r="AA9" i="184"/>
  <c r="Z9" i="184"/>
  <c r="AB8" i="184"/>
  <c r="AA8" i="184"/>
  <c r="Z8" i="184"/>
  <c r="AB7" i="184"/>
  <c r="AA7" i="184"/>
  <c r="Z7" i="184"/>
  <c r="AC68" i="183"/>
  <c r="AI68" i="183" s="1"/>
  <c r="AC67" i="183"/>
  <c r="AI67" i="183" s="1"/>
  <c r="AC66" i="183"/>
  <c r="AI66" i="183" s="1"/>
  <c r="X68" i="183"/>
  <c r="X67" i="183"/>
  <c r="X66" i="183"/>
  <c r="S66" i="183"/>
  <c r="S67" i="183"/>
  <c r="S68" i="183"/>
  <c r="N68" i="183"/>
  <c r="N67" i="183"/>
  <c r="N66" i="183"/>
  <c r="I68" i="183"/>
  <c r="J68" i="183" s="1"/>
  <c r="I67" i="183"/>
  <c r="J67" i="183" s="1"/>
  <c r="I66" i="183"/>
  <c r="J66" i="183" s="1"/>
  <c r="AC13" i="183"/>
  <c r="AI13" i="183" s="1"/>
  <c r="X13" i="183"/>
  <c r="S13" i="183"/>
  <c r="N13" i="183"/>
  <c r="I13" i="183"/>
  <c r="AC44" i="183"/>
  <c r="AI44" i="183" s="1"/>
  <c r="AC42" i="183"/>
  <c r="AI42" i="183" s="1"/>
  <c r="AC39" i="183"/>
  <c r="AI39" i="183" s="1"/>
  <c r="AC38" i="183"/>
  <c r="AI38" i="183" s="1"/>
  <c r="AC37" i="183"/>
  <c r="AI37" i="183" s="1"/>
  <c r="AC36" i="183"/>
  <c r="AI36" i="183" s="1"/>
  <c r="AC35" i="183"/>
  <c r="AI35" i="183" s="1"/>
  <c r="AC34" i="183"/>
  <c r="AI34" i="183" s="1"/>
  <c r="AC33" i="183"/>
  <c r="AI33" i="183" s="1"/>
  <c r="AC32" i="183"/>
  <c r="AC113" i="183"/>
  <c r="I113" i="183"/>
  <c r="N113" i="183"/>
  <c r="S113" i="183"/>
  <c r="X113" i="183"/>
  <c r="AC121" i="183"/>
  <c r="AI121" i="183" s="1"/>
  <c r="AC120" i="183"/>
  <c r="AI120" i="183" s="1"/>
  <c r="AC119" i="183"/>
  <c r="AI119" i="183" s="1"/>
  <c r="AC118" i="183"/>
  <c r="AI118" i="183" s="1"/>
  <c r="AC117" i="183"/>
  <c r="AI117" i="183" s="1"/>
  <c r="AC116" i="183"/>
  <c r="AI116" i="183" s="1"/>
  <c r="AC114" i="183"/>
  <c r="AI114" i="183" s="1"/>
  <c r="AC107" i="183"/>
  <c r="AC106" i="183"/>
  <c r="AI106" i="183" s="1"/>
  <c r="AB103" i="183"/>
  <c r="AA103" i="183"/>
  <c r="Z103" i="183"/>
  <c r="AC102" i="183"/>
  <c r="AI102" i="183" s="1"/>
  <c r="AC101" i="183"/>
  <c r="AI101" i="183" s="1"/>
  <c r="AC100" i="183"/>
  <c r="AI100" i="183" s="1"/>
  <c r="AC99" i="183"/>
  <c r="AI99" i="183" s="1"/>
  <c r="AC98" i="183"/>
  <c r="AI98" i="183" s="1"/>
  <c r="AB96" i="183"/>
  <c r="AA96" i="183"/>
  <c r="Z96" i="183"/>
  <c r="AC95" i="183"/>
  <c r="AI95" i="183" s="1"/>
  <c r="AC94" i="183"/>
  <c r="AI94" i="183" s="1"/>
  <c r="AC92" i="183"/>
  <c r="AI92" i="183" s="1"/>
  <c r="AC83" i="183"/>
  <c r="AI83" i="183" s="1"/>
  <c r="AC81" i="183"/>
  <c r="AI81" i="183" s="1"/>
  <c r="AC79" i="183"/>
  <c r="AB76" i="183"/>
  <c r="AA76" i="183"/>
  <c r="Z76" i="183"/>
  <c r="AC75" i="183"/>
  <c r="AI75" i="183" s="1"/>
  <c r="AC74" i="183"/>
  <c r="AI74" i="183" s="1"/>
  <c r="AC73" i="183"/>
  <c r="AI73" i="183" s="1"/>
  <c r="AC72" i="183"/>
  <c r="AI72" i="183" s="1"/>
  <c r="AC71" i="183"/>
  <c r="AI71" i="183" s="1"/>
  <c r="AC65" i="183"/>
  <c r="AI65" i="183" s="1"/>
  <c r="AC64" i="183"/>
  <c r="AB62" i="183"/>
  <c r="AA62" i="183"/>
  <c r="Z62" i="183"/>
  <c r="AC61" i="183"/>
  <c r="AI61" i="183" s="1"/>
  <c r="AC60" i="183"/>
  <c r="AI60" i="183" s="1"/>
  <c r="AC59" i="183"/>
  <c r="AI59" i="183" s="1"/>
  <c r="AC58" i="183"/>
  <c r="AI58" i="183" s="1"/>
  <c r="AC57" i="183"/>
  <c r="AI57" i="183" s="1"/>
  <c r="AC56" i="183"/>
  <c r="AI56" i="183" s="1"/>
  <c r="AB54" i="183"/>
  <c r="AA54" i="183"/>
  <c r="Z54" i="183"/>
  <c r="AC53" i="183"/>
  <c r="AI53" i="183" s="1"/>
  <c r="AC52" i="183"/>
  <c r="AI52" i="183" s="1"/>
  <c r="AB45" i="183"/>
  <c r="AA45" i="183"/>
  <c r="Z45" i="183"/>
  <c r="AB23" i="183"/>
  <c r="AA23" i="183"/>
  <c r="Z23" i="183"/>
  <c r="AC22" i="183"/>
  <c r="AI22" i="183" s="1"/>
  <c r="AC21" i="183"/>
  <c r="AI21" i="183" s="1"/>
  <c r="AC19" i="183"/>
  <c r="AI19" i="183" s="1"/>
  <c r="AC18" i="183"/>
  <c r="AI18" i="183" s="1"/>
  <c r="AB16" i="183"/>
  <c r="AA16" i="183"/>
  <c r="Z16" i="183"/>
  <c r="AC15" i="183"/>
  <c r="AI15" i="183" s="1"/>
  <c r="AC14" i="183"/>
  <c r="AI14" i="183" s="1"/>
  <c r="AC12" i="183"/>
  <c r="AI12" i="183" s="1"/>
  <c r="AC11" i="183"/>
  <c r="AI11" i="183" s="1"/>
  <c r="AC10" i="183"/>
  <c r="AI10" i="183" s="1"/>
  <c r="AC9" i="183"/>
  <c r="AI9" i="183" s="1"/>
  <c r="AC8" i="183"/>
  <c r="AI8" i="183" s="1"/>
  <c r="AC7" i="183"/>
  <c r="AI7" i="183" s="1"/>
  <c r="Z123" i="184" l="1"/>
  <c r="AA123" i="184"/>
  <c r="AB123" i="184"/>
  <c r="AI64" i="183"/>
  <c r="AC69" i="183"/>
  <c r="AI69" i="183" s="1"/>
  <c r="O68" i="183"/>
  <c r="AI79" i="183"/>
  <c r="AC84" i="183"/>
  <c r="O67" i="183"/>
  <c r="AD113" i="183"/>
  <c r="AC123" i="183"/>
  <c r="AI123" i="183" s="1"/>
  <c r="AA84" i="184"/>
  <c r="Z108" i="184"/>
  <c r="Z84" i="184"/>
  <c r="AB84" i="184"/>
  <c r="AA40" i="184"/>
  <c r="AA45" i="184" s="1"/>
  <c r="AA108" i="184"/>
  <c r="AB40" i="184"/>
  <c r="AB45" i="184" s="1"/>
  <c r="AB108" i="184"/>
  <c r="N18" i="181"/>
  <c r="N24" i="181"/>
  <c r="Z40" i="184"/>
  <c r="Z45" i="184" s="1"/>
  <c r="O113" i="183"/>
  <c r="AI32" i="183"/>
  <c r="AC40" i="183"/>
  <c r="S66" i="184"/>
  <c r="T67" i="183"/>
  <c r="AD66" i="183"/>
  <c r="AI107" i="183"/>
  <c r="AC108" i="183"/>
  <c r="AI108" i="183" s="1"/>
  <c r="Y113" i="183"/>
  <c r="O13" i="183"/>
  <c r="O66" i="183"/>
  <c r="AC72" i="184"/>
  <c r="AI72" i="184" s="1"/>
  <c r="E72" i="184"/>
  <c r="Z24" i="183"/>
  <c r="AI113" i="183"/>
  <c r="J13" i="183"/>
  <c r="T68" i="183"/>
  <c r="AB69" i="184"/>
  <c r="I72" i="184"/>
  <c r="J113" i="183"/>
  <c r="AD68" i="183"/>
  <c r="S72" i="184"/>
  <c r="AB24" i="183"/>
  <c r="T113" i="183"/>
  <c r="Y13" i="183"/>
  <c r="Y68" i="183"/>
  <c r="T66" i="183"/>
  <c r="Z69" i="184"/>
  <c r="I66" i="184"/>
  <c r="I68" i="184"/>
  <c r="AC68" i="184"/>
  <c r="AI68" i="184" s="1"/>
  <c r="N72" i="184"/>
  <c r="E113" i="184"/>
  <c r="I113" i="184"/>
  <c r="AI40" i="183"/>
  <c r="T13" i="183"/>
  <c r="Y66" i="183"/>
  <c r="E68" i="184"/>
  <c r="J68" i="184" s="1"/>
  <c r="N113" i="184"/>
  <c r="S113" i="184"/>
  <c r="AC113" i="184"/>
  <c r="I67" i="184"/>
  <c r="AC67" i="184"/>
  <c r="AI67" i="184" s="1"/>
  <c r="X72" i="184"/>
  <c r="AD13" i="183"/>
  <c r="X66" i="184"/>
  <c r="E67" i="184"/>
  <c r="N68" i="184"/>
  <c r="S68" i="184"/>
  <c r="X113" i="184"/>
  <c r="E22" i="315"/>
  <c r="E17" i="315"/>
  <c r="E12" i="315"/>
  <c r="E27" i="315"/>
  <c r="E7" i="315"/>
  <c r="E66" i="184"/>
  <c r="AC66" i="184"/>
  <c r="AI66" i="184" s="1"/>
  <c r="X67" i="184"/>
  <c r="N66" i="184"/>
  <c r="X68" i="184"/>
  <c r="N67" i="184"/>
  <c r="S67" i="184"/>
  <c r="AA69" i="184"/>
  <c r="E13" i="184"/>
  <c r="I13" i="184"/>
  <c r="AC13" i="184"/>
  <c r="AI13" i="184" s="1"/>
  <c r="X13" i="184"/>
  <c r="AB16" i="184"/>
  <c r="AC9" i="184"/>
  <c r="AI9" i="184" s="1"/>
  <c r="AC14" i="184"/>
  <c r="AI14" i="184" s="1"/>
  <c r="AB23" i="184"/>
  <c r="AC21" i="184"/>
  <c r="AI21" i="184" s="1"/>
  <c r="AC33" i="184"/>
  <c r="AI33" i="184" s="1"/>
  <c r="AC37" i="184"/>
  <c r="AI37" i="184" s="1"/>
  <c r="AB54" i="184"/>
  <c r="AC57" i="184"/>
  <c r="AI57" i="184" s="1"/>
  <c r="AC61" i="184"/>
  <c r="AI61" i="184" s="1"/>
  <c r="AC118" i="184"/>
  <c r="AI118" i="184" s="1"/>
  <c r="N13" i="184"/>
  <c r="S13" i="184"/>
  <c r="Z96" i="184"/>
  <c r="AC95" i="184"/>
  <c r="AI95" i="184" s="1"/>
  <c r="AC114" i="184"/>
  <c r="AI114" i="184" s="1"/>
  <c r="AC119" i="184"/>
  <c r="AI119" i="184" s="1"/>
  <c r="Z16" i="184"/>
  <c r="AC32" i="184"/>
  <c r="AC36" i="184"/>
  <c r="AI36" i="184" s="1"/>
  <c r="AC42" i="184"/>
  <c r="AI42" i="184" s="1"/>
  <c r="Z62" i="184"/>
  <c r="AC60" i="184"/>
  <c r="AI60" i="184" s="1"/>
  <c r="Z76" i="184"/>
  <c r="AC75" i="184"/>
  <c r="AI75" i="184" s="1"/>
  <c r="AA96" i="184"/>
  <c r="AC99" i="184"/>
  <c r="AI99" i="184" s="1"/>
  <c r="AC81" i="184"/>
  <c r="AI81" i="184" s="1"/>
  <c r="AB103" i="184"/>
  <c r="AA16" i="184"/>
  <c r="AC10" i="184"/>
  <c r="AI10" i="184" s="1"/>
  <c r="AC15" i="184"/>
  <c r="AI15" i="184" s="1"/>
  <c r="AA23" i="184"/>
  <c r="AC22" i="184"/>
  <c r="AI22" i="184" s="1"/>
  <c r="AC117" i="184"/>
  <c r="AI117" i="184" s="1"/>
  <c r="AC120" i="184"/>
  <c r="AI120" i="184" s="1"/>
  <c r="AC121" i="184"/>
  <c r="AI121" i="184" s="1"/>
  <c r="AB13" i="181"/>
  <c r="K26" i="181"/>
  <c r="Y67" i="183"/>
  <c r="AC8" i="184"/>
  <c r="AI8" i="184" s="1"/>
  <c r="AC12" i="184"/>
  <c r="AI12" i="184" s="1"/>
  <c r="AC19" i="184"/>
  <c r="AI19" i="184" s="1"/>
  <c r="AC11" i="184"/>
  <c r="AI11" i="184" s="1"/>
  <c r="AC18" i="184"/>
  <c r="AI18" i="184" s="1"/>
  <c r="AC100" i="184"/>
  <c r="AI100" i="184" s="1"/>
  <c r="AC35" i="184"/>
  <c r="AI35" i="184" s="1"/>
  <c r="AC39" i="184"/>
  <c r="AI39" i="184" s="1"/>
  <c r="Z54" i="184"/>
  <c r="AA62" i="184"/>
  <c r="AC59" i="184"/>
  <c r="AI59" i="184" s="1"/>
  <c r="AA76" i="184"/>
  <c r="AC74" i="184"/>
  <c r="AI74" i="184" s="1"/>
  <c r="AC83" i="184"/>
  <c r="AI83" i="184" s="1"/>
  <c r="AC92" i="184"/>
  <c r="AI92" i="184" s="1"/>
  <c r="AB96" i="184"/>
  <c r="Z103" i="184"/>
  <c r="AC116" i="184"/>
  <c r="AI116" i="184" s="1"/>
  <c r="AC34" i="184"/>
  <c r="AI34" i="184" s="1"/>
  <c r="AC38" i="184"/>
  <c r="AI38" i="184" s="1"/>
  <c r="AC52" i="184"/>
  <c r="AI52" i="184" s="1"/>
  <c r="AA54" i="184"/>
  <c r="AB62" i="184"/>
  <c r="AC58" i="184"/>
  <c r="AI58" i="184" s="1"/>
  <c r="AC64" i="184"/>
  <c r="AI64" i="184" s="1"/>
  <c r="AB76" i="184"/>
  <c r="AC73" i="184"/>
  <c r="AI73" i="184" s="1"/>
  <c r="AC98" i="184"/>
  <c r="AI98" i="184" s="1"/>
  <c r="AC101" i="184"/>
  <c r="AI101" i="184" s="1"/>
  <c r="AC102" i="184"/>
  <c r="AI102" i="184" s="1"/>
  <c r="AC7" i="184"/>
  <c r="AI7" i="184" s="1"/>
  <c r="Z23" i="184"/>
  <c r="AC53" i="184"/>
  <c r="AI53" i="184" s="1"/>
  <c r="AC56" i="184"/>
  <c r="AI56" i="184" s="1"/>
  <c r="AC65" i="184"/>
  <c r="AI65" i="184" s="1"/>
  <c r="AC71" i="184"/>
  <c r="AI71" i="184" s="1"/>
  <c r="AC79" i="184"/>
  <c r="AC94" i="184"/>
  <c r="AI94" i="184" s="1"/>
  <c r="AA103" i="184"/>
  <c r="AC107" i="184"/>
  <c r="AI107" i="184" s="1"/>
  <c r="AC44" i="184"/>
  <c r="AI44" i="184" s="1"/>
  <c r="AC106" i="184"/>
  <c r="AD67" i="183"/>
  <c r="AC62" i="183"/>
  <c r="AI62" i="183" s="1"/>
  <c r="Z85" i="183"/>
  <c r="AI84" i="183"/>
  <c r="AB85" i="183"/>
  <c r="AC54" i="183"/>
  <c r="AI54" i="183" s="1"/>
  <c r="AC96" i="183"/>
  <c r="AI96" i="183" s="1"/>
  <c r="AA109" i="183"/>
  <c r="AC23" i="183"/>
  <c r="AI23" i="183" s="1"/>
  <c r="Z109" i="183"/>
  <c r="AB109" i="183"/>
  <c r="AC103" i="183"/>
  <c r="AI103" i="183" s="1"/>
  <c r="AC76" i="183"/>
  <c r="AI76" i="183" s="1"/>
  <c r="AA85" i="183"/>
  <c r="AC16" i="183"/>
  <c r="AI16" i="183" s="1"/>
  <c r="AA24" i="183"/>
  <c r="J72" i="184" l="1"/>
  <c r="AI113" i="184"/>
  <c r="AC123" i="184"/>
  <c r="AI123" i="184" s="1"/>
  <c r="AD72" i="184"/>
  <c r="AA126" i="183"/>
  <c r="AI79" i="184"/>
  <c r="AC84" i="184"/>
  <c r="AI84" i="184" s="1"/>
  <c r="Z126" i="183"/>
  <c r="N26" i="181"/>
  <c r="AI32" i="184"/>
  <c r="AC40" i="184"/>
  <c r="Y66" i="184"/>
  <c r="AI106" i="184"/>
  <c r="AC108" i="184"/>
  <c r="AI108" i="184" s="1"/>
  <c r="J66" i="184"/>
  <c r="T66" i="184"/>
  <c r="AD66" i="184"/>
  <c r="AD67" i="184"/>
  <c r="T72" i="184"/>
  <c r="O72" i="184"/>
  <c r="J67" i="184"/>
  <c r="AC45" i="183"/>
  <c r="AI45" i="183" s="1"/>
  <c r="AB24" i="184"/>
  <c r="AD68" i="184"/>
  <c r="Y68" i="184"/>
  <c r="J113" i="184"/>
  <c r="T68" i="184"/>
  <c r="T113" i="184"/>
  <c r="Y72" i="184"/>
  <c r="Y113" i="184"/>
  <c r="AD13" i="184"/>
  <c r="Y67" i="184"/>
  <c r="AD113" i="184"/>
  <c r="O113" i="184"/>
  <c r="O68" i="184"/>
  <c r="O66" i="184"/>
  <c r="J13" i="184"/>
  <c r="T67" i="184"/>
  <c r="O67" i="184"/>
  <c r="AC69" i="184"/>
  <c r="AI69" i="184" s="1"/>
  <c r="O13" i="184"/>
  <c r="T13" i="184"/>
  <c r="AB109" i="184"/>
  <c r="Y13" i="184"/>
  <c r="AA109" i="184"/>
  <c r="AC23" i="184"/>
  <c r="AI23" i="184" s="1"/>
  <c r="Z109" i="184"/>
  <c r="AA24" i="184"/>
  <c r="Z24" i="184"/>
  <c r="AB85" i="184"/>
  <c r="Z85" i="184"/>
  <c r="AA85" i="184"/>
  <c r="AB126" i="183"/>
  <c r="AC103" i="184"/>
  <c r="AI103" i="184" s="1"/>
  <c r="AC96" i="184"/>
  <c r="AI96" i="184" s="1"/>
  <c r="AC62" i="184"/>
  <c r="AI62" i="184" s="1"/>
  <c r="AC54" i="184"/>
  <c r="AI54" i="184" s="1"/>
  <c r="AC76" i="184"/>
  <c r="AI76" i="184" s="1"/>
  <c r="AC16" i="184"/>
  <c r="AI16" i="184" s="1"/>
  <c r="AC85" i="183"/>
  <c r="AI85" i="183" s="1"/>
  <c r="AC109" i="183"/>
  <c r="AI109" i="183" s="1"/>
  <c r="AC24" i="183"/>
  <c r="AI24" i="183" s="1"/>
  <c r="AC45" i="184" l="1"/>
  <c r="AI45" i="184" s="1"/>
  <c r="AI40" i="184"/>
  <c r="AB126" i="184"/>
  <c r="AA126" i="184"/>
  <c r="Z126" i="184"/>
  <c r="AC109" i="184"/>
  <c r="AI109" i="184" s="1"/>
  <c r="AC85" i="184"/>
  <c r="AI85" i="184" s="1"/>
  <c r="AC24" i="184"/>
  <c r="AI24" i="184" s="1"/>
  <c r="AC126" i="183"/>
  <c r="AI126" i="183" l="1"/>
  <c r="AC126" i="184"/>
  <c r="AI126" i="184" s="1"/>
  <c r="K39" i="196"/>
  <c r="N39" i="196" s="1"/>
  <c r="L74" i="196"/>
  <c r="L75" i="196"/>
  <c r="J74" i="196"/>
  <c r="J75" i="196"/>
  <c r="H74" i="196"/>
  <c r="H75" i="196"/>
  <c r="F74" i="196"/>
  <c r="F75" i="196"/>
  <c r="L81" i="196"/>
  <c r="L82" i="196"/>
  <c r="L83" i="196"/>
  <c r="J81" i="196"/>
  <c r="J82" i="196"/>
  <c r="J83" i="196"/>
  <c r="H81" i="196"/>
  <c r="H82" i="196"/>
  <c r="H83" i="196"/>
  <c r="F81" i="196"/>
  <c r="F82" i="196"/>
  <c r="F83" i="196"/>
  <c r="C85" i="196"/>
  <c r="L62" i="196"/>
  <c r="L63" i="196"/>
  <c r="L59" i="196"/>
  <c r="J62" i="196"/>
  <c r="J59" i="196"/>
  <c r="H62" i="196"/>
  <c r="H59" i="196"/>
  <c r="F62" i="196"/>
  <c r="F59" i="196"/>
  <c r="L65" i="196"/>
  <c r="L64" i="196"/>
  <c r="L61" i="196"/>
  <c r="L60" i="196"/>
  <c r="J65" i="196"/>
  <c r="J64" i="196"/>
  <c r="J61" i="196"/>
  <c r="J60" i="196"/>
  <c r="H65" i="196"/>
  <c r="H64" i="196"/>
  <c r="H61" i="196"/>
  <c r="H60" i="196"/>
  <c r="F65" i="196"/>
  <c r="F64" i="196"/>
  <c r="F61" i="196"/>
  <c r="F60" i="196"/>
  <c r="K66" i="196"/>
  <c r="N66" i="196" s="1"/>
  <c r="E66" i="196"/>
  <c r="C66" i="196"/>
  <c r="K126" i="196"/>
  <c r="N126" i="196" s="1"/>
  <c r="K133" i="196"/>
  <c r="N133" i="196" s="1"/>
  <c r="L132" i="196"/>
  <c r="L131" i="196"/>
  <c r="L130" i="196"/>
  <c r="L129" i="196"/>
  <c r="L125" i="196"/>
  <c r="L124" i="196"/>
  <c r="L123" i="196"/>
  <c r="L122" i="196"/>
  <c r="L120" i="196"/>
  <c r="L119" i="196"/>
  <c r="L118" i="196"/>
  <c r="L117" i="196"/>
  <c r="L116" i="196"/>
  <c r="L115" i="196"/>
  <c r="K113" i="196"/>
  <c r="N113" i="196" s="1"/>
  <c r="L112" i="196"/>
  <c r="L111" i="196"/>
  <c r="L110" i="196"/>
  <c r="L109" i="196"/>
  <c r="L108" i="196"/>
  <c r="L107" i="196"/>
  <c r="K102" i="196"/>
  <c r="N102" i="196" s="1"/>
  <c r="L101" i="196"/>
  <c r="L100" i="196"/>
  <c r="L99" i="196"/>
  <c r="L98" i="196"/>
  <c r="L97" i="196"/>
  <c r="L96" i="196"/>
  <c r="K94" i="196"/>
  <c r="N94" i="196" s="1"/>
  <c r="L93" i="196"/>
  <c r="L92" i="196"/>
  <c r="L91" i="196"/>
  <c r="L90" i="196"/>
  <c r="L89" i="196"/>
  <c r="L88" i="196"/>
  <c r="L87" i="196"/>
  <c r="K85" i="196"/>
  <c r="N85" i="196" s="1"/>
  <c r="L84" i="196"/>
  <c r="L80" i="196"/>
  <c r="L79" i="196"/>
  <c r="L78" i="196"/>
  <c r="L77" i="196"/>
  <c r="L76" i="196"/>
  <c r="L73" i="196"/>
  <c r="L72" i="196"/>
  <c r="L71" i="196"/>
  <c r="K56" i="196"/>
  <c r="N56" i="196" s="1"/>
  <c r="L55" i="196"/>
  <c r="L54" i="196"/>
  <c r="L53" i="196"/>
  <c r="K51" i="196"/>
  <c r="N51" i="196" s="1"/>
  <c r="L50" i="196"/>
  <c r="L49" i="196"/>
  <c r="K47" i="196"/>
  <c r="N47" i="196" s="1"/>
  <c r="L46" i="196"/>
  <c r="L45" i="196"/>
  <c r="L44" i="196"/>
  <c r="L43" i="196"/>
  <c r="K41" i="196"/>
  <c r="N41" i="196" s="1"/>
  <c r="L40" i="196"/>
  <c r="L39" i="196"/>
  <c r="L38" i="196"/>
  <c r="K33" i="196"/>
  <c r="N33" i="196" s="1"/>
  <c r="L32" i="196"/>
  <c r="L31" i="196"/>
  <c r="L30" i="196"/>
  <c r="L29" i="196"/>
  <c r="L26" i="196"/>
  <c r="L25" i="196"/>
  <c r="L24" i="196"/>
  <c r="L23" i="196"/>
  <c r="K20" i="196"/>
  <c r="N20" i="196" s="1"/>
  <c r="L19" i="196"/>
  <c r="L18" i="196"/>
  <c r="L17" i="196"/>
  <c r="L16" i="196"/>
  <c r="L15" i="196"/>
  <c r="L14" i="196"/>
  <c r="L13" i="196"/>
  <c r="L12" i="196"/>
  <c r="K10" i="196"/>
  <c r="N10" i="196" s="1"/>
  <c r="L9" i="196"/>
  <c r="L8" i="196"/>
  <c r="L7" i="196"/>
  <c r="L6" i="196"/>
  <c r="L5" i="196"/>
  <c r="K127" i="196" l="1"/>
  <c r="N127" i="196" s="1"/>
  <c r="K103" i="196"/>
  <c r="N103" i="196" s="1"/>
  <c r="K67" i="196"/>
  <c r="N67" i="196" s="1"/>
  <c r="K34" i="196"/>
  <c r="N34" i="196" s="1"/>
  <c r="K134" i="196" l="1"/>
  <c r="N134" i="196" s="1"/>
  <c r="AE89" i="274" l="1"/>
  <c r="AE88" i="274"/>
  <c r="AE87" i="274"/>
  <c r="AE86" i="274"/>
  <c r="AC89" i="274"/>
  <c r="AC88" i="274"/>
  <c r="AC87" i="274"/>
  <c r="AC86" i="274"/>
  <c r="AC85" i="274"/>
  <c r="AE85" i="274"/>
  <c r="AA89" i="274"/>
  <c r="AA88" i="274"/>
  <c r="AA87" i="274"/>
  <c r="AA86" i="274"/>
  <c r="AA85" i="274"/>
  <c r="Y89" i="274"/>
  <c r="Y88" i="274"/>
  <c r="Y87" i="274"/>
  <c r="Y86" i="274"/>
  <c r="Y85" i="274"/>
  <c r="W89" i="274"/>
  <c r="W88" i="274"/>
  <c r="W87" i="274"/>
  <c r="W86" i="274"/>
  <c r="W85" i="274"/>
  <c r="U89" i="274"/>
  <c r="S89" i="274"/>
  <c r="Q89" i="274"/>
  <c r="O89" i="274"/>
  <c r="M89" i="274"/>
  <c r="U88" i="274"/>
  <c r="S88" i="274"/>
  <c r="Q88" i="274"/>
  <c r="O88" i="274"/>
  <c r="M88" i="274"/>
  <c r="U87" i="274"/>
  <c r="S87" i="274"/>
  <c r="Q87" i="274"/>
  <c r="O87" i="274"/>
  <c r="M87" i="274"/>
  <c r="U86" i="274"/>
  <c r="S86" i="274"/>
  <c r="Q86" i="274"/>
  <c r="O86" i="274"/>
  <c r="M86" i="274"/>
  <c r="U85" i="274"/>
  <c r="S85" i="274"/>
  <c r="Q85" i="274"/>
  <c r="O85" i="274"/>
  <c r="M85" i="274"/>
  <c r="K89" i="274"/>
  <c r="K88" i="274"/>
  <c r="K87" i="274"/>
  <c r="K86" i="274"/>
  <c r="K85" i="274"/>
  <c r="I89" i="274"/>
  <c r="I88" i="274"/>
  <c r="I87" i="274"/>
  <c r="I86" i="274"/>
  <c r="I85" i="274"/>
  <c r="G89" i="274"/>
  <c r="G88" i="274"/>
  <c r="G87" i="274"/>
  <c r="G86" i="274"/>
  <c r="G85" i="274"/>
  <c r="AC67" i="274"/>
  <c r="AC66" i="274"/>
  <c r="AC62" i="274"/>
  <c r="AA67" i="274"/>
  <c r="AA66" i="274"/>
  <c r="AA62" i="274"/>
  <c r="Y67" i="274"/>
  <c r="Y66" i="274"/>
  <c r="Y62" i="274"/>
  <c r="W67" i="274"/>
  <c r="W66" i="274"/>
  <c r="W62" i="274"/>
  <c r="U67" i="274"/>
  <c r="U66" i="274"/>
  <c r="U62" i="274"/>
  <c r="S67" i="274"/>
  <c r="S66" i="274"/>
  <c r="S62" i="274"/>
  <c r="Q67" i="274"/>
  <c r="Q66" i="274"/>
  <c r="Q62" i="274"/>
  <c r="O67" i="274"/>
  <c r="O66" i="274"/>
  <c r="O62" i="274"/>
  <c r="I68" i="274"/>
  <c r="I67" i="274"/>
  <c r="I66" i="274"/>
  <c r="I65" i="274"/>
  <c r="AE67" i="274"/>
  <c r="AE66" i="274"/>
  <c r="AE65" i="274"/>
  <c r="AE62" i="274"/>
  <c r="AC65" i="274"/>
  <c r="AA65" i="274"/>
  <c r="Y65" i="274"/>
  <c r="W65" i="274"/>
  <c r="U65" i="274"/>
  <c r="S65" i="274"/>
  <c r="Q65" i="274"/>
  <c r="O65" i="274"/>
  <c r="AD49" i="274"/>
  <c r="AB49" i="274"/>
  <c r="Z49" i="274"/>
  <c r="X49" i="274"/>
  <c r="V49" i="274"/>
  <c r="T49" i="274"/>
  <c r="R49" i="274"/>
  <c r="P49" i="274"/>
  <c r="N49" i="274"/>
  <c r="E49" i="274"/>
  <c r="D49" i="274"/>
  <c r="C49" i="274"/>
  <c r="B49" i="274"/>
  <c r="AC47" i="274"/>
  <c r="AE47" i="274"/>
  <c r="AA47" i="274"/>
  <c r="Y47" i="274"/>
  <c r="W47" i="274"/>
  <c r="U47" i="274"/>
  <c r="S47" i="274"/>
  <c r="Q47" i="274"/>
  <c r="O47" i="274"/>
  <c r="M47" i="274"/>
  <c r="K47" i="274"/>
  <c r="I47" i="274"/>
  <c r="G47" i="274"/>
  <c r="AD144" i="274"/>
  <c r="AE143" i="274"/>
  <c r="AE142" i="274"/>
  <c r="AE141" i="274"/>
  <c r="AD137" i="274"/>
  <c r="AE136" i="274"/>
  <c r="AE135" i="274"/>
  <c r="AE134" i="274"/>
  <c r="AE133" i="274"/>
  <c r="AE131" i="274"/>
  <c r="AE130" i="274"/>
  <c r="AE129" i="274"/>
  <c r="AE128" i="274"/>
  <c r="AE127" i="274"/>
  <c r="AE126" i="274"/>
  <c r="AE125" i="274"/>
  <c r="AE124" i="274"/>
  <c r="AE123" i="274"/>
  <c r="AD121" i="274"/>
  <c r="AE120" i="274"/>
  <c r="AE119" i="274"/>
  <c r="AE118" i="274"/>
  <c r="AE117" i="274"/>
  <c r="AE115" i="274"/>
  <c r="AE114" i="274"/>
  <c r="AD109" i="274"/>
  <c r="AE108" i="274"/>
  <c r="AE107" i="274"/>
  <c r="AE106" i="274"/>
  <c r="AE105" i="274"/>
  <c r="AE104" i="274"/>
  <c r="AD102" i="274"/>
  <c r="AE101" i="274"/>
  <c r="AE100" i="274"/>
  <c r="AE99" i="274"/>
  <c r="AE98" i="274"/>
  <c r="AE97" i="274"/>
  <c r="AE96" i="274"/>
  <c r="AE95" i="274"/>
  <c r="AD93" i="274"/>
  <c r="AE92" i="274"/>
  <c r="AE91" i="274"/>
  <c r="AE90" i="274"/>
  <c r="AE84" i="274"/>
  <c r="AE83" i="274"/>
  <c r="AE82" i="274"/>
  <c r="AE81" i="274"/>
  <c r="AE80" i="274"/>
  <c r="AE79" i="274"/>
  <c r="AE78" i="274"/>
  <c r="AE77" i="274"/>
  <c r="AE76" i="274"/>
  <c r="AE75" i="274"/>
  <c r="AE68" i="274"/>
  <c r="AE60" i="274"/>
  <c r="AD58" i="274"/>
  <c r="AE57" i="274"/>
  <c r="AE56" i="274"/>
  <c r="AE55" i="274"/>
  <c r="AD53" i="274"/>
  <c r="AE52" i="274"/>
  <c r="AE51" i="274"/>
  <c r="AE48" i="274"/>
  <c r="AE46" i="274"/>
  <c r="AE45" i="274"/>
  <c r="AD43" i="274"/>
  <c r="AE42" i="274"/>
  <c r="AE41" i="274"/>
  <c r="AE40" i="274"/>
  <c r="AD35" i="274"/>
  <c r="AE34" i="274"/>
  <c r="AE33" i="274"/>
  <c r="AE32" i="274"/>
  <c r="AE31" i="274"/>
  <c r="AE28" i="274"/>
  <c r="AE27" i="274"/>
  <c r="AE26" i="274"/>
  <c r="AE25" i="274"/>
  <c r="AD22" i="274"/>
  <c r="AE21" i="274"/>
  <c r="AE20" i="274"/>
  <c r="AE19" i="274"/>
  <c r="AE18" i="274"/>
  <c r="AE17" i="274"/>
  <c r="AE16" i="274"/>
  <c r="AE15" i="274"/>
  <c r="AD13" i="274"/>
  <c r="AE12" i="274"/>
  <c r="AE11" i="274"/>
  <c r="AE10" i="274"/>
  <c r="AE9" i="274"/>
  <c r="AE8" i="274"/>
  <c r="AE7" i="274"/>
  <c r="AE49" i="274" l="1"/>
  <c r="AI49" i="274"/>
  <c r="AG49" i="274"/>
  <c r="AG70" i="274"/>
  <c r="AD138" i="274"/>
  <c r="AD110" i="274"/>
  <c r="AD71" i="274"/>
  <c r="AD36" i="274"/>
  <c r="AD145" i="274" l="1"/>
  <c r="M54" i="29" l="1"/>
  <c r="L52" i="29"/>
  <c r="M51" i="29"/>
  <c r="M50" i="29"/>
  <c r="M49" i="29"/>
  <c r="M48" i="29"/>
  <c r="M47" i="29"/>
  <c r="M46" i="29"/>
  <c r="M45" i="29"/>
  <c r="M44" i="29"/>
  <c r="M42" i="29"/>
  <c r="M41" i="29"/>
  <c r="M40" i="29"/>
  <c r="M39" i="29"/>
  <c r="M38" i="29"/>
  <c r="M37" i="29"/>
  <c r="M36" i="29"/>
  <c r="M35" i="29"/>
  <c r="M34" i="29"/>
  <c r="M33" i="29"/>
  <c r="M32" i="29"/>
  <c r="M31" i="29"/>
  <c r="M29" i="29"/>
  <c r="M28" i="29"/>
  <c r="M27" i="29"/>
  <c r="M25" i="29"/>
  <c r="M24" i="29"/>
  <c r="M23" i="29"/>
  <c r="M22" i="29"/>
  <c r="M21" i="29"/>
  <c r="M20" i="29"/>
  <c r="M19" i="29"/>
  <c r="M18" i="29"/>
  <c r="M17" i="29"/>
  <c r="M16" i="29"/>
  <c r="M15" i="29"/>
  <c r="M14" i="29"/>
  <c r="M13" i="29"/>
  <c r="M12" i="29"/>
  <c r="M11" i="29"/>
  <c r="M10" i="29"/>
  <c r="M9" i="29"/>
  <c r="M8" i="29"/>
  <c r="M7" i="29"/>
  <c r="M6" i="29"/>
  <c r="G11" i="305"/>
  <c r="K131" i="159"/>
  <c r="N131" i="159" s="1"/>
  <c r="L64" i="159"/>
  <c r="L63" i="159"/>
  <c r="L62" i="159"/>
  <c r="L60" i="159"/>
  <c r="J64" i="159"/>
  <c r="J63" i="159"/>
  <c r="J62" i="159"/>
  <c r="J60" i="159"/>
  <c r="J57" i="159"/>
  <c r="H64" i="159"/>
  <c r="H63" i="159"/>
  <c r="H62" i="159"/>
  <c r="H60" i="159"/>
  <c r="F64" i="159"/>
  <c r="F63" i="159"/>
  <c r="F62" i="159"/>
  <c r="F60" i="159"/>
  <c r="D64" i="159"/>
  <c r="D63" i="159"/>
  <c r="D62" i="159"/>
  <c r="D60" i="159"/>
  <c r="K67" i="159"/>
  <c r="N67" i="159" s="1"/>
  <c r="I67" i="159"/>
  <c r="G67" i="159"/>
  <c r="E67" i="159"/>
  <c r="C67" i="159"/>
  <c r="K46" i="159"/>
  <c r="N46" i="159" s="1"/>
  <c r="I46" i="159"/>
  <c r="G46" i="159"/>
  <c r="C46" i="159"/>
  <c r="B46" i="159"/>
  <c r="L44" i="159"/>
  <c r="J44" i="159"/>
  <c r="H44" i="159"/>
  <c r="F44" i="159"/>
  <c r="D44" i="159"/>
  <c r="L82" i="159"/>
  <c r="L81" i="159"/>
  <c r="L80" i="159"/>
  <c r="J82" i="159"/>
  <c r="J81" i="159"/>
  <c r="J80" i="159"/>
  <c r="H82" i="159"/>
  <c r="H81" i="159"/>
  <c r="H80" i="159"/>
  <c r="F82" i="159"/>
  <c r="F81" i="159"/>
  <c r="F80" i="159"/>
  <c r="D82" i="159"/>
  <c r="D81" i="159"/>
  <c r="D80" i="159"/>
  <c r="J79" i="159"/>
  <c r="L79" i="159"/>
  <c r="H79" i="159"/>
  <c r="F79" i="159"/>
  <c r="D79" i="159"/>
  <c r="J78" i="159"/>
  <c r="L78" i="159"/>
  <c r="H78" i="159"/>
  <c r="F78" i="159"/>
  <c r="D78" i="159"/>
  <c r="L53" i="29" l="1"/>
  <c r="O53" i="29" s="1"/>
  <c r="O52" i="29"/>
  <c r="K135" i="159"/>
  <c r="N135" i="159" s="1"/>
  <c r="L134" i="159"/>
  <c r="L133" i="159"/>
  <c r="L132" i="159"/>
  <c r="L131" i="159"/>
  <c r="K128" i="159"/>
  <c r="N128" i="159" s="1"/>
  <c r="L127" i="159"/>
  <c r="L126" i="159"/>
  <c r="L125" i="159"/>
  <c r="L124" i="159"/>
  <c r="L122" i="159"/>
  <c r="L121" i="159"/>
  <c r="L120" i="159"/>
  <c r="L119" i="159"/>
  <c r="L118" i="159"/>
  <c r="L117" i="159"/>
  <c r="L116" i="159"/>
  <c r="L115" i="159"/>
  <c r="K113" i="159"/>
  <c r="N113" i="159" s="1"/>
  <c r="L112" i="159"/>
  <c r="L111" i="159"/>
  <c r="L110" i="159"/>
  <c r="L109" i="159"/>
  <c r="L107" i="159"/>
  <c r="L106" i="159"/>
  <c r="K101" i="159"/>
  <c r="N101" i="159" s="1"/>
  <c r="L100" i="159"/>
  <c r="L99" i="159"/>
  <c r="L98" i="159"/>
  <c r="L97" i="159"/>
  <c r="L96" i="159"/>
  <c r="K94" i="159"/>
  <c r="N94" i="159" s="1"/>
  <c r="L93" i="159"/>
  <c r="L92" i="159"/>
  <c r="L91" i="159"/>
  <c r="L90" i="159"/>
  <c r="L89" i="159"/>
  <c r="L88" i="159"/>
  <c r="K86" i="159"/>
  <c r="N86" i="159" s="1"/>
  <c r="L85" i="159"/>
  <c r="L84" i="159"/>
  <c r="L83" i="159"/>
  <c r="L77" i="159"/>
  <c r="L76" i="159"/>
  <c r="L75" i="159"/>
  <c r="L74" i="159"/>
  <c r="L73" i="159"/>
  <c r="L72" i="159"/>
  <c r="L65" i="159"/>
  <c r="L57" i="159"/>
  <c r="K55" i="159"/>
  <c r="N55" i="159" s="1"/>
  <c r="L54" i="159"/>
  <c r="L53" i="159"/>
  <c r="L52" i="159"/>
  <c r="K50" i="159"/>
  <c r="N50" i="159" s="1"/>
  <c r="L49" i="159"/>
  <c r="L48" i="159"/>
  <c r="L46" i="159"/>
  <c r="L45" i="159"/>
  <c r="L43" i="159"/>
  <c r="K41" i="159"/>
  <c r="N41" i="159" s="1"/>
  <c r="L40" i="159"/>
  <c r="L39" i="159"/>
  <c r="K34" i="159"/>
  <c r="N34" i="159" s="1"/>
  <c r="L33" i="159"/>
  <c r="L32" i="159"/>
  <c r="L31" i="159"/>
  <c r="L30" i="159"/>
  <c r="N28" i="159"/>
  <c r="L27" i="159"/>
  <c r="L26" i="159"/>
  <c r="L25" i="159"/>
  <c r="K22" i="159"/>
  <c r="N22" i="159" s="1"/>
  <c r="L21" i="159"/>
  <c r="L20" i="159"/>
  <c r="L19" i="159"/>
  <c r="L18" i="159"/>
  <c r="L17" i="159"/>
  <c r="L16" i="159"/>
  <c r="L15" i="159"/>
  <c r="K13" i="159"/>
  <c r="N13" i="159" s="1"/>
  <c r="L12" i="159"/>
  <c r="L11" i="159"/>
  <c r="L10" i="159"/>
  <c r="L9" i="159"/>
  <c r="L8" i="159"/>
  <c r="L7" i="159"/>
  <c r="L6" i="159"/>
  <c r="G51" i="35"/>
  <c r="G55" i="35" s="1"/>
  <c r="G53" i="34"/>
  <c r="G64" i="36"/>
  <c r="G68" i="36" s="1"/>
  <c r="G16" i="259"/>
  <c r="L56" i="29" l="1"/>
  <c r="O56" i="29" s="1"/>
  <c r="K129" i="159"/>
  <c r="N129" i="159" s="1"/>
  <c r="K102" i="159"/>
  <c r="N102" i="159" s="1"/>
  <c r="K68" i="159"/>
  <c r="N68" i="159" s="1"/>
  <c r="K35" i="159"/>
  <c r="N35" i="159" s="1"/>
  <c r="L67" i="159"/>
  <c r="Z12" i="27"/>
  <c r="Z11" i="27"/>
  <c r="Z10" i="27"/>
  <c r="Z9" i="27"/>
  <c r="Z8" i="27"/>
  <c r="Z7" i="27"/>
  <c r="Z6" i="27"/>
  <c r="Z5" i="27"/>
  <c r="K136" i="159" l="1"/>
  <c r="N136" i="159" s="1"/>
  <c r="Z13" i="27"/>
  <c r="K24" i="27"/>
  <c r="N24" i="27" s="1"/>
  <c r="L22" i="27"/>
  <c r="L20" i="27"/>
  <c r="K18" i="27"/>
  <c r="L16" i="27"/>
  <c r="L14" i="27"/>
  <c r="L12" i="27"/>
  <c r="L10" i="27"/>
  <c r="L8" i="27"/>
  <c r="L6" i="27"/>
  <c r="K26" i="27" l="1"/>
  <c r="N26" i="27" s="1"/>
  <c r="N18" i="27"/>
  <c r="H16" i="21"/>
  <c r="E16" i="21"/>
  <c r="T11" i="239"/>
  <c r="W11" i="239" s="1"/>
  <c r="U9" i="239"/>
  <c r="U7" i="239"/>
  <c r="U5" i="239"/>
  <c r="AB112" i="161" l="1"/>
  <c r="AA112" i="161"/>
  <c r="Z112" i="161"/>
  <c r="W112" i="161"/>
  <c r="V112" i="161"/>
  <c r="U112" i="161"/>
  <c r="R112" i="161"/>
  <c r="Q112" i="161"/>
  <c r="P112" i="161"/>
  <c r="M112" i="161"/>
  <c r="L112" i="161"/>
  <c r="K112" i="161"/>
  <c r="H112" i="161"/>
  <c r="G112" i="161"/>
  <c r="F112" i="161"/>
  <c r="D112" i="161"/>
  <c r="C112" i="161"/>
  <c r="B112" i="161"/>
  <c r="AC112" i="160"/>
  <c r="AI112" i="160" s="1"/>
  <c r="X112" i="160"/>
  <c r="S112" i="160"/>
  <c r="N112" i="160"/>
  <c r="T112" i="160" s="1"/>
  <c r="I112" i="160"/>
  <c r="E112" i="160"/>
  <c r="J112" i="160" l="1"/>
  <c r="AD112" i="160"/>
  <c r="S112" i="161"/>
  <c r="I112" i="161"/>
  <c r="X112" i="161"/>
  <c r="AC112" i="161"/>
  <c r="AI112" i="161" s="1"/>
  <c r="N112" i="161"/>
  <c r="O112" i="160"/>
  <c r="Y112" i="160"/>
  <c r="E112" i="161"/>
  <c r="T112" i="161" l="1"/>
  <c r="AD112" i="161"/>
  <c r="Y112" i="161"/>
  <c r="J112" i="161"/>
  <c r="O112" i="161"/>
  <c r="AB79" i="161"/>
  <c r="AA79" i="161"/>
  <c r="Z79" i="161"/>
  <c r="W79" i="161"/>
  <c r="V79" i="161"/>
  <c r="U79" i="161"/>
  <c r="R79" i="161"/>
  <c r="Q79" i="161"/>
  <c r="P79" i="161"/>
  <c r="M79" i="161"/>
  <c r="L79" i="161"/>
  <c r="K79" i="161"/>
  <c r="H79" i="161"/>
  <c r="G79" i="161"/>
  <c r="F79" i="161"/>
  <c r="D79" i="161"/>
  <c r="C79" i="161"/>
  <c r="B79" i="161"/>
  <c r="AC79" i="160"/>
  <c r="AI79" i="160" s="1"/>
  <c r="X79" i="160"/>
  <c r="S79" i="160"/>
  <c r="N79" i="160"/>
  <c r="I79" i="160"/>
  <c r="E79" i="160"/>
  <c r="AB64" i="161"/>
  <c r="AA64" i="161"/>
  <c r="Z64" i="161"/>
  <c r="AB68" i="160"/>
  <c r="AA68" i="160"/>
  <c r="Z68" i="160"/>
  <c r="W68" i="160"/>
  <c r="V68" i="160"/>
  <c r="U68" i="160"/>
  <c r="R68" i="160"/>
  <c r="Q68" i="160"/>
  <c r="P68" i="160"/>
  <c r="M68" i="160"/>
  <c r="L68" i="160"/>
  <c r="K68" i="160"/>
  <c r="H68" i="160"/>
  <c r="G68" i="160"/>
  <c r="F68" i="160"/>
  <c r="D68" i="160"/>
  <c r="C68" i="160"/>
  <c r="B68" i="160"/>
  <c r="AB66" i="161"/>
  <c r="AA66" i="161"/>
  <c r="Z66" i="161"/>
  <c r="W66" i="161"/>
  <c r="V66" i="161"/>
  <c r="U66" i="161"/>
  <c r="R66" i="161"/>
  <c r="Q66" i="161"/>
  <c r="P66" i="161"/>
  <c r="M66" i="161"/>
  <c r="L66" i="161"/>
  <c r="K66" i="161"/>
  <c r="H66" i="161"/>
  <c r="G66" i="161"/>
  <c r="F66" i="161"/>
  <c r="D66" i="161"/>
  <c r="C66" i="161"/>
  <c r="B66" i="161"/>
  <c r="AB65" i="161"/>
  <c r="AA65" i="161"/>
  <c r="Z65" i="161"/>
  <c r="W65" i="161"/>
  <c r="V65" i="161"/>
  <c r="U65" i="161"/>
  <c r="R65" i="161"/>
  <c r="Q65" i="161"/>
  <c r="P65" i="161"/>
  <c r="M65" i="161"/>
  <c r="L65" i="161"/>
  <c r="K65" i="161"/>
  <c r="H65" i="161"/>
  <c r="G65" i="161"/>
  <c r="F65" i="161"/>
  <c r="D65" i="161"/>
  <c r="C65" i="161"/>
  <c r="B65" i="161"/>
  <c r="AC66" i="160"/>
  <c r="AI66" i="160" s="1"/>
  <c r="X66" i="160"/>
  <c r="AD66" i="160" s="1"/>
  <c r="S66" i="160"/>
  <c r="N66" i="160"/>
  <c r="I66" i="160"/>
  <c r="E66" i="160"/>
  <c r="J66" i="160" s="1"/>
  <c r="AC65" i="160"/>
  <c r="AI65" i="160" s="1"/>
  <c r="X65" i="160"/>
  <c r="S65" i="160"/>
  <c r="N65" i="160"/>
  <c r="I65" i="160"/>
  <c r="E65" i="160"/>
  <c r="W64" i="161"/>
  <c r="V64" i="161"/>
  <c r="U64" i="161"/>
  <c r="R64" i="161"/>
  <c r="Q64" i="161"/>
  <c r="P64" i="161"/>
  <c r="M64" i="161"/>
  <c r="L64" i="161"/>
  <c r="K64" i="161"/>
  <c r="H64" i="161"/>
  <c r="G64" i="161"/>
  <c r="F64" i="161"/>
  <c r="D64" i="161"/>
  <c r="C64" i="161"/>
  <c r="B64" i="161"/>
  <c r="AC64" i="160"/>
  <c r="AI64" i="160" s="1"/>
  <c r="X64" i="160"/>
  <c r="S64" i="160"/>
  <c r="Y64" i="160" s="1"/>
  <c r="N64" i="160"/>
  <c r="I64" i="160"/>
  <c r="E64" i="160"/>
  <c r="AB119" i="161"/>
  <c r="AA119" i="161"/>
  <c r="Z119" i="161"/>
  <c r="AB118" i="161"/>
  <c r="AA118" i="161"/>
  <c r="Z118" i="161"/>
  <c r="AB117" i="161"/>
  <c r="AA117" i="161"/>
  <c r="Z117" i="161"/>
  <c r="AB116" i="161"/>
  <c r="AA116" i="161"/>
  <c r="Z116" i="161"/>
  <c r="AB115" i="161"/>
  <c r="AA115" i="161"/>
  <c r="Z115" i="161"/>
  <c r="AB114" i="161"/>
  <c r="AA114" i="161"/>
  <c r="Z114" i="161"/>
  <c r="AB111" i="161"/>
  <c r="AA111" i="161"/>
  <c r="Z111" i="161"/>
  <c r="AB105" i="161"/>
  <c r="AA105" i="161"/>
  <c r="Z105" i="161"/>
  <c r="AB104" i="161"/>
  <c r="AA104" i="161"/>
  <c r="Z104" i="161"/>
  <c r="AB100" i="161"/>
  <c r="AA100" i="161"/>
  <c r="Z100" i="161"/>
  <c r="AB99" i="161"/>
  <c r="AA99" i="161"/>
  <c r="Z99" i="161"/>
  <c r="AB98" i="161"/>
  <c r="AA98" i="161"/>
  <c r="Z98" i="161"/>
  <c r="AB97" i="161"/>
  <c r="AA97" i="161"/>
  <c r="Z97" i="161"/>
  <c r="AB94" i="161"/>
  <c r="AA94" i="161"/>
  <c r="Z94" i="161"/>
  <c r="AB93" i="161"/>
  <c r="AA93" i="161"/>
  <c r="Z93" i="161"/>
  <c r="AB91" i="161"/>
  <c r="AA91" i="161"/>
  <c r="Z91" i="161"/>
  <c r="AB82" i="161"/>
  <c r="AA82" i="161"/>
  <c r="Z82" i="161"/>
  <c r="AB80" i="161"/>
  <c r="AA80" i="161"/>
  <c r="Z80" i="161"/>
  <c r="AB77" i="161"/>
  <c r="AA77" i="161"/>
  <c r="Z77" i="161"/>
  <c r="AB74" i="161"/>
  <c r="AA74" i="161"/>
  <c r="Z74" i="161"/>
  <c r="AB73" i="161"/>
  <c r="AA73" i="161"/>
  <c r="Z73" i="161"/>
  <c r="AB72" i="161"/>
  <c r="AA72" i="161"/>
  <c r="Z72" i="161"/>
  <c r="AB71" i="161"/>
  <c r="AA71" i="161"/>
  <c r="Z71" i="161"/>
  <c r="AB70" i="161"/>
  <c r="AA70" i="161"/>
  <c r="Z70" i="161"/>
  <c r="AB67" i="161"/>
  <c r="AA67" i="161"/>
  <c r="Z67" i="161"/>
  <c r="AB63" i="161"/>
  <c r="AA63" i="161"/>
  <c r="Z63" i="161"/>
  <c r="AB60" i="161"/>
  <c r="AA60" i="161"/>
  <c r="Z60" i="161"/>
  <c r="AB59" i="161"/>
  <c r="AA59" i="161"/>
  <c r="Z59" i="161"/>
  <c r="AB58" i="161"/>
  <c r="AA58" i="161"/>
  <c r="Z58" i="161"/>
  <c r="AB57" i="161"/>
  <c r="AA57" i="161"/>
  <c r="Z57" i="161"/>
  <c r="AB56" i="161"/>
  <c r="AA56" i="161"/>
  <c r="Z56" i="161"/>
  <c r="AB53" i="161"/>
  <c r="AA53" i="161"/>
  <c r="Z53" i="161"/>
  <c r="AB52" i="161"/>
  <c r="AA52" i="161"/>
  <c r="Z52" i="161"/>
  <c r="AB51" i="161"/>
  <c r="AA51" i="161"/>
  <c r="Z51" i="161"/>
  <c r="AB43" i="161"/>
  <c r="AA43" i="161"/>
  <c r="Z43" i="161"/>
  <c r="AB41" i="161"/>
  <c r="AA41" i="161"/>
  <c r="Z41" i="161"/>
  <c r="AB38" i="161"/>
  <c r="AA38" i="161"/>
  <c r="Z38" i="161"/>
  <c r="AB37" i="161"/>
  <c r="AA37" i="161"/>
  <c r="Z37" i="161"/>
  <c r="AB36" i="161"/>
  <c r="AA36" i="161"/>
  <c r="Z36" i="161"/>
  <c r="AB35" i="161"/>
  <c r="AA35" i="161"/>
  <c r="Z35" i="161"/>
  <c r="AB34" i="161"/>
  <c r="AA34" i="161"/>
  <c r="Z34" i="161"/>
  <c r="AB33" i="161"/>
  <c r="AA33" i="161"/>
  <c r="Z33" i="161"/>
  <c r="AB32" i="161"/>
  <c r="AA32" i="161"/>
  <c r="Z32" i="161"/>
  <c r="AB31" i="161"/>
  <c r="AA31" i="161"/>
  <c r="Z31" i="161"/>
  <c r="AB21" i="161"/>
  <c r="AA21" i="161"/>
  <c r="Z21" i="161"/>
  <c r="AB20" i="161"/>
  <c r="AA20" i="161"/>
  <c r="Z20" i="161"/>
  <c r="AB18" i="161"/>
  <c r="AA18" i="161"/>
  <c r="Z18" i="161"/>
  <c r="AB17" i="161"/>
  <c r="AA17" i="161"/>
  <c r="Z17" i="161"/>
  <c r="AB14" i="161"/>
  <c r="AA14" i="161"/>
  <c r="Z14" i="161"/>
  <c r="AB13" i="161"/>
  <c r="AA13" i="161"/>
  <c r="Z13" i="161"/>
  <c r="AB12" i="161"/>
  <c r="AA12" i="161"/>
  <c r="Z12" i="161"/>
  <c r="AB11" i="161"/>
  <c r="AA11" i="161"/>
  <c r="Z11" i="161"/>
  <c r="AB10" i="161"/>
  <c r="AA10" i="161"/>
  <c r="Z10" i="161"/>
  <c r="AB9" i="161"/>
  <c r="AA9" i="161"/>
  <c r="Z9" i="161"/>
  <c r="AB8" i="161"/>
  <c r="AA8" i="161"/>
  <c r="Z8" i="161"/>
  <c r="AB7" i="161"/>
  <c r="AA7" i="161"/>
  <c r="Z7" i="161"/>
  <c r="AC119" i="160"/>
  <c r="AI119" i="160" s="1"/>
  <c r="AC118" i="160"/>
  <c r="AI118" i="160" s="1"/>
  <c r="AC117" i="160"/>
  <c r="AI117" i="160" s="1"/>
  <c r="AC116" i="160"/>
  <c r="AI116" i="160" s="1"/>
  <c r="AC115" i="160"/>
  <c r="AI115" i="160" s="1"/>
  <c r="AC114" i="160"/>
  <c r="AI114" i="160" s="1"/>
  <c r="AC111" i="160"/>
  <c r="AC105" i="160"/>
  <c r="AC104" i="160"/>
  <c r="AI104" i="160" s="1"/>
  <c r="AB101" i="160"/>
  <c r="AA101" i="160"/>
  <c r="Z101" i="160"/>
  <c r="AC100" i="160"/>
  <c r="AI100" i="160" s="1"/>
  <c r="AC99" i="160"/>
  <c r="AI99" i="160" s="1"/>
  <c r="AC98" i="160"/>
  <c r="AI98" i="160" s="1"/>
  <c r="AC97" i="160"/>
  <c r="AI97" i="160" s="1"/>
  <c r="AB95" i="160"/>
  <c r="AA95" i="160"/>
  <c r="Z95" i="160"/>
  <c r="AC94" i="160"/>
  <c r="AI94" i="160" s="1"/>
  <c r="AC93" i="160"/>
  <c r="AI93" i="160" s="1"/>
  <c r="AC91" i="160"/>
  <c r="AI91" i="160" s="1"/>
  <c r="AB83" i="160"/>
  <c r="AA83" i="160"/>
  <c r="Z83" i="160"/>
  <c r="AC82" i="160"/>
  <c r="AI82" i="160" s="1"/>
  <c r="AC80" i="160"/>
  <c r="AI80" i="160" s="1"/>
  <c r="AC77" i="160"/>
  <c r="AB75" i="160"/>
  <c r="AA75" i="160"/>
  <c r="Z75" i="160"/>
  <c r="AC74" i="160"/>
  <c r="AI74" i="160" s="1"/>
  <c r="AC73" i="160"/>
  <c r="AI73" i="160" s="1"/>
  <c r="AC72" i="160"/>
  <c r="AI72" i="160" s="1"/>
  <c r="AC71" i="160"/>
  <c r="AI71" i="160" s="1"/>
  <c r="AC70" i="160"/>
  <c r="AI70" i="160" s="1"/>
  <c r="AC67" i="160"/>
  <c r="AI67" i="160" s="1"/>
  <c r="AC63" i="160"/>
  <c r="AI63" i="160" s="1"/>
  <c r="AB61" i="160"/>
  <c r="AA61" i="160"/>
  <c r="Z61" i="160"/>
  <c r="AC60" i="160"/>
  <c r="AI60" i="160" s="1"/>
  <c r="AC59" i="160"/>
  <c r="AI59" i="160" s="1"/>
  <c r="AC58" i="160"/>
  <c r="AI58" i="160" s="1"/>
  <c r="AC57" i="160"/>
  <c r="AI57" i="160" s="1"/>
  <c r="AC56" i="160"/>
  <c r="AI56" i="160" s="1"/>
  <c r="AB54" i="160"/>
  <c r="AA54" i="160"/>
  <c r="Z54" i="160"/>
  <c r="AC53" i="160"/>
  <c r="AI53" i="160" s="1"/>
  <c r="AC52" i="160"/>
  <c r="AI52" i="160" s="1"/>
  <c r="AC51" i="160"/>
  <c r="AI51" i="160" s="1"/>
  <c r="AC43" i="160"/>
  <c r="AI43" i="160" s="1"/>
  <c r="AC41" i="160"/>
  <c r="AI41" i="160" s="1"/>
  <c r="AB44" i="160"/>
  <c r="AA44" i="160"/>
  <c r="Z44" i="160"/>
  <c r="AC38" i="160"/>
  <c r="AI38" i="160" s="1"/>
  <c r="AC37" i="160"/>
  <c r="AI37" i="160" s="1"/>
  <c r="AC36" i="160"/>
  <c r="AI36" i="160" s="1"/>
  <c r="AC35" i="160"/>
  <c r="AI35" i="160" s="1"/>
  <c r="AC34" i="160"/>
  <c r="AI34" i="160" s="1"/>
  <c r="AC33" i="160"/>
  <c r="AI33" i="160" s="1"/>
  <c r="AC32" i="160"/>
  <c r="AI32" i="160" s="1"/>
  <c r="AC31" i="160"/>
  <c r="AB22" i="160"/>
  <c r="AA22" i="160"/>
  <c r="Z22" i="160"/>
  <c r="AC21" i="160"/>
  <c r="AI21" i="160" s="1"/>
  <c r="AC20" i="160"/>
  <c r="AI20" i="160" s="1"/>
  <c r="AC18" i="160"/>
  <c r="AI18" i="160" s="1"/>
  <c r="AC17" i="160"/>
  <c r="AI17" i="160" s="1"/>
  <c r="AB15" i="160"/>
  <c r="AA15" i="160"/>
  <c r="Z15" i="160"/>
  <c r="AC14" i="160"/>
  <c r="AI14" i="160" s="1"/>
  <c r="AC13" i="160"/>
  <c r="AI13" i="160" s="1"/>
  <c r="AC12" i="160"/>
  <c r="AI12" i="160" s="1"/>
  <c r="AC11" i="160"/>
  <c r="AI11" i="160" s="1"/>
  <c r="AC10" i="160"/>
  <c r="AI10" i="160" s="1"/>
  <c r="AC9" i="160"/>
  <c r="AI9" i="160" s="1"/>
  <c r="AC8" i="160"/>
  <c r="AI8" i="160" s="1"/>
  <c r="AC7" i="160"/>
  <c r="AI7" i="160" s="1"/>
  <c r="AA52" i="314"/>
  <c r="Z52" i="314"/>
  <c r="W52" i="314"/>
  <c r="X52" i="314" s="1"/>
  <c r="V52" i="314"/>
  <c r="S52" i="314"/>
  <c r="R52" i="314"/>
  <c r="O52" i="314"/>
  <c r="P52" i="314" s="1"/>
  <c r="N52" i="314"/>
  <c r="K52" i="314"/>
  <c r="J52" i="314"/>
  <c r="G52" i="314"/>
  <c r="H52" i="314" s="1"/>
  <c r="F52" i="314"/>
  <c r="C52" i="314"/>
  <c r="B52" i="314"/>
  <c r="T51" i="314"/>
  <c r="P51" i="314"/>
  <c r="D51" i="314"/>
  <c r="X50" i="314"/>
  <c r="T50" i="314"/>
  <c r="P50" i="314"/>
  <c r="L50" i="314"/>
  <c r="H50" i="314"/>
  <c r="D50" i="314"/>
  <c r="X49" i="314"/>
  <c r="T49" i="314"/>
  <c r="P49" i="314"/>
  <c r="L49" i="314"/>
  <c r="H49" i="314"/>
  <c r="D49" i="314"/>
  <c r="AA46" i="314"/>
  <c r="Z46" i="314"/>
  <c r="W46" i="314"/>
  <c r="V46" i="314"/>
  <c r="X46" i="314" s="1"/>
  <c r="S46" i="314"/>
  <c r="R46" i="314"/>
  <c r="O46" i="314"/>
  <c r="N46" i="314"/>
  <c r="P46" i="314" s="1"/>
  <c r="K46" i="314"/>
  <c r="J46" i="314"/>
  <c r="G46" i="314"/>
  <c r="F46" i="314"/>
  <c r="H46" i="314" s="1"/>
  <c r="C46" i="314"/>
  <c r="B46" i="314"/>
  <c r="X45" i="314"/>
  <c r="T45" i="314"/>
  <c r="P45" i="314"/>
  <c r="L45" i="314"/>
  <c r="H45" i="314"/>
  <c r="D45" i="314"/>
  <c r="X44" i="314"/>
  <c r="T44" i="314"/>
  <c r="P44" i="314"/>
  <c r="L44" i="314"/>
  <c r="H44" i="314"/>
  <c r="D44" i="314"/>
  <c r="AA41" i="314"/>
  <c r="Z41" i="314"/>
  <c r="W41" i="314"/>
  <c r="X41" i="314" s="1"/>
  <c r="V41" i="314"/>
  <c r="S41" i="314"/>
  <c r="T41" i="314" s="1"/>
  <c r="R41" i="314"/>
  <c r="O41" i="314"/>
  <c r="P41" i="314" s="1"/>
  <c r="N41" i="314"/>
  <c r="K41" i="314"/>
  <c r="L41" i="314" s="1"/>
  <c r="J41" i="314"/>
  <c r="G41" i="314"/>
  <c r="H41" i="314" s="1"/>
  <c r="F41" i="314"/>
  <c r="C41" i="314"/>
  <c r="D41" i="314" s="1"/>
  <c r="B41" i="314"/>
  <c r="X40" i="314"/>
  <c r="T40" i="314"/>
  <c r="P40" i="314"/>
  <c r="L40" i="314"/>
  <c r="H40" i="314"/>
  <c r="D40" i="314"/>
  <c r="T39" i="314"/>
  <c r="P39" i="314"/>
  <c r="L39" i="314"/>
  <c r="H39" i="314"/>
  <c r="D39" i="314"/>
  <c r="X38" i="314"/>
  <c r="T38" i="314"/>
  <c r="P38" i="314"/>
  <c r="L38" i="314"/>
  <c r="H38" i="314"/>
  <c r="D38" i="314"/>
  <c r="AA35" i="314"/>
  <c r="Z35" i="314"/>
  <c r="W35" i="314"/>
  <c r="V35" i="314"/>
  <c r="X35" i="314" s="1"/>
  <c r="S35" i="314"/>
  <c r="R35" i="314"/>
  <c r="T35" i="314" s="1"/>
  <c r="O35" i="314"/>
  <c r="N35" i="314"/>
  <c r="P35" i="314" s="1"/>
  <c r="K35" i="314"/>
  <c r="J35" i="314"/>
  <c r="L35" i="314" s="1"/>
  <c r="G35" i="314"/>
  <c r="F35" i="314"/>
  <c r="H35" i="314" s="1"/>
  <c r="C35" i="314"/>
  <c r="B35" i="314"/>
  <c r="D35" i="314" s="1"/>
  <c r="P34" i="314"/>
  <c r="L34" i="314"/>
  <c r="H34" i="314"/>
  <c r="D34" i="314"/>
  <c r="P33" i="314"/>
  <c r="L33" i="314"/>
  <c r="H33" i="314"/>
  <c r="D33" i="314"/>
  <c r="P32" i="314"/>
  <c r="L32" i="314"/>
  <c r="H32" i="314"/>
  <c r="D32" i="314"/>
  <c r="X31" i="314"/>
  <c r="T31" i="314"/>
  <c r="P31" i="314"/>
  <c r="L31" i="314"/>
  <c r="H31" i="314"/>
  <c r="D31" i="314"/>
  <c r="X30" i="314"/>
  <c r="T30" i="314"/>
  <c r="P30" i="314"/>
  <c r="L30" i="314"/>
  <c r="H30" i="314"/>
  <c r="D30" i="314"/>
  <c r="P29" i="314"/>
  <c r="L29" i="314"/>
  <c r="H29" i="314"/>
  <c r="D29" i="314"/>
  <c r="X28" i="314"/>
  <c r="T28" i="314"/>
  <c r="P28" i="314"/>
  <c r="L28" i="314"/>
  <c r="H28" i="314"/>
  <c r="D28" i="314"/>
  <c r="X27" i="314"/>
  <c r="T27" i="314"/>
  <c r="P27" i="314"/>
  <c r="L27" i="314"/>
  <c r="H27" i="314"/>
  <c r="D27" i="314"/>
  <c r="X26" i="314"/>
  <c r="T26" i="314"/>
  <c r="P26" i="314"/>
  <c r="L26" i="314"/>
  <c r="H26" i="314"/>
  <c r="D26" i="314"/>
  <c r="X25" i="314"/>
  <c r="T25" i="314"/>
  <c r="P25" i="314"/>
  <c r="L25" i="314"/>
  <c r="H25" i="314"/>
  <c r="D25" i="314"/>
  <c r="X24" i="314"/>
  <c r="T24" i="314"/>
  <c r="P24" i="314"/>
  <c r="L24" i="314"/>
  <c r="H24" i="314"/>
  <c r="D24" i="314"/>
  <c r="AA21" i="314"/>
  <c r="Z21" i="314"/>
  <c r="W21" i="314"/>
  <c r="V21" i="314"/>
  <c r="X21" i="314" s="1"/>
  <c r="S21" i="314"/>
  <c r="R21" i="314"/>
  <c r="T21" i="314" s="1"/>
  <c r="N21" i="314"/>
  <c r="P21" i="314" s="1"/>
  <c r="K21" i="314"/>
  <c r="J21" i="314"/>
  <c r="F21" i="314"/>
  <c r="H21" i="314" s="1"/>
  <c r="C21" i="314"/>
  <c r="B21" i="314"/>
  <c r="X20" i="314"/>
  <c r="T20" i="314"/>
  <c r="P20" i="314"/>
  <c r="L20" i="314"/>
  <c r="H20" i="314"/>
  <c r="D20" i="314"/>
  <c r="X19" i="314"/>
  <c r="T19" i="314"/>
  <c r="P19" i="314"/>
  <c r="L19" i="314"/>
  <c r="H19" i="314"/>
  <c r="D19" i="314"/>
  <c r="AA16" i="314"/>
  <c r="Z16" i="314"/>
  <c r="W16" i="314"/>
  <c r="V16" i="314"/>
  <c r="S16" i="314"/>
  <c r="R16" i="314"/>
  <c r="O16" i="314"/>
  <c r="N16" i="314"/>
  <c r="K16" i="314"/>
  <c r="J16" i="314"/>
  <c r="G16" i="314"/>
  <c r="F16" i="314"/>
  <c r="C16" i="314"/>
  <c r="B16" i="314"/>
  <c r="X15" i="314"/>
  <c r="T15" i="314"/>
  <c r="P15" i="314"/>
  <c r="L15" i="314"/>
  <c r="H15" i="314"/>
  <c r="D15" i="314"/>
  <c r="X14" i="314"/>
  <c r="T14" i="314"/>
  <c r="P14" i="314"/>
  <c r="L14" i="314"/>
  <c r="H14" i="314"/>
  <c r="D14" i="314"/>
  <c r="T13" i="314"/>
  <c r="P13" i="314"/>
  <c r="L13" i="314"/>
  <c r="H13" i="314"/>
  <c r="D13" i="314"/>
  <c r="X12" i="314"/>
  <c r="T12" i="314"/>
  <c r="P12" i="314"/>
  <c r="L12" i="314"/>
  <c r="H12" i="314"/>
  <c r="D12" i="314"/>
  <c r="AA9" i="314"/>
  <c r="Z9" i="314"/>
  <c r="W9" i="314"/>
  <c r="W54" i="314" s="1"/>
  <c r="X54" i="314" s="1"/>
  <c r="V9" i="314"/>
  <c r="S9" i="314"/>
  <c r="R9" i="314"/>
  <c r="O9" i="314"/>
  <c r="O54" i="314" s="1"/>
  <c r="N9" i="314"/>
  <c r="K9" i="314"/>
  <c r="J9" i="314"/>
  <c r="G9" i="314"/>
  <c r="G54" i="314" s="1"/>
  <c r="F9" i="314"/>
  <c r="C9" i="314"/>
  <c r="D9" i="314" s="1"/>
  <c r="B9" i="314"/>
  <c r="X8" i="314"/>
  <c r="T8" i="314"/>
  <c r="P8" i="314"/>
  <c r="L8" i="314"/>
  <c r="H8" i="314"/>
  <c r="D8" i="314"/>
  <c r="T7" i="314"/>
  <c r="P7" i="314"/>
  <c r="L7" i="314"/>
  <c r="H7" i="314"/>
  <c r="X6" i="314"/>
  <c r="T6" i="314"/>
  <c r="P6" i="314"/>
  <c r="L6" i="314"/>
  <c r="H6" i="314"/>
  <c r="D6" i="314"/>
  <c r="T5" i="314"/>
  <c r="P5" i="314"/>
  <c r="L5" i="314"/>
  <c r="H5" i="314"/>
  <c r="X4" i="314"/>
  <c r="T4" i="314"/>
  <c r="P4" i="314"/>
  <c r="L4" i="314"/>
  <c r="H4" i="314"/>
  <c r="D4" i="314"/>
  <c r="Z106" i="161" l="1"/>
  <c r="AI105" i="160"/>
  <c r="AC106" i="160"/>
  <c r="AI111" i="160"/>
  <c r="AC121" i="160"/>
  <c r="Z121" i="161"/>
  <c r="AA121" i="161"/>
  <c r="AB121" i="161"/>
  <c r="AB106" i="161"/>
  <c r="AA106" i="161"/>
  <c r="Z84" i="160"/>
  <c r="J65" i="160"/>
  <c r="AD65" i="160"/>
  <c r="Z54" i="314"/>
  <c r="H16" i="314"/>
  <c r="P16" i="314"/>
  <c r="X16" i="314"/>
  <c r="D52" i="314"/>
  <c r="L52" i="314"/>
  <c r="T52" i="314"/>
  <c r="AC83" i="160"/>
  <c r="AI83" i="160" s="1"/>
  <c r="AI77" i="160"/>
  <c r="Y79" i="160"/>
  <c r="AA54" i="314"/>
  <c r="D16" i="314"/>
  <c r="L16" i="314"/>
  <c r="T16" i="314"/>
  <c r="D46" i="314"/>
  <c r="L46" i="314"/>
  <c r="T46" i="314"/>
  <c r="O79" i="160"/>
  <c r="AB39" i="161"/>
  <c r="AB44" i="161" s="1"/>
  <c r="Z39" i="161"/>
  <c r="Z44" i="161" s="1"/>
  <c r="AC39" i="160"/>
  <c r="AI39" i="160" s="1"/>
  <c r="AI31" i="160"/>
  <c r="AA39" i="161"/>
  <c r="AA44" i="161" s="1"/>
  <c r="AC59" i="161"/>
  <c r="AI59" i="161" s="1"/>
  <c r="I79" i="161"/>
  <c r="X79" i="161"/>
  <c r="AC79" i="161"/>
  <c r="AI79" i="161" s="1"/>
  <c r="AB22" i="161"/>
  <c r="AC20" i="161"/>
  <c r="AI20" i="161" s="1"/>
  <c r="AB75" i="161"/>
  <c r="AC118" i="161"/>
  <c r="AI118" i="161" s="1"/>
  <c r="I46" i="314"/>
  <c r="Q46" i="314"/>
  <c r="N79" i="161"/>
  <c r="S79" i="161"/>
  <c r="D21" i="314"/>
  <c r="L21" i="314"/>
  <c r="J64" i="160"/>
  <c r="J79" i="160"/>
  <c r="AD79" i="160"/>
  <c r="L9" i="314"/>
  <c r="T9" i="314"/>
  <c r="T64" i="160"/>
  <c r="T79" i="160"/>
  <c r="E79" i="161"/>
  <c r="AC72" i="161"/>
  <c r="AI72" i="161" s="1"/>
  <c r="AC74" i="161"/>
  <c r="AI74" i="161" s="1"/>
  <c r="AA83" i="161"/>
  <c r="AC80" i="161"/>
  <c r="AI80" i="161" s="1"/>
  <c r="AA95" i="161"/>
  <c r="AA101" i="161"/>
  <c r="AC114" i="161"/>
  <c r="AI114" i="161" s="1"/>
  <c r="AC116" i="161"/>
  <c r="AI116" i="161" s="1"/>
  <c r="I64" i="161"/>
  <c r="N64" i="161"/>
  <c r="S64" i="161"/>
  <c r="X64" i="161"/>
  <c r="AB68" i="161"/>
  <c r="N65" i="161"/>
  <c r="S65" i="161"/>
  <c r="X65" i="161"/>
  <c r="AC65" i="161"/>
  <c r="AI65" i="161" s="1"/>
  <c r="I66" i="161"/>
  <c r="N66" i="161"/>
  <c r="AC66" i="161"/>
  <c r="AI66" i="161" s="1"/>
  <c r="AC100" i="161"/>
  <c r="AI100" i="161" s="1"/>
  <c r="AC98" i="161"/>
  <c r="AI98" i="161" s="1"/>
  <c r="AC101" i="160"/>
  <c r="AI101" i="160" s="1"/>
  <c r="AA107" i="160"/>
  <c r="AC94" i="161"/>
  <c r="AI94" i="161" s="1"/>
  <c r="AC91" i="161"/>
  <c r="AI91" i="161" s="1"/>
  <c r="Z75" i="161"/>
  <c r="AA68" i="161"/>
  <c r="AC68" i="160"/>
  <c r="AI68" i="160" s="1"/>
  <c r="AC64" i="161"/>
  <c r="AD64" i="160"/>
  <c r="AC63" i="161"/>
  <c r="AI63" i="161" s="1"/>
  <c r="Z68" i="161"/>
  <c r="X66" i="161"/>
  <c r="S66" i="161"/>
  <c r="I65" i="161"/>
  <c r="E66" i="161"/>
  <c r="E65" i="161"/>
  <c r="Y65" i="160"/>
  <c r="Y66" i="160"/>
  <c r="T65" i="160"/>
  <c r="T66" i="160"/>
  <c r="O64" i="160"/>
  <c r="O65" i="160"/>
  <c r="O66" i="160"/>
  <c r="E64" i="161"/>
  <c r="AC10" i="161"/>
  <c r="AI10" i="161" s="1"/>
  <c r="AC12" i="161"/>
  <c r="AI12" i="161" s="1"/>
  <c r="AC14" i="161"/>
  <c r="AI14" i="161" s="1"/>
  <c r="AC104" i="161"/>
  <c r="AI104" i="161" s="1"/>
  <c r="AA61" i="161"/>
  <c r="AC57" i="161"/>
  <c r="AI57" i="161" s="1"/>
  <c r="AC51" i="161"/>
  <c r="AI51" i="161" s="1"/>
  <c r="Z22" i="161"/>
  <c r="AA15" i="161"/>
  <c r="AC8" i="161"/>
  <c r="AI8" i="161" s="1"/>
  <c r="AI121" i="160"/>
  <c r="AC75" i="160"/>
  <c r="AI75" i="160" s="1"/>
  <c r="AC61" i="160"/>
  <c r="AI61" i="160" s="1"/>
  <c r="AB84" i="160"/>
  <c r="AC15" i="160"/>
  <c r="AI15" i="160" s="1"/>
  <c r="AC115" i="161"/>
  <c r="AI115" i="161" s="1"/>
  <c r="AC117" i="161"/>
  <c r="AI117" i="161" s="1"/>
  <c r="AC119" i="161"/>
  <c r="AI119" i="161" s="1"/>
  <c r="AI106" i="160"/>
  <c r="Z107" i="160"/>
  <c r="AB107" i="160"/>
  <c r="AC97" i="161"/>
  <c r="AI97" i="161" s="1"/>
  <c r="AB101" i="161"/>
  <c r="AC99" i="161"/>
  <c r="AI99" i="161" s="1"/>
  <c r="AC95" i="160"/>
  <c r="AI95" i="160" s="1"/>
  <c r="Z95" i="161"/>
  <c r="AB95" i="161"/>
  <c r="Z83" i="161"/>
  <c r="AB83" i="161"/>
  <c r="AC82" i="161"/>
  <c r="AI82" i="161" s="1"/>
  <c r="AA75" i="161"/>
  <c r="AC71" i="161"/>
  <c r="AI71" i="161" s="1"/>
  <c r="AC73" i="161"/>
  <c r="AI73" i="161" s="1"/>
  <c r="AA84" i="160"/>
  <c r="Z61" i="161"/>
  <c r="AB61" i="161"/>
  <c r="AC58" i="161"/>
  <c r="AI58" i="161" s="1"/>
  <c r="AC60" i="161"/>
  <c r="AI60" i="161" s="1"/>
  <c r="AC54" i="160"/>
  <c r="AI54" i="160" s="1"/>
  <c r="AC52" i="161"/>
  <c r="AI52" i="161" s="1"/>
  <c r="AA54" i="161"/>
  <c r="Z54" i="161"/>
  <c r="AB54" i="161"/>
  <c r="AC41" i="161"/>
  <c r="AI41" i="161" s="1"/>
  <c r="AC32" i="161"/>
  <c r="AI32" i="161" s="1"/>
  <c r="AC33" i="161"/>
  <c r="AI33" i="161" s="1"/>
  <c r="AC34" i="161"/>
  <c r="AI34" i="161" s="1"/>
  <c r="AC35" i="161"/>
  <c r="AI35" i="161" s="1"/>
  <c r="AC36" i="161"/>
  <c r="AI36" i="161" s="1"/>
  <c r="AC37" i="161"/>
  <c r="AI37" i="161" s="1"/>
  <c r="AC38" i="161"/>
  <c r="AI38" i="161" s="1"/>
  <c r="AC22" i="160"/>
  <c r="AI22" i="160" s="1"/>
  <c r="AA22" i="161"/>
  <c r="AC18" i="161"/>
  <c r="AI18" i="161" s="1"/>
  <c r="AC21" i="161"/>
  <c r="AI21" i="161" s="1"/>
  <c r="AA23" i="160"/>
  <c r="Z23" i="160"/>
  <c r="AB23" i="160"/>
  <c r="AC7" i="161"/>
  <c r="AI7" i="161" s="1"/>
  <c r="AB15" i="161"/>
  <c r="AC9" i="161"/>
  <c r="AI9" i="161" s="1"/>
  <c r="AC11" i="161"/>
  <c r="AI11" i="161" s="1"/>
  <c r="AC13" i="161"/>
  <c r="AI13" i="161" s="1"/>
  <c r="AC111" i="161"/>
  <c r="AC93" i="161"/>
  <c r="AI93" i="161" s="1"/>
  <c r="Z101" i="161"/>
  <c r="AC105" i="161"/>
  <c r="AC53" i="161"/>
  <c r="AI53" i="161" s="1"/>
  <c r="AC56" i="161"/>
  <c r="AI56" i="161" s="1"/>
  <c r="AC67" i="161"/>
  <c r="AI67" i="161" s="1"/>
  <c r="AC70" i="161"/>
  <c r="AI70" i="161" s="1"/>
  <c r="AC77" i="161"/>
  <c r="AI77" i="161" s="1"/>
  <c r="AC31" i="161"/>
  <c r="AC43" i="161"/>
  <c r="AI43" i="161" s="1"/>
  <c r="Z15" i="161"/>
  <c r="AC17" i="161"/>
  <c r="AI17" i="161" s="1"/>
  <c r="I54" i="314"/>
  <c r="I50" i="314"/>
  <c r="I44" i="314"/>
  <c r="I40" i="314"/>
  <c r="I39" i="314"/>
  <c r="I34" i="314"/>
  <c r="I33" i="314"/>
  <c r="I32" i="314"/>
  <c r="I30" i="314"/>
  <c r="I29" i="314"/>
  <c r="I27" i="314"/>
  <c r="I25" i="314"/>
  <c r="I19" i="314"/>
  <c r="I15" i="314"/>
  <c r="I12" i="314"/>
  <c r="I8" i="314"/>
  <c r="I7" i="314"/>
  <c r="I6" i="314"/>
  <c r="I5" i="314"/>
  <c r="I4" i="314"/>
  <c r="H54" i="314"/>
  <c r="I49" i="314"/>
  <c r="I45" i="314"/>
  <c r="I38" i="314"/>
  <c r="I31" i="314"/>
  <c r="I28" i="314"/>
  <c r="I26" i="314"/>
  <c r="I24" i="314"/>
  <c r="I21" i="314"/>
  <c r="I20" i="314"/>
  <c r="I14" i="314"/>
  <c r="I13" i="314"/>
  <c r="Q54" i="314"/>
  <c r="Q50" i="314"/>
  <c r="Q44" i="314"/>
  <c r="Q40" i="314"/>
  <c r="Q39" i="314"/>
  <c r="Q34" i="314"/>
  <c r="Q33" i="314"/>
  <c r="Q32" i="314"/>
  <c r="Q30" i="314"/>
  <c r="Q29" i="314"/>
  <c r="Q27" i="314"/>
  <c r="Q25" i="314"/>
  <c r="Q21" i="314"/>
  <c r="Q19" i="314"/>
  <c r="Q15" i="314"/>
  <c r="Q12" i="314"/>
  <c r="Q8" i="314"/>
  <c r="Q7" i="314"/>
  <c r="Q6" i="314"/>
  <c r="Q5" i="314"/>
  <c r="Q4" i="314"/>
  <c r="P54" i="314"/>
  <c r="Q51" i="314"/>
  <c r="Q49" i="314"/>
  <c r="Q45" i="314"/>
  <c r="Q38" i="314"/>
  <c r="Q31" i="314"/>
  <c r="Q28" i="314"/>
  <c r="Q26" i="314"/>
  <c r="Q24" i="314"/>
  <c r="Q20" i="314"/>
  <c r="Q14" i="314"/>
  <c r="Q13" i="314"/>
  <c r="I35" i="314"/>
  <c r="Q35" i="314"/>
  <c r="I9" i="314"/>
  <c r="Q9" i="314"/>
  <c r="I16" i="314"/>
  <c r="Q16" i="314"/>
  <c r="I41" i="314"/>
  <c r="Q41" i="314"/>
  <c r="I52" i="314"/>
  <c r="Q52" i="314"/>
  <c r="C54" i="314"/>
  <c r="E9" i="314" s="1"/>
  <c r="K54" i="314"/>
  <c r="M35" i="314" s="1"/>
  <c r="S54" i="314"/>
  <c r="U21" i="314" s="1"/>
  <c r="H9" i="314"/>
  <c r="P9" i="314"/>
  <c r="X9" i="314"/>
  <c r="J79" i="161" l="1"/>
  <c r="AI111" i="161"/>
  <c r="AC121" i="161"/>
  <c r="AI105" i="161"/>
  <c r="AC106" i="161"/>
  <c r="J66" i="161"/>
  <c r="J65" i="161"/>
  <c r="Y79" i="161"/>
  <c r="AI31" i="161"/>
  <c r="AC39" i="161"/>
  <c r="AA23" i="161"/>
  <c r="AB23" i="161"/>
  <c r="J64" i="161"/>
  <c r="O65" i="161"/>
  <c r="O79" i="161"/>
  <c r="AD79" i="161"/>
  <c r="Z23" i="161"/>
  <c r="AD66" i="161"/>
  <c r="AD64" i="161"/>
  <c r="AI64" i="161"/>
  <c r="T79" i="161"/>
  <c r="U52" i="314"/>
  <c r="U9" i="314"/>
  <c r="E21" i="314"/>
  <c r="E52" i="314"/>
  <c r="Y65" i="161"/>
  <c r="Y64" i="161"/>
  <c r="O64" i="161"/>
  <c r="AA107" i="161"/>
  <c r="T64" i="161"/>
  <c r="Z107" i="161"/>
  <c r="O66" i="161"/>
  <c r="AD65" i="161"/>
  <c r="T65" i="161"/>
  <c r="AC107" i="160"/>
  <c r="AI107" i="160" s="1"/>
  <c r="Z124" i="160"/>
  <c r="AA124" i="160"/>
  <c r="AC68" i="161"/>
  <c r="AI68" i="161" s="1"/>
  <c r="Y66" i="161"/>
  <c r="T66" i="161"/>
  <c r="AA84" i="161"/>
  <c r="AC44" i="160"/>
  <c r="AI44" i="160" s="1"/>
  <c r="AC15" i="161"/>
  <c r="AI15" i="161" s="1"/>
  <c r="AC101" i="161"/>
  <c r="AI101" i="161" s="1"/>
  <c r="AB107" i="161"/>
  <c r="AC84" i="160"/>
  <c r="AI84" i="160" s="1"/>
  <c r="AB84" i="161"/>
  <c r="AC23" i="160"/>
  <c r="AI23" i="160" s="1"/>
  <c r="AB124" i="160"/>
  <c r="Z84" i="161"/>
  <c r="AI121" i="161"/>
  <c r="AC95" i="161"/>
  <c r="AI95" i="161" s="1"/>
  <c r="AI106" i="161"/>
  <c r="AC75" i="161"/>
  <c r="AI75" i="161" s="1"/>
  <c r="AC61" i="161"/>
  <c r="AI61" i="161" s="1"/>
  <c r="AC83" i="161"/>
  <c r="AI83" i="161" s="1"/>
  <c r="AC54" i="161"/>
  <c r="AI54" i="161" s="1"/>
  <c r="AI39" i="161"/>
  <c r="AC22" i="161"/>
  <c r="AI22" i="161" s="1"/>
  <c r="T54" i="314"/>
  <c r="U50" i="314"/>
  <c r="U44" i="314"/>
  <c r="U40" i="314"/>
  <c r="U39" i="314"/>
  <c r="U30" i="314"/>
  <c r="U27" i="314"/>
  <c r="U25" i="314"/>
  <c r="U19" i="314"/>
  <c r="U15" i="314"/>
  <c r="U12" i="314"/>
  <c r="U8" i="314"/>
  <c r="U7" i="314"/>
  <c r="U6" i="314"/>
  <c r="U5" i="314"/>
  <c r="U4" i="314"/>
  <c r="U54" i="314"/>
  <c r="U51" i="314"/>
  <c r="U49" i="314"/>
  <c r="U45" i="314"/>
  <c r="U38" i="314"/>
  <c r="U31" i="314"/>
  <c r="U28" i="314"/>
  <c r="U26" i="314"/>
  <c r="U24" i="314"/>
  <c r="U20" i="314"/>
  <c r="U14" i="314"/>
  <c r="U13" i="314"/>
  <c r="D54" i="314"/>
  <c r="E50" i="314"/>
  <c r="E44" i="314"/>
  <c r="E40" i="314"/>
  <c r="E39" i="314"/>
  <c r="E34" i="314"/>
  <c r="E33" i="314"/>
  <c r="E32" i="314"/>
  <c r="E30" i="314"/>
  <c r="E29" i="314"/>
  <c r="E27" i="314"/>
  <c r="E25" i="314"/>
  <c r="E19" i="314"/>
  <c r="E15" i="314"/>
  <c r="E12" i="314"/>
  <c r="E8" i="314"/>
  <c r="E7" i="314"/>
  <c r="E6" i="314"/>
  <c r="E5" i="314"/>
  <c r="E4" i="314"/>
  <c r="E54" i="314"/>
  <c r="E51" i="314"/>
  <c r="E49" i="314"/>
  <c r="E45" i="314"/>
  <c r="E38" i="314"/>
  <c r="E31" i="314"/>
  <c r="E28" i="314"/>
  <c r="E26" i="314"/>
  <c r="E24" i="314"/>
  <c r="E20" i="314"/>
  <c r="E14" i="314"/>
  <c r="E13" i="314"/>
  <c r="U41" i="314"/>
  <c r="M41" i="314"/>
  <c r="E41" i="314"/>
  <c r="U16" i="314"/>
  <c r="M16" i="314"/>
  <c r="E16" i="314"/>
  <c r="U46" i="314"/>
  <c r="E46" i="314"/>
  <c r="U35" i="314"/>
  <c r="E35" i="314"/>
  <c r="L54" i="314"/>
  <c r="M50" i="314"/>
  <c r="M44" i="314"/>
  <c r="M40" i="314"/>
  <c r="M39" i="314"/>
  <c r="M34" i="314"/>
  <c r="M33" i="314"/>
  <c r="M32" i="314"/>
  <c r="M30" i="314"/>
  <c r="M29" i="314"/>
  <c r="M27" i="314"/>
  <c r="M25" i="314"/>
  <c r="M19" i="314"/>
  <c r="M15" i="314"/>
  <c r="M12" i="314"/>
  <c r="M8" i="314"/>
  <c r="M7" i="314"/>
  <c r="M6" i="314"/>
  <c r="M5" i="314"/>
  <c r="M4" i="314"/>
  <c r="M54" i="314"/>
  <c r="M49" i="314"/>
  <c r="M45" i="314"/>
  <c r="M38" i="314"/>
  <c r="M31" i="314"/>
  <c r="M28" i="314"/>
  <c r="M26" i="314"/>
  <c r="M24" i="314"/>
  <c r="M20" i="314"/>
  <c r="M14" i="314"/>
  <c r="M13" i="314"/>
  <c r="M52" i="314"/>
  <c r="M21" i="314"/>
  <c r="M9" i="314"/>
  <c r="M46" i="314"/>
  <c r="AA124" i="161" l="1"/>
  <c r="AB124" i="161"/>
  <c r="Z124" i="161"/>
  <c r="AC124" i="160"/>
  <c r="AI124" i="160" s="1"/>
  <c r="AC107" i="161"/>
  <c r="AI107" i="161" s="1"/>
  <c r="AC84" i="161"/>
  <c r="AI84" i="161" s="1"/>
  <c r="AC44" i="161"/>
  <c r="AI44" i="161" s="1"/>
  <c r="AC23" i="161"/>
  <c r="AI23" i="161" s="1"/>
  <c r="AC124" i="161" l="1"/>
  <c r="AI124" i="161" s="1"/>
  <c r="L75" i="286"/>
  <c r="L73" i="286"/>
  <c r="L72" i="286"/>
  <c r="L39" i="286"/>
  <c r="L43" i="286" s="1"/>
  <c r="L71" i="286" s="1"/>
  <c r="L26" i="286"/>
  <c r="K75" i="286"/>
  <c r="K73" i="286"/>
  <c r="K72" i="286"/>
  <c r="K39" i="286"/>
  <c r="K43" i="286" s="1"/>
  <c r="K71" i="286" s="1"/>
  <c r="K26" i="286"/>
  <c r="J75" i="286"/>
  <c r="J72" i="286"/>
  <c r="J39" i="286"/>
  <c r="J43" i="286" s="1"/>
  <c r="J71" i="286" s="1"/>
  <c r="J26" i="286"/>
  <c r="I75" i="286"/>
  <c r="I73" i="286"/>
  <c r="I72" i="286"/>
  <c r="I39" i="286"/>
  <c r="I26" i="286"/>
  <c r="Q25" i="285"/>
  <c r="E14" i="312"/>
  <c r="E12" i="312"/>
  <c r="E10" i="312"/>
  <c r="E8" i="312"/>
  <c r="E6" i="312"/>
  <c r="J80" i="196"/>
  <c r="H80" i="196"/>
  <c r="F80" i="196"/>
  <c r="D80" i="196"/>
  <c r="I58" i="196"/>
  <c r="I66" i="196" s="1"/>
  <c r="G58" i="196"/>
  <c r="G66" i="196" s="1"/>
  <c r="G43" i="196"/>
  <c r="E126" i="196"/>
  <c r="F126" i="196" s="1"/>
  <c r="E25" i="196"/>
  <c r="E49" i="196"/>
  <c r="E43" i="196"/>
  <c r="E47" i="196" s="1"/>
  <c r="F11" i="305"/>
  <c r="E11" i="305"/>
  <c r="D11" i="305"/>
  <c r="C11" i="305"/>
  <c r="B11" i="305"/>
  <c r="W31" i="261"/>
  <c r="U31" i="261"/>
  <c r="S31" i="261"/>
  <c r="Q31" i="261"/>
  <c r="O31" i="261"/>
  <c r="M31" i="261"/>
  <c r="K31" i="261"/>
  <c r="I31" i="261"/>
  <c r="G31" i="261"/>
  <c r="W25" i="261"/>
  <c r="U25" i="261"/>
  <c r="S25" i="261"/>
  <c r="Q25" i="261"/>
  <c r="O25" i="261"/>
  <c r="M25" i="261"/>
  <c r="K25" i="261"/>
  <c r="I25" i="261"/>
  <c r="G25" i="261"/>
  <c r="W19" i="261"/>
  <c r="U19" i="261"/>
  <c r="S19" i="261"/>
  <c r="Q19" i="261"/>
  <c r="O19" i="261"/>
  <c r="M19" i="261"/>
  <c r="K19" i="261"/>
  <c r="I19" i="261"/>
  <c r="G19" i="261"/>
  <c r="AA31" i="261"/>
  <c r="Y31" i="261"/>
  <c r="AA25" i="261"/>
  <c r="Y25" i="261"/>
  <c r="AA19" i="261"/>
  <c r="Y19" i="261"/>
  <c r="W40" i="308"/>
  <c r="U40" i="308"/>
  <c r="S40" i="308"/>
  <c r="Q40" i="308"/>
  <c r="O40" i="308"/>
  <c r="M40" i="308"/>
  <c r="K40" i="308"/>
  <c r="I40" i="308"/>
  <c r="G40" i="308"/>
  <c r="AC40" i="308"/>
  <c r="AA40" i="308"/>
  <c r="Y40" i="308"/>
  <c r="AB111" i="308"/>
  <c r="AC110" i="308"/>
  <c r="AC109" i="308"/>
  <c r="AC108" i="308"/>
  <c r="AC107" i="308"/>
  <c r="AC106" i="308"/>
  <c r="AC105" i="308"/>
  <c r="AC104" i="308"/>
  <c r="AC103" i="308"/>
  <c r="AC102" i="308"/>
  <c r="AC101" i="308"/>
  <c r="AC100" i="308"/>
  <c r="AB98" i="308"/>
  <c r="AC97" i="308"/>
  <c r="AC96" i="308"/>
  <c r="AC95" i="308"/>
  <c r="AC94" i="308"/>
  <c r="AC93" i="308"/>
  <c r="AC92" i="308"/>
  <c r="AC91" i="308"/>
  <c r="Z111" i="308"/>
  <c r="AA110" i="308"/>
  <c r="AA109" i="308"/>
  <c r="AA108" i="308"/>
  <c r="AA107" i="308"/>
  <c r="AA106" i="308"/>
  <c r="AA105" i="308"/>
  <c r="AA104" i="308"/>
  <c r="AA103" i="308"/>
  <c r="AA102" i="308"/>
  <c r="AA101" i="308"/>
  <c r="AA100" i="308"/>
  <c r="Z98" i="308"/>
  <c r="AA97" i="308"/>
  <c r="AA96" i="308"/>
  <c r="AA95" i="308"/>
  <c r="AA94" i="308"/>
  <c r="AA93" i="308"/>
  <c r="AA92" i="308"/>
  <c r="AA91" i="308"/>
  <c r="X111" i="308"/>
  <c r="Y110" i="308"/>
  <c r="Y109" i="308"/>
  <c r="Y108" i="308"/>
  <c r="Y107" i="308"/>
  <c r="Y106" i="308"/>
  <c r="Y105" i="308"/>
  <c r="Y104" i="308"/>
  <c r="Y103" i="308"/>
  <c r="Y102" i="308"/>
  <c r="Y101" i="308"/>
  <c r="Y100" i="308"/>
  <c r="X98" i="308"/>
  <c r="Y97" i="308"/>
  <c r="Y96" i="308"/>
  <c r="Y95" i="308"/>
  <c r="Y94" i="308"/>
  <c r="Y93" i="308"/>
  <c r="Y92" i="308"/>
  <c r="Y91" i="308"/>
  <c r="AB86" i="308"/>
  <c r="AC85" i="308"/>
  <c r="AC84" i="308"/>
  <c r="AC83" i="308"/>
  <c r="AC82" i="308"/>
  <c r="AB80" i="308"/>
  <c r="AC79" i="308"/>
  <c r="AC78" i="308"/>
  <c r="AC77" i="308"/>
  <c r="AC76" i="308"/>
  <c r="AC75" i="308"/>
  <c r="AC74" i="308"/>
  <c r="AC70" i="308"/>
  <c r="AC69" i="308"/>
  <c r="AC68" i="308"/>
  <c r="AC67" i="308"/>
  <c r="AC66" i="308"/>
  <c r="AC65" i="308"/>
  <c r="AC64" i="308"/>
  <c r="AC63" i="308"/>
  <c r="AC62" i="308"/>
  <c r="AC61" i="308"/>
  <c r="Z86" i="308"/>
  <c r="AA85" i="308"/>
  <c r="AA84" i="308"/>
  <c r="AA83" i="308"/>
  <c r="AA82" i="308"/>
  <c r="Z80" i="308"/>
  <c r="AA79" i="308"/>
  <c r="AA78" i="308"/>
  <c r="AA77" i="308"/>
  <c r="AA76" i="308"/>
  <c r="AA75" i="308"/>
  <c r="AA74" i="308"/>
  <c r="AA70" i="308"/>
  <c r="AA69" i="308"/>
  <c r="AA68" i="308"/>
  <c r="AA67" i="308"/>
  <c r="AA66" i="308"/>
  <c r="AA65" i="308"/>
  <c r="AA64" i="308"/>
  <c r="AA63" i="308"/>
  <c r="AA62" i="308"/>
  <c r="AA61" i="308"/>
  <c r="X86" i="308"/>
  <c r="Y85" i="308"/>
  <c r="Y84" i="308"/>
  <c r="Y83" i="308"/>
  <c r="Y82" i="308"/>
  <c r="X80" i="308"/>
  <c r="Y79" i="308"/>
  <c r="Y78" i="308"/>
  <c r="Y77" i="308"/>
  <c r="Y76" i="308"/>
  <c r="Y75" i="308"/>
  <c r="Y74" i="308"/>
  <c r="Y70" i="308"/>
  <c r="Y69" i="308"/>
  <c r="Y68" i="308"/>
  <c r="Y67" i="308"/>
  <c r="Y66" i="308"/>
  <c r="Y65" i="308"/>
  <c r="Y64" i="308"/>
  <c r="Y63" i="308"/>
  <c r="Y62" i="308"/>
  <c r="Y61" i="308"/>
  <c r="AB56" i="308"/>
  <c r="AC55" i="308"/>
  <c r="AC54" i="308"/>
  <c r="AB52" i="308"/>
  <c r="AC51" i="308"/>
  <c r="AC50" i="308"/>
  <c r="AC49" i="308"/>
  <c r="AB47" i="308"/>
  <c r="AC46" i="308"/>
  <c r="AC45" i="308"/>
  <c r="AB43" i="308"/>
  <c r="AC42" i="308"/>
  <c r="AC41" i="308"/>
  <c r="AC39" i="308"/>
  <c r="AC38" i="308"/>
  <c r="AB36" i="308"/>
  <c r="AC35" i="308"/>
  <c r="AC34" i="308"/>
  <c r="AB89" i="308"/>
  <c r="Z56" i="308"/>
  <c r="AA55" i="308"/>
  <c r="AA54" i="308"/>
  <c r="Z52" i="308"/>
  <c r="AA51" i="308"/>
  <c r="AA50" i="308"/>
  <c r="AA49" i="308"/>
  <c r="Z47" i="308"/>
  <c r="AA46" i="308"/>
  <c r="AA45" i="308"/>
  <c r="Z43" i="308"/>
  <c r="AA42" i="308"/>
  <c r="AA41" i="308"/>
  <c r="AA39" i="308"/>
  <c r="AA38" i="308"/>
  <c r="Z36" i="308"/>
  <c r="AA35" i="308"/>
  <c r="AA34" i="308"/>
  <c r="Z89" i="308"/>
  <c r="X56" i="308"/>
  <c r="Y55" i="308"/>
  <c r="Y54" i="308"/>
  <c r="X52" i="308"/>
  <c r="Y51" i="308"/>
  <c r="Y50" i="308"/>
  <c r="Y49" i="308"/>
  <c r="X47" i="308"/>
  <c r="Y46" i="308"/>
  <c r="Y45" i="308"/>
  <c r="X43" i="308"/>
  <c r="Y42" i="308"/>
  <c r="Y41" i="308"/>
  <c r="Y39" i="308"/>
  <c r="Y38" i="308"/>
  <c r="X36" i="308"/>
  <c r="Y35" i="308"/>
  <c r="Y34" i="308"/>
  <c r="X89" i="308"/>
  <c r="AB29" i="308"/>
  <c r="AC28" i="308"/>
  <c r="AC27" i="308"/>
  <c r="AC26" i="308"/>
  <c r="AC25" i="308"/>
  <c r="AC22" i="308"/>
  <c r="AC21" i="308"/>
  <c r="AB18" i="308"/>
  <c r="AC17" i="308"/>
  <c r="AC16" i="308"/>
  <c r="AC15" i="308"/>
  <c r="AC14" i="308"/>
  <c r="AC13" i="308"/>
  <c r="AC12" i="308"/>
  <c r="AC11" i="308"/>
  <c r="AB9" i="308"/>
  <c r="AC8" i="308"/>
  <c r="AC7" i="308"/>
  <c r="AC6" i="308"/>
  <c r="Z29" i="308"/>
  <c r="AA28" i="308"/>
  <c r="AA27" i="308"/>
  <c r="AA26" i="308"/>
  <c r="AA25" i="308"/>
  <c r="AA22" i="308"/>
  <c r="AA21" i="308"/>
  <c r="Z18" i="308"/>
  <c r="AA17" i="308"/>
  <c r="AA16" i="308"/>
  <c r="AA15" i="308"/>
  <c r="AA14" i="308"/>
  <c r="AA13" i="308"/>
  <c r="AA12" i="308"/>
  <c r="AA11" i="308"/>
  <c r="Z9" i="308"/>
  <c r="AA8" i="308"/>
  <c r="AA7" i="308"/>
  <c r="AA6" i="308"/>
  <c r="X29" i="308"/>
  <c r="Y28" i="308"/>
  <c r="Y27" i="308"/>
  <c r="Y26" i="308"/>
  <c r="Y25" i="308"/>
  <c r="Y22" i="308"/>
  <c r="Y21" i="308"/>
  <c r="X18" i="308"/>
  <c r="Y17" i="308"/>
  <c r="Y16" i="308"/>
  <c r="Y15" i="308"/>
  <c r="Y14" i="308"/>
  <c r="Y13" i="308"/>
  <c r="Y12" i="308"/>
  <c r="Y11" i="308"/>
  <c r="X9" i="308"/>
  <c r="Y8" i="308"/>
  <c r="Y7" i="308"/>
  <c r="Y6" i="308"/>
  <c r="K104" i="187"/>
  <c r="K91" i="187"/>
  <c r="K79" i="187"/>
  <c r="K73" i="187"/>
  <c r="K52" i="187"/>
  <c r="K48" i="187"/>
  <c r="K44" i="187"/>
  <c r="K33" i="187"/>
  <c r="K26" i="187"/>
  <c r="K17" i="187"/>
  <c r="K9" i="187"/>
  <c r="K49" i="29"/>
  <c r="I49" i="29"/>
  <c r="G49" i="29"/>
  <c r="E49" i="29"/>
  <c r="K48" i="29"/>
  <c r="I48" i="29"/>
  <c r="G48" i="29"/>
  <c r="E48" i="29"/>
  <c r="K37" i="29"/>
  <c r="I37" i="29"/>
  <c r="G37" i="29"/>
  <c r="E37" i="29"/>
  <c r="K35" i="29"/>
  <c r="G35" i="29"/>
  <c r="I35" i="29"/>
  <c r="E35" i="29"/>
  <c r="J52" i="29"/>
  <c r="H52" i="29"/>
  <c r="H53" i="29" s="1"/>
  <c r="F52" i="29"/>
  <c r="F53" i="29" s="1"/>
  <c r="K25" i="29"/>
  <c r="G25" i="29"/>
  <c r="I25" i="29"/>
  <c r="E25" i="29"/>
  <c r="K15" i="29"/>
  <c r="I15" i="29"/>
  <c r="G15" i="29"/>
  <c r="E15" i="29"/>
  <c r="X140" i="274"/>
  <c r="AA140" i="274"/>
  <c r="AC126" i="274"/>
  <c r="AA126" i="274"/>
  <c r="Y126" i="274"/>
  <c r="M126" i="274"/>
  <c r="U126" i="274" s="1"/>
  <c r="K126" i="274"/>
  <c r="S126" i="274" s="1"/>
  <c r="I126" i="274"/>
  <c r="Q126" i="274" s="1"/>
  <c r="G126" i="274"/>
  <c r="O126" i="274" s="1"/>
  <c r="W126" i="274" s="1"/>
  <c r="AB144" i="274"/>
  <c r="AI144" i="274" s="1"/>
  <c r="AC143" i="274"/>
  <c r="AC142" i="274"/>
  <c r="AC141" i="274"/>
  <c r="AC140" i="274"/>
  <c r="AB137" i="274"/>
  <c r="AC136" i="274"/>
  <c r="AC135" i="274"/>
  <c r="AC134" i="274"/>
  <c r="AC133" i="274"/>
  <c r="AC131" i="274"/>
  <c r="AC130" i="274"/>
  <c r="AC129" i="274"/>
  <c r="AC128" i="274"/>
  <c r="AC127" i="274"/>
  <c r="AC125" i="274"/>
  <c r="AC124" i="274"/>
  <c r="AC123" i="274"/>
  <c r="AB121" i="274"/>
  <c r="AK121" i="274" s="1"/>
  <c r="AC120" i="274"/>
  <c r="AC119" i="274"/>
  <c r="AC118" i="274"/>
  <c r="AC117" i="274"/>
  <c r="AC115" i="274"/>
  <c r="AC114" i="274"/>
  <c r="Z144" i="274"/>
  <c r="AA143" i="274"/>
  <c r="AA142" i="274"/>
  <c r="AA141" i="274"/>
  <c r="Z137" i="274"/>
  <c r="AA136" i="274"/>
  <c r="AA135" i="274"/>
  <c r="AA134" i="274"/>
  <c r="AA133" i="274"/>
  <c r="AA131" i="274"/>
  <c r="AA130" i="274"/>
  <c r="AA129" i="274"/>
  <c r="AA128" i="274"/>
  <c r="AA127" i="274"/>
  <c r="AA125" i="274"/>
  <c r="AA124" i="274"/>
  <c r="AA123" i="274"/>
  <c r="Z121" i="274"/>
  <c r="AA120" i="274"/>
  <c r="AA119" i="274"/>
  <c r="AA118" i="274"/>
  <c r="AA117" i="274"/>
  <c r="AA115" i="274"/>
  <c r="AA114" i="274"/>
  <c r="X144" i="274"/>
  <c r="Y143" i="274"/>
  <c r="Y142" i="274"/>
  <c r="Y141" i="274"/>
  <c r="Y140" i="274"/>
  <c r="X137" i="274"/>
  <c r="Y136" i="274"/>
  <c r="Y135" i="274"/>
  <c r="Y134" i="274"/>
  <c r="Y133" i="274"/>
  <c r="Y131" i="274"/>
  <c r="Y130" i="274"/>
  <c r="Y129" i="274"/>
  <c r="Y128" i="274"/>
  <c r="Y127" i="274"/>
  <c r="Y125" i="274"/>
  <c r="Y124" i="274"/>
  <c r="Y123" i="274"/>
  <c r="X121" i="274"/>
  <c r="X138" i="274" s="1"/>
  <c r="Y120" i="274"/>
  <c r="Y119" i="274"/>
  <c r="Y118" i="274"/>
  <c r="Y117" i="274"/>
  <c r="Y115" i="274"/>
  <c r="Y114" i="274"/>
  <c r="AB109" i="274"/>
  <c r="AC108" i="274"/>
  <c r="AC107" i="274"/>
  <c r="AC106" i="274"/>
  <c r="AC105" i="274"/>
  <c r="AC104" i="274"/>
  <c r="AB102" i="274"/>
  <c r="AC101" i="274"/>
  <c r="AC100" i="274"/>
  <c r="AC99" i="274"/>
  <c r="AC98" i="274"/>
  <c r="AC97" i="274"/>
  <c r="AC96" i="274"/>
  <c r="AC95" i="274"/>
  <c r="AB93" i="274"/>
  <c r="AC92" i="274"/>
  <c r="AC91" i="274"/>
  <c r="AC90" i="274"/>
  <c r="AC84" i="274"/>
  <c r="AC83" i="274"/>
  <c r="AC82" i="274"/>
  <c r="AC81" i="274"/>
  <c r="AC80" i="274"/>
  <c r="AC79" i="274"/>
  <c r="AC78" i="274"/>
  <c r="AC77" i="274"/>
  <c r="AC76" i="274"/>
  <c r="AC75" i="274"/>
  <c r="Z109" i="274"/>
  <c r="AA109" i="274" s="1"/>
  <c r="AA108" i="274"/>
  <c r="AA107" i="274"/>
  <c r="AA106" i="274"/>
  <c r="AA105" i="274"/>
  <c r="AA104" i="274"/>
  <c r="Z102" i="274"/>
  <c r="AA101" i="274"/>
  <c r="AA100" i="274"/>
  <c r="AA99" i="274"/>
  <c r="AA98" i="274"/>
  <c r="AA97" i="274"/>
  <c r="AA96" i="274"/>
  <c r="AA95" i="274"/>
  <c r="Z93" i="274"/>
  <c r="AA92" i="274"/>
  <c r="AA91" i="274"/>
  <c r="AA90" i="274"/>
  <c r="AA84" i="274"/>
  <c r="AA83" i="274"/>
  <c r="AA82" i="274"/>
  <c r="AA81" i="274"/>
  <c r="AA80" i="274"/>
  <c r="AA79" i="274"/>
  <c r="AA78" i="274"/>
  <c r="AA77" i="274"/>
  <c r="AA76" i="274"/>
  <c r="AA75" i="274"/>
  <c r="X109" i="274"/>
  <c r="Y108" i="274"/>
  <c r="Y107" i="274"/>
  <c r="Y106" i="274"/>
  <c r="Y105" i="274"/>
  <c r="Y104" i="274"/>
  <c r="X102" i="274"/>
  <c r="Y102" i="274" s="1"/>
  <c r="Y101" i="274"/>
  <c r="Y100" i="274"/>
  <c r="Y99" i="274"/>
  <c r="Y98" i="274"/>
  <c r="Y97" i="274"/>
  <c r="Y96" i="274"/>
  <c r="Y95" i="274"/>
  <c r="X93" i="274"/>
  <c r="Y92" i="274"/>
  <c r="Y91" i="274"/>
  <c r="Y90" i="274"/>
  <c r="Y84" i="274"/>
  <c r="Y83" i="274"/>
  <c r="Y82" i="274"/>
  <c r="Y81" i="274"/>
  <c r="Y80" i="274"/>
  <c r="Y79" i="274"/>
  <c r="Y78" i="274"/>
  <c r="Y77" i="274"/>
  <c r="Y76" i="274"/>
  <c r="Y75" i="274"/>
  <c r="AC68" i="274"/>
  <c r="AC60" i="274"/>
  <c r="AB58" i="274"/>
  <c r="AC58" i="274" s="1"/>
  <c r="AC57" i="274"/>
  <c r="AC56" i="274"/>
  <c r="AC55" i="274"/>
  <c r="AB53" i="274"/>
  <c r="AC52" i="274"/>
  <c r="AC51" i="274"/>
  <c r="AC48" i="274"/>
  <c r="AC46" i="274"/>
  <c r="AC45" i="274"/>
  <c r="AB43" i="274"/>
  <c r="AC42" i="274"/>
  <c r="AC41" i="274"/>
  <c r="AC40" i="274"/>
  <c r="AA68" i="274"/>
  <c r="AA60" i="274"/>
  <c r="Z58" i="274"/>
  <c r="AA57" i="274"/>
  <c r="AA56" i="274"/>
  <c r="AA55" i="274"/>
  <c r="Z53" i="274"/>
  <c r="AA53" i="274" s="1"/>
  <c r="AA52" i="274"/>
  <c r="AA51" i="274"/>
  <c r="AA48" i="274"/>
  <c r="AA46" i="274"/>
  <c r="AA45" i="274"/>
  <c r="Z43" i="274"/>
  <c r="AA42" i="274"/>
  <c r="AA41" i="274"/>
  <c r="AA40" i="274"/>
  <c r="AE70" i="274"/>
  <c r="Y68" i="274"/>
  <c r="Y60" i="274"/>
  <c r="X58" i="274"/>
  <c r="Y57" i="274"/>
  <c r="Y56" i="274"/>
  <c r="Y55" i="274"/>
  <c r="X53" i="274"/>
  <c r="Y52" i="274"/>
  <c r="Y51" i="274"/>
  <c r="Y48" i="274"/>
  <c r="Y46" i="274"/>
  <c r="Y45" i="274"/>
  <c r="X43" i="274"/>
  <c r="Y42" i="274"/>
  <c r="Y41" i="274"/>
  <c r="Y40" i="274"/>
  <c r="AB35" i="274"/>
  <c r="AC34" i="274"/>
  <c r="AC33" i="274"/>
  <c r="AC32" i="274"/>
  <c r="AC31" i="274"/>
  <c r="AC28" i="274"/>
  <c r="AC27" i="274"/>
  <c r="AC26" i="274"/>
  <c r="AC25" i="274"/>
  <c r="AB22" i="274"/>
  <c r="AC22" i="274" s="1"/>
  <c r="AC21" i="274"/>
  <c r="AC20" i="274"/>
  <c r="AC19" i="274"/>
  <c r="AC18" i="274"/>
  <c r="AC17" i="274"/>
  <c r="AC16" i="274"/>
  <c r="AC15" i="274"/>
  <c r="AC12" i="274"/>
  <c r="AC11" i="274"/>
  <c r="AC10" i="274"/>
  <c r="AC9" i="274"/>
  <c r="AC8" i="274"/>
  <c r="AC7" i="274"/>
  <c r="AB13" i="274"/>
  <c r="Z35" i="274"/>
  <c r="AA34" i="274"/>
  <c r="AA33" i="274"/>
  <c r="AA32" i="274"/>
  <c r="AA31" i="274"/>
  <c r="AA28" i="274"/>
  <c r="AA27" i="274"/>
  <c r="AA26" i="274"/>
  <c r="AA25" i="274"/>
  <c r="Z22" i="274"/>
  <c r="AA21" i="274"/>
  <c r="AA20" i="274"/>
  <c r="AA19" i="274"/>
  <c r="AA18" i="274"/>
  <c r="AA17" i="274"/>
  <c r="AA16" i="274"/>
  <c r="AA15" i="274"/>
  <c r="AA12" i="274"/>
  <c r="AA11" i="274"/>
  <c r="AA10" i="274"/>
  <c r="AA9" i="274"/>
  <c r="AA8" i="274"/>
  <c r="AA7" i="274"/>
  <c r="Z13" i="274"/>
  <c r="X35" i="274"/>
  <c r="Y34" i="274"/>
  <c r="Y33" i="274"/>
  <c r="Y32" i="274"/>
  <c r="Y31" i="274"/>
  <c r="Y28" i="274"/>
  <c r="Y27" i="274"/>
  <c r="Y26" i="274"/>
  <c r="Y25" i="274"/>
  <c r="X22" i="274"/>
  <c r="Y21" i="274"/>
  <c r="Y20" i="274"/>
  <c r="Y19" i="274"/>
  <c r="Y18" i="274"/>
  <c r="Y17" i="274"/>
  <c r="Y16" i="274"/>
  <c r="Y15" i="274"/>
  <c r="Y12" i="274"/>
  <c r="Y11" i="274"/>
  <c r="Y10" i="274"/>
  <c r="Y9" i="274"/>
  <c r="Y8" i="274"/>
  <c r="Y7" i="274"/>
  <c r="G135" i="159"/>
  <c r="E131" i="159"/>
  <c r="H131" i="159" s="1"/>
  <c r="D118" i="159"/>
  <c r="J118" i="159"/>
  <c r="J117" i="159"/>
  <c r="H118" i="159"/>
  <c r="F118" i="159"/>
  <c r="E43" i="159"/>
  <c r="E46" i="159" s="1"/>
  <c r="F85" i="159"/>
  <c r="AA12" i="181"/>
  <c r="AA11" i="181"/>
  <c r="AA10" i="181"/>
  <c r="AA9" i="181"/>
  <c r="AA8" i="181"/>
  <c r="AA7" i="181"/>
  <c r="AA6" i="181"/>
  <c r="AA5" i="181"/>
  <c r="AA13" i="181" s="1"/>
  <c r="Z12" i="181"/>
  <c r="Z11" i="181"/>
  <c r="Z10" i="181"/>
  <c r="Z9" i="181"/>
  <c r="Z8" i="181"/>
  <c r="Z7" i="181"/>
  <c r="Z6" i="181"/>
  <c r="Z5" i="181"/>
  <c r="Z13" i="181" s="1"/>
  <c r="Y12" i="181"/>
  <c r="Y11" i="181"/>
  <c r="Y10" i="181"/>
  <c r="Y9" i="181"/>
  <c r="Y8" i="181"/>
  <c r="Y7" i="181"/>
  <c r="Y6" i="181"/>
  <c r="B24" i="181"/>
  <c r="C24" i="181"/>
  <c r="V19" i="184"/>
  <c r="W121" i="184"/>
  <c r="V121" i="184"/>
  <c r="U121" i="184"/>
  <c r="W120" i="184"/>
  <c r="V120" i="184"/>
  <c r="U120" i="184"/>
  <c r="W119" i="184"/>
  <c r="V119" i="184"/>
  <c r="U119" i="184"/>
  <c r="W118" i="184"/>
  <c r="V118" i="184"/>
  <c r="U118" i="184"/>
  <c r="W117" i="184"/>
  <c r="V117" i="184"/>
  <c r="U117" i="184"/>
  <c r="W116" i="184"/>
  <c r="V116" i="184"/>
  <c r="U116" i="184"/>
  <c r="W114" i="184"/>
  <c r="V114" i="184"/>
  <c r="U114" i="184"/>
  <c r="U123" i="184" s="1"/>
  <c r="W107" i="184"/>
  <c r="V107" i="184"/>
  <c r="U107" i="184"/>
  <c r="W106" i="184"/>
  <c r="V106" i="184"/>
  <c r="U106" i="184"/>
  <c r="W102" i="184"/>
  <c r="V102" i="184"/>
  <c r="U102" i="184"/>
  <c r="W101" i="184"/>
  <c r="V101" i="184"/>
  <c r="U101" i="184"/>
  <c r="W100" i="184"/>
  <c r="V100" i="184"/>
  <c r="U100" i="184"/>
  <c r="W99" i="184"/>
  <c r="V99" i="184"/>
  <c r="U99" i="184"/>
  <c r="W98" i="184"/>
  <c r="V98" i="184"/>
  <c r="U98" i="184"/>
  <c r="W95" i="184"/>
  <c r="V95" i="184"/>
  <c r="U95" i="184"/>
  <c r="W94" i="184"/>
  <c r="V94" i="184"/>
  <c r="U94" i="184"/>
  <c r="W92" i="184"/>
  <c r="V92" i="184"/>
  <c r="U92" i="184"/>
  <c r="W83" i="184"/>
  <c r="V83" i="184"/>
  <c r="U83" i="184"/>
  <c r="W81" i="184"/>
  <c r="V81" i="184"/>
  <c r="U81" i="184"/>
  <c r="W79" i="184"/>
  <c r="V79" i="184"/>
  <c r="U79" i="184"/>
  <c r="W75" i="184"/>
  <c r="V75" i="184"/>
  <c r="U75" i="184"/>
  <c r="W74" i="184"/>
  <c r="V74" i="184"/>
  <c r="U74" i="184"/>
  <c r="W73" i="184"/>
  <c r="V73" i="184"/>
  <c r="U73" i="184"/>
  <c r="W71" i="184"/>
  <c r="V71" i="184"/>
  <c r="U71" i="184"/>
  <c r="W65" i="184"/>
  <c r="V65" i="184"/>
  <c r="U65" i="184"/>
  <c r="W64" i="184"/>
  <c r="V64" i="184"/>
  <c r="U64" i="184"/>
  <c r="W61" i="184"/>
  <c r="V61" i="184"/>
  <c r="U61" i="184"/>
  <c r="W60" i="184"/>
  <c r="V60" i="184"/>
  <c r="U60" i="184"/>
  <c r="W59" i="184"/>
  <c r="V59" i="184"/>
  <c r="U59" i="184"/>
  <c r="W58" i="184"/>
  <c r="V58" i="184"/>
  <c r="U58" i="184"/>
  <c r="W57" i="184"/>
  <c r="V57" i="184"/>
  <c r="U57" i="184"/>
  <c r="W56" i="184"/>
  <c r="V56" i="184"/>
  <c r="U56" i="184"/>
  <c r="W53" i="184"/>
  <c r="V53" i="184"/>
  <c r="U53" i="184"/>
  <c r="W52" i="184"/>
  <c r="V52" i="184"/>
  <c r="U52" i="184"/>
  <c r="W44" i="184"/>
  <c r="V44" i="184"/>
  <c r="U44" i="184"/>
  <c r="W42" i="184"/>
  <c r="V42" i="184"/>
  <c r="U42" i="184"/>
  <c r="W39" i="184"/>
  <c r="V39" i="184"/>
  <c r="U39" i="184"/>
  <c r="W38" i="184"/>
  <c r="V38" i="184"/>
  <c r="U38" i="184"/>
  <c r="W37" i="184"/>
  <c r="V37" i="184"/>
  <c r="U37" i="184"/>
  <c r="W36" i="184"/>
  <c r="V36" i="184"/>
  <c r="U36" i="184"/>
  <c r="W35" i="184"/>
  <c r="V35" i="184"/>
  <c r="U35" i="184"/>
  <c r="W34" i="184"/>
  <c r="V34" i="184"/>
  <c r="U34" i="184"/>
  <c r="W33" i="184"/>
  <c r="V33" i="184"/>
  <c r="U33" i="184"/>
  <c r="W32" i="184"/>
  <c r="V32" i="184"/>
  <c r="U32" i="184"/>
  <c r="W22" i="184"/>
  <c r="V22" i="184"/>
  <c r="U22" i="184"/>
  <c r="W21" i="184"/>
  <c r="V21" i="184"/>
  <c r="U21" i="184"/>
  <c r="W19" i="184"/>
  <c r="U19" i="184"/>
  <c r="W18" i="184"/>
  <c r="V18" i="184"/>
  <c r="U18" i="184"/>
  <c r="W15" i="184"/>
  <c r="V15" i="184"/>
  <c r="U15" i="184"/>
  <c r="W14" i="184"/>
  <c r="V14" i="184"/>
  <c r="U14" i="184"/>
  <c r="W12" i="184"/>
  <c r="V12" i="184"/>
  <c r="U12" i="184"/>
  <c r="W11" i="184"/>
  <c r="V11" i="184"/>
  <c r="U11" i="184"/>
  <c r="W10" i="184"/>
  <c r="V10" i="184"/>
  <c r="U10" i="184"/>
  <c r="W9" i="184"/>
  <c r="V9" i="184"/>
  <c r="U9" i="184"/>
  <c r="W8" i="184"/>
  <c r="V8" i="184"/>
  <c r="U8" i="184"/>
  <c r="W7" i="184"/>
  <c r="V7" i="184"/>
  <c r="U7" i="184"/>
  <c r="R121" i="184"/>
  <c r="Q121" i="184"/>
  <c r="P121" i="184"/>
  <c r="R120" i="184"/>
  <c r="Q120" i="184"/>
  <c r="P120" i="184"/>
  <c r="R119" i="184"/>
  <c r="Q119" i="184"/>
  <c r="P119" i="184"/>
  <c r="R118" i="184"/>
  <c r="Q118" i="184"/>
  <c r="P118" i="184"/>
  <c r="R117" i="184"/>
  <c r="Q117" i="184"/>
  <c r="P117" i="184"/>
  <c r="R116" i="184"/>
  <c r="Q116" i="184"/>
  <c r="P116" i="184"/>
  <c r="R114" i="184"/>
  <c r="Q114" i="184"/>
  <c r="P114" i="184"/>
  <c r="R107" i="184"/>
  <c r="Q107" i="184"/>
  <c r="P107" i="184"/>
  <c r="R106" i="184"/>
  <c r="Q106" i="184"/>
  <c r="P106" i="184"/>
  <c r="R102" i="184"/>
  <c r="Q102" i="184"/>
  <c r="P102" i="184"/>
  <c r="R101" i="184"/>
  <c r="Q101" i="184"/>
  <c r="P101" i="184"/>
  <c r="R100" i="184"/>
  <c r="Q100" i="184"/>
  <c r="P100" i="184"/>
  <c r="R99" i="184"/>
  <c r="Q99" i="184"/>
  <c r="P99" i="184"/>
  <c r="R98" i="184"/>
  <c r="Q98" i="184"/>
  <c r="P98" i="184"/>
  <c r="R95" i="184"/>
  <c r="Q95" i="184"/>
  <c r="P95" i="184"/>
  <c r="R94" i="184"/>
  <c r="Q94" i="184"/>
  <c r="P94" i="184"/>
  <c r="R92" i="184"/>
  <c r="Q92" i="184"/>
  <c r="P92" i="184"/>
  <c r="R83" i="184"/>
  <c r="Q83" i="184"/>
  <c r="P83" i="184"/>
  <c r="R81" i="184"/>
  <c r="Q81" i="184"/>
  <c r="P81" i="184"/>
  <c r="R79" i="184"/>
  <c r="Q79" i="184"/>
  <c r="P79" i="184"/>
  <c r="R75" i="184"/>
  <c r="Q75" i="184"/>
  <c r="P75" i="184"/>
  <c r="R74" i="184"/>
  <c r="Q74" i="184"/>
  <c r="P74" i="184"/>
  <c r="R73" i="184"/>
  <c r="Q73" i="184"/>
  <c r="P73" i="184"/>
  <c r="R71" i="184"/>
  <c r="Q71" i="184"/>
  <c r="P71" i="184"/>
  <c r="R65" i="184"/>
  <c r="Q65" i="184"/>
  <c r="P65" i="184"/>
  <c r="R64" i="184"/>
  <c r="Q64" i="184"/>
  <c r="P64" i="184"/>
  <c r="R61" i="184"/>
  <c r="Q61" i="184"/>
  <c r="P61" i="184"/>
  <c r="R60" i="184"/>
  <c r="Q60" i="184"/>
  <c r="P60" i="184"/>
  <c r="R59" i="184"/>
  <c r="Q59" i="184"/>
  <c r="P59" i="184"/>
  <c r="R58" i="184"/>
  <c r="Q58" i="184"/>
  <c r="P58" i="184"/>
  <c r="R57" i="184"/>
  <c r="Q57" i="184"/>
  <c r="P57" i="184"/>
  <c r="R56" i="184"/>
  <c r="Q56" i="184"/>
  <c r="P56" i="184"/>
  <c r="R53" i="184"/>
  <c r="Q53" i="184"/>
  <c r="P53" i="184"/>
  <c r="R52" i="184"/>
  <c r="Q52" i="184"/>
  <c r="P52" i="184"/>
  <c r="R44" i="184"/>
  <c r="Q44" i="184"/>
  <c r="P44" i="184"/>
  <c r="R42" i="184"/>
  <c r="Q42" i="184"/>
  <c r="P42" i="184"/>
  <c r="R39" i="184"/>
  <c r="Q39" i="184"/>
  <c r="P39" i="184"/>
  <c r="R38" i="184"/>
  <c r="Q38" i="184"/>
  <c r="P38" i="184"/>
  <c r="R37" i="184"/>
  <c r="Q37" i="184"/>
  <c r="P37" i="184"/>
  <c r="R36" i="184"/>
  <c r="Q36" i="184"/>
  <c r="P36" i="184"/>
  <c r="R35" i="184"/>
  <c r="Q35" i="184"/>
  <c r="P35" i="184"/>
  <c r="R34" i="184"/>
  <c r="Q34" i="184"/>
  <c r="P34" i="184"/>
  <c r="R33" i="184"/>
  <c r="Q33" i="184"/>
  <c r="P33" i="184"/>
  <c r="R32" i="184"/>
  <c r="Q32" i="184"/>
  <c r="P32" i="184"/>
  <c r="R22" i="184"/>
  <c r="Q22" i="184"/>
  <c r="P22" i="184"/>
  <c r="R21" i="184"/>
  <c r="Q21" i="184"/>
  <c r="P21" i="184"/>
  <c r="R19" i="184"/>
  <c r="Q19" i="184"/>
  <c r="P19" i="184"/>
  <c r="R18" i="184"/>
  <c r="Q18" i="184"/>
  <c r="P18" i="184"/>
  <c r="R15" i="184"/>
  <c r="Q15" i="184"/>
  <c r="P15" i="184"/>
  <c r="R14" i="184"/>
  <c r="Q14" i="184"/>
  <c r="P14" i="184"/>
  <c r="R12" i="184"/>
  <c r="Q12" i="184"/>
  <c r="P12" i="184"/>
  <c r="R11" i="184"/>
  <c r="Q11" i="184"/>
  <c r="P11" i="184"/>
  <c r="R10" i="184"/>
  <c r="Q10" i="184"/>
  <c r="P10" i="184"/>
  <c r="R9" i="184"/>
  <c r="Q9" i="184"/>
  <c r="P9" i="184"/>
  <c r="R8" i="184"/>
  <c r="Q8" i="184"/>
  <c r="P8" i="184"/>
  <c r="R7" i="184"/>
  <c r="Q7" i="184"/>
  <c r="P7" i="184"/>
  <c r="X121" i="183"/>
  <c r="AD121" i="183" s="1"/>
  <c r="S121" i="183"/>
  <c r="X120" i="183"/>
  <c r="AD120" i="183" s="1"/>
  <c r="S120" i="183"/>
  <c r="X119" i="183"/>
  <c r="AD119" i="183" s="1"/>
  <c r="S119" i="183"/>
  <c r="X118" i="183"/>
  <c r="AD118" i="183" s="1"/>
  <c r="S118" i="183"/>
  <c r="X117" i="183"/>
  <c r="AD117" i="183" s="1"/>
  <c r="S117" i="183"/>
  <c r="X116" i="183"/>
  <c r="AD116" i="183" s="1"/>
  <c r="S116" i="183"/>
  <c r="X114" i="183"/>
  <c r="S114" i="183"/>
  <c r="S123" i="183" s="1"/>
  <c r="X107" i="183"/>
  <c r="S107" i="183"/>
  <c r="X106" i="183"/>
  <c r="AD106" i="183" s="1"/>
  <c r="S106" i="183"/>
  <c r="W103" i="183"/>
  <c r="V103" i="183"/>
  <c r="U103" i="183"/>
  <c r="R103" i="183"/>
  <c r="Q103" i="183"/>
  <c r="P103" i="183"/>
  <c r="X102" i="183"/>
  <c r="AD102" i="183" s="1"/>
  <c r="S102" i="183"/>
  <c r="X101" i="183"/>
  <c r="AD101" i="183" s="1"/>
  <c r="S101" i="183"/>
  <c r="X100" i="183"/>
  <c r="AD100" i="183" s="1"/>
  <c r="S100" i="183"/>
  <c r="X99" i="183"/>
  <c r="AD99" i="183" s="1"/>
  <c r="S99" i="183"/>
  <c r="X98" i="183"/>
  <c r="AD98" i="183" s="1"/>
  <c r="S98" i="183"/>
  <c r="W96" i="183"/>
  <c r="V96" i="183"/>
  <c r="U96" i="183"/>
  <c r="U109" i="183" s="1"/>
  <c r="R96" i="183"/>
  <c r="R109" i="183" s="1"/>
  <c r="Q96" i="183"/>
  <c r="P96" i="183"/>
  <c r="X95" i="183"/>
  <c r="AD95" i="183" s="1"/>
  <c r="S95" i="183"/>
  <c r="X94" i="183"/>
  <c r="S94" i="183"/>
  <c r="X92" i="183"/>
  <c r="S92" i="183"/>
  <c r="X83" i="183"/>
  <c r="AD83" i="183" s="1"/>
  <c r="S83" i="183"/>
  <c r="X81" i="183"/>
  <c r="AD81" i="183" s="1"/>
  <c r="S81" i="183"/>
  <c r="X79" i="183"/>
  <c r="S79" i="183"/>
  <c r="W76" i="183"/>
  <c r="V76" i="183"/>
  <c r="U76" i="183"/>
  <c r="R76" i="183"/>
  <c r="Q76" i="183"/>
  <c r="P76" i="183"/>
  <c r="X75" i="183"/>
  <c r="AD75" i="183" s="1"/>
  <c r="S75" i="183"/>
  <c r="X74" i="183"/>
  <c r="AD74" i="183" s="1"/>
  <c r="S74" i="183"/>
  <c r="X73" i="183"/>
  <c r="AD73" i="183" s="1"/>
  <c r="S73" i="183"/>
  <c r="X72" i="183"/>
  <c r="AD72" i="183" s="1"/>
  <c r="S72" i="183"/>
  <c r="X71" i="183"/>
  <c r="S71" i="183"/>
  <c r="X65" i="183"/>
  <c r="AD65" i="183" s="1"/>
  <c r="S65" i="183"/>
  <c r="Y65" i="183" s="1"/>
  <c r="X64" i="183"/>
  <c r="S64" i="183"/>
  <c r="W62" i="183"/>
  <c r="V62" i="183"/>
  <c r="U62" i="183"/>
  <c r="R62" i="183"/>
  <c r="Q62" i="183"/>
  <c r="P62" i="183"/>
  <c r="X61" i="183"/>
  <c r="AD61" i="183" s="1"/>
  <c r="S61" i="183"/>
  <c r="X60" i="183"/>
  <c r="AD60" i="183" s="1"/>
  <c r="S60" i="183"/>
  <c r="X59" i="183"/>
  <c r="AD59" i="183" s="1"/>
  <c r="S59" i="183"/>
  <c r="X58" i="183"/>
  <c r="AD58" i="183" s="1"/>
  <c r="S58" i="183"/>
  <c r="X57" i="183"/>
  <c r="AD57" i="183" s="1"/>
  <c r="S57" i="183"/>
  <c r="X56" i="183"/>
  <c r="S56" i="183"/>
  <c r="W54" i="183"/>
  <c r="V54" i="183"/>
  <c r="U54" i="183"/>
  <c r="R54" i="183"/>
  <c r="Q54" i="183"/>
  <c r="P54" i="183"/>
  <c r="X53" i="183"/>
  <c r="S53" i="183"/>
  <c r="X52" i="183"/>
  <c r="AD52" i="183" s="1"/>
  <c r="S52" i="183"/>
  <c r="X44" i="183"/>
  <c r="AD44" i="183" s="1"/>
  <c r="S44" i="183"/>
  <c r="X42" i="183"/>
  <c r="AD42" i="183" s="1"/>
  <c r="S42" i="183"/>
  <c r="W45" i="183"/>
  <c r="V45" i="183"/>
  <c r="U45" i="183"/>
  <c r="R45" i="183"/>
  <c r="Q45" i="183"/>
  <c r="P45" i="183"/>
  <c r="X39" i="183"/>
  <c r="AD39" i="183" s="1"/>
  <c r="S39" i="183"/>
  <c r="X38" i="183"/>
  <c r="AD38" i="183" s="1"/>
  <c r="S38" i="183"/>
  <c r="X37" i="183"/>
  <c r="AD37" i="183" s="1"/>
  <c r="S37" i="183"/>
  <c r="X36" i="183"/>
  <c r="AD36" i="183" s="1"/>
  <c r="S36" i="183"/>
  <c r="X35" i="183"/>
  <c r="AD35" i="183" s="1"/>
  <c r="S35" i="183"/>
  <c r="X34" i="183"/>
  <c r="AD34" i="183" s="1"/>
  <c r="S34" i="183"/>
  <c r="X33" i="183"/>
  <c r="AD33" i="183" s="1"/>
  <c r="S33" i="183"/>
  <c r="X32" i="183"/>
  <c r="S32" i="183"/>
  <c r="W23" i="183"/>
  <c r="V23" i="183"/>
  <c r="U23" i="183"/>
  <c r="R23" i="183"/>
  <c r="Q23" i="183"/>
  <c r="P23" i="183"/>
  <c r="X22" i="183"/>
  <c r="AD22" i="183" s="1"/>
  <c r="S22" i="183"/>
  <c r="X21" i="183"/>
  <c r="AD21" i="183" s="1"/>
  <c r="S21" i="183"/>
  <c r="X19" i="183"/>
  <c r="AD19" i="183" s="1"/>
  <c r="S19" i="183"/>
  <c r="X18" i="183"/>
  <c r="AD18" i="183" s="1"/>
  <c r="S18" i="183"/>
  <c r="W16" i="183"/>
  <c r="V16" i="183"/>
  <c r="U16" i="183"/>
  <c r="R16" i="183"/>
  <c r="Q16" i="183"/>
  <c r="P16" i="183"/>
  <c r="X15" i="183"/>
  <c r="AD15" i="183" s="1"/>
  <c r="S15" i="183"/>
  <c r="X14" i="183"/>
  <c r="AD14" i="183" s="1"/>
  <c r="S14" i="183"/>
  <c r="X12" i="183"/>
  <c r="AD12" i="183" s="1"/>
  <c r="S12" i="183"/>
  <c r="X11" i="183"/>
  <c r="AD11" i="183" s="1"/>
  <c r="S11" i="183"/>
  <c r="X10" i="183"/>
  <c r="AD10" i="183" s="1"/>
  <c r="S10" i="183"/>
  <c r="X9" i="183"/>
  <c r="AD9" i="183" s="1"/>
  <c r="S9" i="183"/>
  <c r="X8" i="183"/>
  <c r="AD8" i="183" s="1"/>
  <c r="S8" i="183"/>
  <c r="X7" i="183"/>
  <c r="S7" i="183"/>
  <c r="E41" i="160"/>
  <c r="E43" i="160"/>
  <c r="E51" i="160"/>
  <c r="E52" i="160"/>
  <c r="E54" i="160" s="1"/>
  <c r="E53" i="160"/>
  <c r="E56" i="160"/>
  <c r="E57" i="160"/>
  <c r="E58" i="160"/>
  <c r="E59" i="160"/>
  <c r="E60" i="160"/>
  <c r="E63" i="160"/>
  <c r="E67" i="160"/>
  <c r="E70" i="160"/>
  <c r="E71" i="160"/>
  <c r="E72" i="160"/>
  <c r="E73" i="160"/>
  <c r="E74" i="160"/>
  <c r="E77" i="160"/>
  <c r="E80" i="160"/>
  <c r="E82" i="160"/>
  <c r="E91" i="160"/>
  <c r="E93" i="160"/>
  <c r="E95" i="160" s="1"/>
  <c r="E94" i="160"/>
  <c r="E97" i="160"/>
  <c r="E98" i="160"/>
  <c r="E99" i="160"/>
  <c r="E100" i="160"/>
  <c r="E104" i="160"/>
  <c r="E105" i="160"/>
  <c r="P7" i="161"/>
  <c r="Q7" i="161"/>
  <c r="R7" i="161"/>
  <c r="P8" i="161"/>
  <c r="Q8" i="161"/>
  <c r="R8" i="161"/>
  <c r="P9" i="161"/>
  <c r="Q9" i="161"/>
  <c r="R9" i="161"/>
  <c r="P10" i="161"/>
  <c r="Q10" i="161"/>
  <c r="R10" i="161"/>
  <c r="P11" i="161"/>
  <c r="Q11" i="161"/>
  <c r="R11" i="161"/>
  <c r="P12" i="161"/>
  <c r="Q12" i="161"/>
  <c r="R12" i="161"/>
  <c r="P13" i="161"/>
  <c r="Q13" i="161"/>
  <c r="R13" i="161"/>
  <c r="P14" i="161"/>
  <c r="Q14" i="161"/>
  <c r="R14" i="161"/>
  <c r="W119" i="161"/>
  <c r="V119" i="161"/>
  <c r="U119" i="161"/>
  <c r="W118" i="161"/>
  <c r="V118" i="161"/>
  <c r="U118" i="161"/>
  <c r="W117" i="161"/>
  <c r="V117" i="161"/>
  <c r="U117" i="161"/>
  <c r="W116" i="161"/>
  <c r="V116" i="161"/>
  <c r="U116" i="161"/>
  <c r="W115" i="161"/>
  <c r="V115" i="161"/>
  <c r="U115" i="161"/>
  <c r="W114" i="161"/>
  <c r="V114" i="161"/>
  <c r="U114" i="161"/>
  <c r="W111" i="161"/>
  <c r="V111" i="161"/>
  <c r="U111" i="161"/>
  <c r="W105" i="161"/>
  <c r="V105" i="161"/>
  <c r="U105" i="161"/>
  <c r="W104" i="161"/>
  <c r="V104" i="161"/>
  <c r="U104" i="161"/>
  <c r="W100" i="161"/>
  <c r="V100" i="161"/>
  <c r="U100" i="161"/>
  <c r="W99" i="161"/>
  <c r="V99" i="161"/>
  <c r="U99" i="161"/>
  <c r="W98" i="161"/>
  <c r="V98" i="161"/>
  <c r="U98" i="161"/>
  <c r="W97" i="161"/>
  <c r="V97" i="161"/>
  <c r="U97" i="161"/>
  <c r="W94" i="161"/>
  <c r="V94" i="161"/>
  <c r="U94" i="161"/>
  <c r="W93" i="161"/>
  <c r="V93" i="161"/>
  <c r="U93" i="161"/>
  <c r="W91" i="161"/>
  <c r="V91" i="161"/>
  <c r="U91" i="161"/>
  <c r="W82" i="161"/>
  <c r="V82" i="161"/>
  <c r="U82" i="161"/>
  <c r="W80" i="161"/>
  <c r="V80" i="161"/>
  <c r="U80" i="161"/>
  <c r="W77" i="161"/>
  <c r="V77" i="161"/>
  <c r="U77" i="161"/>
  <c r="W74" i="161"/>
  <c r="V74" i="161"/>
  <c r="U74" i="161"/>
  <c r="W73" i="161"/>
  <c r="V73" i="161"/>
  <c r="U73" i="161"/>
  <c r="W72" i="161"/>
  <c r="V72" i="161"/>
  <c r="U72" i="161"/>
  <c r="W71" i="161"/>
  <c r="V71" i="161"/>
  <c r="U71" i="161"/>
  <c r="W70" i="161"/>
  <c r="V70" i="161"/>
  <c r="U70" i="161"/>
  <c r="W67" i="161"/>
  <c r="V67" i="161"/>
  <c r="U67" i="161"/>
  <c r="W63" i="161"/>
  <c r="V63" i="161"/>
  <c r="U63" i="161"/>
  <c r="W60" i="161"/>
  <c r="V60" i="161"/>
  <c r="U60" i="161"/>
  <c r="W59" i="161"/>
  <c r="V59" i="161"/>
  <c r="U59" i="161"/>
  <c r="W58" i="161"/>
  <c r="V58" i="161"/>
  <c r="U58" i="161"/>
  <c r="W57" i="161"/>
  <c r="V57" i="161"/>
  <c r="U57" i="161"/>
  <c r="W56" i="161"/>
  <c r="V56" i="161"/>
  <c r="U56" i="161"/>
  <c r="W53" i="161"/>
  <c r="V53" i="161"/>
  <c r="U53" i="161"/>
  <c r="W52" i="161"/>
  <c r="V52" i="161"/>
  <c r="U52" i="161"/>
  <c r="W51" i="161"/>
  <c r="V51" i="161"/>
  <c r="U51" i="161"/>
  <c r="W43" i="161"/>
  <c r="V43" i="161"/>
  <c r="U43" i="161"/>
  <c r="W41" i="161"/>
  <c r="V41" i="161"/>
  <c r="U41" i="161"/>
  <c r="W38" i="161"/>
  <c r="V38" i="161"/>
  <c r="U38" i="161"/>
  <c r="W37" i="161"/>
  <c r="V37" i="161"/>
  <c r="U37" i="161"/>
  <c r="W36" i="161"/>
  <c r="V36" i="161"/>
  <c r="U36" i="161"/>
  <c r="W35" i="161"/>
  <c r="V35" i="161"/>
  <c r="U35" i="161"/>
  <c r="W34" i="161"/>
  <c r="V34" i="161"/>
  <c r="U34" i="161"/>
  <c r="W33" i="161"/>
  <c r="V33" i="161"/>
  <c r="U33" i="161"/>
  <c r="W32" i="161"/>
  <c r="V32" i="161"/>
  <c r="U32" i="161"/>
  <c r="W31" i="161"/>
  <c r="V31" i="161"/>
  <c r="U31" i="161"/>
  <c r="W21" i="161"/>
  <c r="V21" i="161"/>
  <c r="U21" i="161"/>
  <c r="W20" i="161"/>
  <c r="V20" i="161"/>
  <c r="U20" i="161"/>
  <c r="W18" i="161"/>
  <c r="V18" i="161"/>
  <c r="U18" i="161"/>
  <c r="W17" i="161"/>
  <c r="V17" i="161"/>
  <c r="U17" i="161"/>
  <c r="W14" i="161"/>
  <c r="V14" i="161"/>
  <c r="U14" i="161"/>
  <c r="W13" i="161"/>
  <c r="V13" i="161"/>
  <c r="U13" i="161"/>
  <c r="W12" i="161"/>
  <c r="V12" i="161"/>
  <c r="U12" i="161"/>
  <c r="W11" i="161"/>
  <c r="V11" i="161"/>
  <c r="U11" i="161"/>
  <c r="W10" i="161"/>
  <c r="V10" i="161"/>
  <c r="U10" i="161"/>
  <c r="W9" i="161"/>
  <c r="V9" i="161"/>
  <c r="U9" i="161"/>
  <c r="W8" i="161"/>
  <c r="V8" i="161"/>
  <c r="U8" i="161"/>
  <c r="W7" i="161"/>
  <c r="V7" i="161"/>
  <c r="U7" i="161"/>
  <c r="R119" i="161"/>
  <c r="Q119" i="161"/>
  <c r="P119" i="161"/>
  <c r="R118" i="161"/>
  <c r="Q118" i="161"/>
  <c r="P118" i="161"/>
  <c r="R117" i="161"/>
  <c r="Q117" i="161"/>
  <c r="P117" i="161"/>
  <c r="R116" i="161"/>
  <c r="Q116" i="161"/>
  <c r="P116" i="161"/>
  <c r="R115" i="161"/>
  <c r="Q115" i="161"/>
  <c r="P115" i="161"/>
  <c r="R114" i="161"/>
  <c r="Q114" i="161"/>
  <c r="P114" i="161"/>
  <c r="R111" i="161"/>
  <c r="Q111" i="161"/>
  <c r="P111" i="161"/>
  <c r="R105" i="161"/>
  <c r="Q105" i="161"/>
  <c r="P105" i="161"/>
  <c r="R104" i="161"/>
  <c r="Q104" i="161"/>
  <c r="P104" i="161"/>
  <c r="R100" i="161"/>
  <c r="Q100" i="161"/>
  <c r="P100" i="161"/>
  <c r="R99" i="161"/>
  <c r="Q99" i="161"/>
  <c r="P99" i="161"/>
  <c r="R98" i="161"/>
  <c r="Q98" i="161"/>
  <c r="P98" i="161"/>
  <c r="R97" i="161"/>
  <c r="Q97" i="161"/>
  <c r="P97" i="161"/>
  <c r="R94" i="161"/>
  <c r="Q94" i="161"/>
  <c r="P94" i="161"/>
  <c r="R93" i="161"/>
  <c r="Q93" i="161"/>
  <c r="P93" i="161"/>
  <c r="R91" i="161"/>
  <c r="Q91" i="161"/>
  <c r="P91" i="161"/>
  <c r="R82" i="161"/>
  <c r="Q82" i="161"/>
  <c r="P82" i="161"/>
  <c r="R80" i="161"/>
  <c r="Q80" i="161"/>
  <c r="P80" i="161"/>
  <c r="R77" i="161"/>
  <c r="Q77" i="161"/>
  <c r="P77" i="161"/>
  <c r="R74" i="161"/>
  <c r="Q74" i="161"/>
  <c r="P74" i="161"/>
  <c r="R73" i="161"/>
  <c r="Q73" i="161"/>
  <c r="P73" i="161"/>
  <c r="R72" i="161"/>
  <c r="Q72" i="161"/>
  <c r="P72" i="161"/>
  <c r="R71" i="161"/>
  <c r="Q71" i="161"/>
  <c r="P71" i="161"/>
  <c r="R70" i="161"/>
  <c r="Q70" i="161"/>
  <c r="P70" i="161"/>
  <c r="R67" i="161"/>
  <c r="Q67" i="161"/>
  <c r="P67" i="161"/>
  <c r="R63" i="161"/>
  <c r="Q63" i="161"/>
  <c r="P63" i="161"/>
  <c r="R60" i="161"/>
  <c r="Q60" i="161"/>
  <c r="P60" i="161"/>
  <c r="R59" i="161"/>
  <c r="Q59" i="161"/>
  <c r="P59" i="161"/>
  <c r="R58" i="161"/>
  <c r="Q58" i="161"/>
  <c r="P58" i="161"/>
  <c r="R57" i="161"/>
  <c r="Q57" i="161"/>
  <c r="P57" i="161"/>
  <c r="R56" i="161"/>
  <c r="Q56" i="161"/>
  <c r="P56" i="161"/>
  <c r="R53" i="161"/>
  <c r="Q53" i="161"/>
  <c r="P53" i="161"/>
  <c r="R52" i="161"/>
  <c r="Q52" i="161"/>
  <c r="P52" i="161"/>
  <c r="R51" i="161"/>
  <c r="Q51" i="161"/>
  <c r="P51" i="161"/>
  <c r="R43" i="161"/>
  <c r="Q43" i="161"/>
  <c r="P43" i="161"/>
  <c r="R41" i="161"/>
  <c r="Q41" i="161"/>
  <c r="P41" i="161"/>
  <c r="R38" i="161"/>
  <c r="Q38" i="161"/>
  <c r="P38" i="161"/>
  <c r="R37" i="161"/>
  <c r="Q37" i="161"/>
  <c r="P37" i="161"/>
  <c r="R36" i="161"/>
  <c r="Q36" i="161"/>
  <c r="P36" i="161"/>
  <c r="R35" i="161"/>
  <c r="Q35" i="161"/>
  <c r="P35" i="161"/>
  <c r="R34" i="161"/>
  <c r="Q34" i="161"/>
  <c r="P34" i="161"/>
  <c r="R33" i="161"/>
  <c r="Q33" i="161"/>
  <c r="P33" i="161"/>
  <c r="R32" i="161"/>
  <c r="Q32" i="161"/>
  <c r="P32" i="161"/>
  <c r="R31" i="161"/>
  <c r="Q31" i="161"/>
  <c r="P31" i="161"/>
  <c r="R21" i="161"/>
  <c r="Q21" i="161"/>
  <c r="P21" i="161"/>
  <c r="R20" i="161"/>
  <c r="Q20" i="161"/>
  <c r="P20" i="161"/>
  <c r="R18" i="161"/>
  <c r="Q18" i="161"/>
  <c r="P18" i="161"/>
  <c r="R17" i="161"/>
  <c r="Q17" i="161"/>
  <c r="P17" i="161"/>
  <c r="X119" i="160"/>
  <c r="AD119" i="160" s="1"/>
  <c r="X118" i="160"/>
  <c r="AD118" i="160" s="1"/>
  <c r="X117" i="160"/>
  <c r="AD117" i="160" s="1"/>
  <c r="X116" i="160"/>
  <c r="AD116" i="160" s="1"/>
  <c r="X115" i="160"/>
  <c r="AD115" i="160" s="1"/>
  <c r="X114" i="160"/>
  <c r="AD114" i="160" s="1"/>
  <c r="X111" i="160"/>
  <c r="X105" i="160"/>
  <c r="X104" i="160"/>
  <c r="AD104" i="160" s="1"/>
  <c r="W101" i="160"/>
  <c r="V101" i="160"/>
  <c r="U101" i="160"/>
  <c r="X100" i="160"/>
  <c r="AD100" i="160" s="1"/>
  <c r="X99" i="160"/>
  <c r="AD99" i="160" s="1"/>
  <c r="X98" i="160"/>
  <c r="AD98" i="160" s="1"/>
  <c r="X97" i="160"/>
  <c r="W95" i="160"/>
  <c r="W107" i="160" s="1"/>
  <c r="V95" i="160"/>
  <c r="U95" i="160"/>
  <c r="U107" i="160" s="1"/>
  <c r="X94" i="160"/>
  <c r="AD94" i="160" s="1"/>
  <c r="X93" i="160"/>
  <c r="X91" i="160"/>
  <c r="AD91" i="160" s="1"/>
  <c r="W83" i="160"/>
  <c r="V83" i="160"/>
  <c r="U83" i="160"/>
  <c r="X82" i="160"/>
  <c r="AD82" i="160" s="1"/>
  <c r="X80" i="160"/>
  <c r="AD80" i="160" s="1"/>
  <c r="X77" i="160"/>
  <c r="W75" i="160"/>
  <c r="V75" i="160"/>
  <c r="U75" i="160"/>
  <c r="X74" i="160"/>
  <c r="AD74" i="160" s="1"/>
  <c r="X73" i="160"/>
  <c r="AD73" i="160" s="1"/>
  <c r="X72" i="160"/>
  <c r="AD72" i="160" s="1"/>
  <c r="X71" i="160"/>
  <c r="AD71" i="160" s="1"/>
  <c r="X70" i="160"/>
  <c r="AD70" i="160" s="1"/>
  <c r="X67" i="160"/>
  <c r="X63" i="160"/>
  <c r="W61" i="160"/>
  <c r="V61" i="160"/>
  <c r="U61" i="160"/>
  <c r="X60" i="160"/>
  <c r="AD60" i="160" s="1"/>
  <c r="X59" i="160"/>
  <c r="AD59" i="160" s="1"/>
  <c r="X58" i="160"/>
  <c r="AD58" i="160" s="1"/>
  <c r="X57" i="160"/>
  <c r="AD57" i="160" s="1"/>
  <c r="X56" i="160"/>
  <c r="W54" i="160"/>
  <c r="V54" i="160"/>
  <c r="U54" i="160"/>
  <c r="U84" i="160" s="1"/>
  <c r="X53" i="160"/>
  <c r="X52" i="160"/>
  <c r="AD52" i="160" s="1"/>
  <c r="X51" i="160"/>
  <c r="AD51" i="160" s="1"/>
  <c r="X43" i="160"/>
  <c r="AD43" i="160" s="1"/>
  <c r="X41" i="160"/>
  <c r="AD41" i="160" s="1"/>
  <c r="W44" i="160"/>
  <c r="V44" i="160"/>
  <c r="U44" i="160"/>
  <c r="X38" i="160"/>
  <c r="AD38" i="160" s="1"/>
  <c r="X37" i="160"/>
  <c r="AD37" i="160" s="1"/>
  <c r="X36" i="160"/>
  <c r="X35" i="160"/>
  <c r="AD35" i="160" s="1"/>
  <c r="X34" i="160"/>
  <c r="AD34" i="160" s="1"/>
  <c r="X33" i="160"/>
  <c r="AD33" i="160" s="1"/>
  <c r="X32" i="160"/>
  <c r="X31" i="160"/>
  <c r="W22" i="160"/>
  <c r="V22" i="160"/>
  <c r="U22" i="160"/>
  <c r="X21" i="160"/>
  <c r="X20" i="160"/>
  <c r="AD20" i="160" s="1"/>
  <c r="X18" i="160"/>
  <c r="AD18" i="160" s="1"/>
  <c r="X17" i="160"/>
  <c r="AD17" i="160" s="1"/>
  <c r="W15" i="160"/>
  <c r="V15" i="160"/>
  <c r="V23" i="160" s="1"/>
  <c r="U15" i="160"/>
  <c r="X14" i="160"/>
  <c r="AD14" i="160" s="1"/>
  <c r="X13" i="160"/>
  <c r="AD13" i="160" s="1"/>
  <c r="X12" i="160"/>
  <c r="AD12" i="160" s="1"/>
  <c r="X11" i="160"/>
  <c r="AD11" i="160" s="1"/>
  <c r="X10" i="160"/>
  <c r="AD10" i="160" s="1"/>
  <c r="X9" i="160"/>
  <c r="AD9" i="160" s="1"/>
  <c r="X8" i="160"/>
  <c r="AD8" i="160" s="1"/>
  <c r="X7" i="160"/>
  <c r="S119" i="160"/>
  <c r="S118" i="160"/>
  <c r="S117" i="160"/>
  <c r="S116" i="160"/>
  <c r="S115" i="160"/>
  <c r="S114" i="160"/>
  <c r="S111" i="160"/>
  <c r="S105" i="160"/>
  <c r="S104" i="160"/>
  <c r="R101" i="160"/>
  <c r="Q101" i="160"/>
  <c r="P101" i="160"/>
  <c r="S100" i="160"/>
  <c r="S99" i="160"/>
  <c r="Y99" i="160" s="1"/>
  <c r="S98" i="160"/>
  <c r="Y98" i="160" s="1"/>
  <c r="S97" i="160"/>
  <c r="R95" i="160"/>
  <c r="R107" i="160" s="1"/>
  <c r="Q95" i="160"/>
  <c r="P95" i="160"/>
  <c r="S94" i="160"/>
  <c r="Y94" i="160" s="1"/>
  <c r="S93" i="160"/>
  <c r="S95" i="160" s="1"/>
  <c r="S91" i="160"/>
  <c r="R83" i="160"/>
  <c r="Q83" i="160"/>
  <c r="P83" i="160"/>
  <c r="S82" i="160"/>
  <c r="Y82" i="160" s="1"/>
  <c r="S80" i="160"/>
  <c r="Y80" i="160" s="1"/>
  <c r="S77" i="160"/>
  <c r="R75" i="160"/>
  <c r="Q75" i="160"/>
  <c r="P75" i="160"/>
  <c r="S74" i="160"/>
  <c r="Y74" i="160" s="1"/>
  <c r="S73" i="160"/>
  <c r="S72" i="160"/>
  <c r="Y72" i="160" s="1"/>
  <c r="S71" i="160"/>
  <c r="Y71" i="160" s="1"/>
  <c r="S70" i="160"/>
  <c r="Y70" i="160" s="1"/>
  <c r="S67" i="160"/>
  <c r="Y67" i="160" s="1"/>
  <c r="S63" i="160"/>
  <c r="R61" i="160"/>
  <c r="Q61" i="160"/>
  <c r="P61" i="160"/>
  <c r="S60" i="160"/>
  <c r="Y60" i="160" s="1"/>
  <c r="S59" i="160"/>
  <c r="Y59" i="160" s="1"/>
  <c r="S58" i="160"/>
  <c r="Y58" i="160" s="1"/>
  <c r="S57" i="160"/>
  <c r="S56" i="160"/>
  <c r="Y56" i="160" s="1"/>
  <c r="R54" i="160"/>
  <c r="Q54" i="160"/>
  <c r="P54" i="160"/>
  <c r="S53" i="160"/>
  <c r="S52" i="160"/>
  <c r="Y52" i="160" s="1"/>
  <c r="S51" i="160"/>
  <c r="Y51" i="160" s="1"/>
  <c r="S43" i="160"/>
  <c r="S41" i="160"/>
  <c r="R44" i="160"/>
  <c r="Q44" i="160"/>
  <c r="P44" i="160"/>
  <c r="S38" i="160"/>
  <c r="S37" i="160"/>
  <c r="Y37" i="160" s="1"/>
  <c r="S36" i="160"/>
  <c r="S35" i="160"/>
  <c r="Y35" i="160" s="1"/>
  <c r="S34" i="160"/>
  <c r="S33" i="160"/>
  <c r="Y33" i="160" s="1"/>
  <c r="S32" i="160"/>
  <c r="S31" i="160"/>
  <c r="Y31" i="160" s="1"/>
  <c r="R22" i="160"/>
  <c r="Q22" i="160"/>
  <c r="P22" i="160"/>
  <c r="S21" i="160"/>
  <c r="S22" i="160" s="1"/>
  <c r="S20" i="160"/>
  <c r="Y20" i="160"/>
  <c r="S18" i="160"/>
  <c r="Y18" i="160"/>
  <c r="S17" i="160"/>
  <c r="R15" i="160"/>
  <c r="R23" i="160" s="1"/>
  <c r="Q15" i="160"/>
  <c r="P15" i="160"/>
  <c r="S14" i="160"/>
  <c r="S13" i="160"/>
  <c r="S12" i="160"/>
  <c r="S11" i="160"/>
  <c r="S10" i="160"/>
  <c r="S9" i="160"/>
  <c r="S8" i="160"/>
  <c r="S7" i="160"/>
  <c r="C3" i="27"/>
  <c r="B24" i="27"/>
  <c r="C6" i="27"/>
  <c r="L11" i="277"/>
  <c r="K11" i="277"/>
  <c r="J11" i="277"/>
  <c r="L10" i="277"/>
  <c r="K10" i="277"/>
  <c r="J10" i="277"/>
  <c r="L9" i="277"/>
  <c r="K9" i="277"/>
  <c r="J9" i="277"/>
  <c r="L8" i="277"/>
  <c r="K8" i="277"/>
  <c r="J8" i="277"/>
  <c r="L7" i="277"/>
  <c r="K7" i="277"/>
  <c r="J7" i="277"/>
  <c r="J30" i="281"/>
  <c r="J32" i="281"/>
  <c r="P32" i="281" s="1"/>
  <c r="J34" i="281"/>
  <c r="K30" i="281"/>
  <c r="Q30" i="281" s="1"/>
  <c r="K32" i="281"/>
  <c r="Q32" i="281" s="1"/>
  <c r="K34" i="281"/>
  <c r="Q34" i="281" s="1"/>
  <c r="K36" i="281"/>
  <c r="I36" i="281"/>
  <c r="J36" i="281"/>
  <c r="J12" i="276"/>
  <c r="K46" i="39"/>
  <c r="K47" i="39" s="1"/>
  <c r="X47" i="261"/>
  <c r="X51" i="261" s="1"/>
  <c r="AB47" i="261"/>
  <c r="AK47" i="261" s="1"/>
  <c r="AA49" i="261"/>
  <c r="Z47" i="261"/>
  <c r="Z51" i="261" s="1"/>
  <c r="AA46" i="261"/>
  <c r="AA45" i="261"/>
  <c r="AA43" i="261"/>
  <c r="AA42" i="261"/>
  <c r="AA41" i="261"/>
  <c r="AA39" i="261"/>
  <c r="AA38" i="261"/>
  <c r="AA37" i="261"/>
  <c r="AA36" i="261"/>
  <c r="AA35" i="261"/>
  <c r="AA34" i="261"/>
  <c r="AA32" i="261"/>
  <c r="AA30" i="261"/>
  <c r="AA29" i="261"/>
  <c r="AA26" i="261"/>
  <c r="AA27" i="261"/>
  <c r="AA24" i="261"/>
  <c r="AA23" i="261"/>
  <c r="AA22" i="261"/>
  <c r="AA21" i="261"/>
  <c r="AA20" i="261"/>
  <c r="AA18" i="261"/>
  <c r="AA17" i="261"/>
  <c r="AA16" i="261"/>
  <c r="AA14" i="261"/>
  <c r="AA13" i="261"/>
  <c r="AA12" i="261"/>
  <c r="AA11" i="261"/>
  <c r="AA10" i="261"/>
  <c r="AA9" i="261"/>
  <c r="AA8" i="261"/>
  <c r="AA7" i="261"/>
  <c r="AA6" i="261"/>
  <c r="AA5" i="261"/>
  <c r="Y49" i="261"/>
  <c r="Y46" i="261"/>
  <c r="Y45" i="261"/>
  <c r="Y43" i="261"/>
  <c r="Y42" i="261"/>
  <c r="Y41" i="261"/>
  <c r="Y39" i="261"/>
  <c r="Y38" i="261"/>
  <c r="Y37" i="261"/>
  <c r="Y36" i="261"/>
  <c r="Y35" i="261"/>
  <c r="Y34" i="261"/>
  <c r="Y32" i="261"/>
  <c r="Y30" i="261"/>
  <c r="Y29" i="261"/>
  <c r="Y26" i="261"/>
  <c r="Y27" i="261"/>
  <c r="Y24" i="261"/>
  <c r="Y23" i="261"/>
  <c r="Y22" i="261"/>
  <c r="Y21" i="261"/>
  <c r="Y20" i="261"/>
  <c r="Y18" i="261"/>
  <c r="Y17" i="261"/>
  <c r="Y16" i="261"/>
  <c r="Y14" i="261"/>
  <c r="Y13" i="261"/>
  <c r="Y12" i="261"/>
  <c r="Y11" i="261"/>
  <c r="Y10" i="261"/>
  <c r="Y9" i="261"/>
  <c r="Y8" i="261"/>
  <c r="Y7" i="261"/>
  <c r="Y6" i="261"/>
  <c r="Y5" i="261"/>
  <c r="S32" i="310"/>
  <c r="R32" i="310"/>
  <c r="Q32" i="310"/>
  <c r="P32" i="310"/>
  <c r="O32" i="310"/>
  <c r="N32" i="310"/>
  <c r="M32" i="310"/>
  <c r="L32" i="310"/>
  <c r="K32" i="310"/>
  <c r="J32" i="310"/>
  <c r="I32" i="310"/>
  <c r="H32" i="310"/>
  <c r="G32" i="310"/>
  <c r="F32" i="310"/>
  <c r="E32" i="310"/>
  <c r="D32" i="310"/>
  <c r="C32" i="310"/>
  <c r="B32" i="310"/>
  <c r="U31" i="310"/>
  <c r="T31" i="310"/>
  <c r="U30" i="310"/>
  <c r="T30" i="310"/>
  <c r="U29" i="310"/>
  <c r="T29" i="310"/>
  <c r="U27" i="310"/>
  <c r="T27" i="310"/>
  <c r="U26" i="310"/>
  <c r="T26" i="310"/>
  <c r="U25" i="310"/>
  <c r="T25" i="310"/>
  <c r="U24" i="310"/>
  <c r="T24" i="310"/>
  <c r="S23" i="310"/>
  <c r="S28" i="310" s="1"/>
  <c r="S33" i="310" s="1"/>
  <c r="R23" i="310"/>
  <c r="R28" i="310" s="1"/>
  <c r="R33" i="310" s="1"/>
  <c r="Q23" i="310"/>
  <c r="Q28" i="310" s="1"/>
  <c r="P23" i="310"/>
  <c r="P28" i="310" s="1"/>
  <c r="O23" i="310"/>
  <c r="O28" i="310" s="1"/>
  <c r="N23" i="310"/>
  <c r="N28" i="310" s="1"/>
  <c r="M23" i="310"/>
  <c r="M28" i="310" s="1"/>
  <c r="M33" i="310" s="1"/>
  <c r="L23" i="310"/>
  <c r="L28" i="310" s="1"/>
  <c r="L33" i="310" s="1"/>
  <c r="K23" i="310"/>
  <c r="K28" i="310" s="1"/>
  <c r="J23" i="310"/>
  <c r="J28" i="310" s="1"/>
  <c r="I23" i="310"/>
  <c r="I28" i="310" s="1"/>
  <c r="H23" i="310"/>
  <c r="H28" i="310" s="1"/>
  <c r="G23" i="310"/>
  <c r="G28" i="310" s="1"/>
  <c r="F23" i="310"/>
  <c r="F28" i="310" s="1"/>
  <c r="E23" i="310"/>
  <c r="E28" i="310" s="1"/>
  <c r="D23" i="310"/>
  <c r="D28" i="310" s="1"/>
  <c r="C23" i="310"/>
  <c r="C28" i="310" s="1"/>
  <c r="B23" i="310"/>
  <c r="B28" i="310" s="1"/>
  <c r="U22" i="310"/>
  <c r="T22" i="310"/>
  <c r="U21" i="310"/>
  <c r="T21" i="310"/>
  <c r="S18" i="310"/>
  <c r="R18" i="310"/>
  <c r="Q18" i="310"/>
  <c r="P18" i="310"/>
  <c r="O18" i="310"/>
  <c r="N18" i="310"/>
  <c r="M18" i="310"/>
  <c r="L18" i="310"/>
  <c r="K18" i="310"/>
  <c r="J18" i="310"/>
  <c r="I18" i="310"/>
  <c r="H18" i="310"/>
  <c r="G18" i="310"/>
  <c r="F18" i="310"/>
  <c r="E18" i="310"/>
  <c r="D18" i="310"/>
  <c r="C18" i="310"/>
  <c r="B18" i="310"/>
  <c r="U17" i="310"/>
  <c r="T17" i="310"/>
  <c r="U16" i="310"/>
  <c r="T16" i="310"/>
  <c r="U15" i="310"/>
  <c r="T15" i="310"/>
  <c r="U13" i="310"/>
  <c r="T13" i="310"/>
  <c r="U12" i="310"/>
  <c r="T12" i="310"/>
  <c r="U11" i="310"/>
  <c r="T11" i="310"/>
  <c r="U10" i="310"/>
  <c r="T10" i="310"/>
  <c r="S9" i="310"/>
  <c r="S14" i="310" s="1"/>
  <c r="S19" i="310" s="1"/>
  <c r="R9" i="310"/>
  <c r="R14" i="310" s="1"/>
  <c r="R19" i="310" s="1"/>
  <c r="Q9" i="310"/>
  <c r="Q14" i="310" s="1"/>
  <c r="P9" i="310"/>
  <c r="P14" i="310" s="1"/>
  <c r="O9" i="310"/>
  <c r="O14" i="310" s="1"/>
  <c r="N9" i="310"/>
  <c r="N14" i="310" s="1"/>
  <c r="M9" i="310"/>
  <c r="M14" i="310" s="1"/>
  <c r="L9" i="310"/>
  <c r="L14" i="310" s="1"/>
  <c r="L19" i="310" s="1"/>
  <c r="K9" i="310"/>
  <c r="K14" i="310" s="1"/>
  <c r="J9" i="310"/>
  <c r="J14" i="310" s="1"/>
  <c r="I9" i="310"/>
  <c r="I14" i="310" s="1"/>
  <c r="H9" i="310"/>
  <c r="H14" i="310" s="1"/>
  <c r="G9" i="310"/>
  <c r="G14" i="310" s="1"/>
  <c r="F9" i="310"/>
  <c r="F14" i="310" s="1"/>
  <c r="E9" i="310"/>
  <c r="E14" i="310" s="1"/>
  <c r="D9" i="310"/>
  <c r="D14" i="310" s="1"/>
  <c r="C9" i="310"/>
  <c r="C14" i="310" s="1"/>
  <c r="B9" i="310"/>
  <c r="B14" i="310" s="1"/>
  <c r="U8" i="310"/>
  <c r="T8" i="310"/>
  <c r="U7" i="310"/>
  <c r="T7" i="310"/>
  <c r="M36" i="184"/>
  <c r="L36" i="184"/>
  <c r="K36" i="184"/>
  <c r="H36" i="184"/>
  <c r="G36" i="184"/>
  <c r="F36" i="184"/>
  <c r="D36" i="184"/>
  <c r="C36" i="184"/>
  <c r="B36" i="184"/>
  <c r="M35" i="184"/>
  <c r="L35" i="184"/>
  <c r="K35" i="184"/>
  <c r="H35" i="184"/>
  <c r="G35" i="184"/>
  <c r="F35" i="184"/>
  <c r="D35" i="184"/>
  <c r="C35" i="184"/>
  <c r="B35" i="184"/>
  <c r="N36" i="183"/>
  <c r="N35" i="183"/>
  <c r="I36" i="183"/>
  <c r="I35" i="183"/>
  <c r="O35" i="183" s="1"/>
  <c r="E36" i="183"/>
  <c r="E35" i="183"/>
  <c r="K32" i="161"/>
  <c r="L32" i="161"/>
  <c r="M32" i="161"/>
  <c r="K33" i="161"/>
  <c r="L33" i="161"/>
  <c r="M33" i="161"/>
  <c r="K34" i="161"/>
  <c r="L34" i="161"/>
  <c r="M34" i="161"/>
  <c r="K35" i="161"/>
  <c r="L35" i="161"/>
  <c r="M35" i="161"/>
  <c r="K36" i="161"/>
  <c r="L36" i="161"/>
  <c r="M36" i="161"/>
  <c r="K37" i="161"/>
  <c r="L37" i="161"/>
  <c r="M37" i="161"/>
  <c r="K38" i="161"/>
  <c r="L38" i="161"/>
  <c r="M38" i="161"/>
  <c r="F32" i="161"/>
  <c r="G32" i="161"/>
  <c r="H32" i="161"/>
  <c r="F33" i="161"/>
  <c r="G33" i="161"/>
  <c r="H33" i="161"/>
  <c r="F34" i="161"/>
  <c r="G34" i="161"/>
  <c r="H34" i="161"/>
  <c r="F35" i="161"/>
  <c r="G35" i="161"/>
  <c r="H35" i="161"/>
  <c r="F36" i="161"/>
  <c r="G36" i="161"/>
  <c r="H36" i="161"/>
  <c r="F37" i="161"/>
  <c r="G37" i="161"/>
  <c r="H37" i="161"/>
  <c r="F38" i="161"/>
  <c r="G38" i="161"/>
  <c r="H38" i="161"/>
  <c r="D53" i="161"/>
  <c r="C53" i="161"/>
  <c r="B53" i="161"/>
  <c r="D32" i="161"/>
  <c r="D33" i="161"/>
  <c r="D34" i="161"/>
  <c r="D35" i="161"/>
  <c r="D36" i="161"/>
  <c r="D37" i="161"/>
  <c r="D38" i="161"/>
  <c r="B38" i="161"/>
  <c r="B37" i="161"/>
  <c r="B36" i="161"/>
  <c r="B35" i="161"/>
  <c r="B34" i="161"/>
  <c r="C34" i="161"/>
  <c r="C35" i="161"/>
  <c r="C36" i="161"/>
  <c r="C37" i="161"/>
  <c r="C33" i="161"/>
  <c r="N34" i="160"/>
  <c r="N35" i="160"/>
  <c r="I34" i="160"/>
  <c r="I35" i="160"/>
  <c r="O35" i="160" s="1"/>
  <c r="E34" i="160"/>
  <c r="E35" i="160"/>
  <c r="S7" i="239"/>
  <c r="N5" i="239"/>
  <c r="I42" i="50"/>
  <c r="I46" i="50" s="1"/>
  <c r="H42" i="50"/>
  <c r="H46" i="50" s="1"/>
  <c r="G42" i="50"/>
  <c r="E42" i="50"/>
  <c r="E46" i="50" s="1"/>
  <c r="F42" i="50"/>
  <c r="F46" i="50" s="1"/>
  <c r="F2" i="50"/>
  <c r="G2" i="50" s="1"/>
  <c r="H2" i="50" s="1"/>
  <c r="I2" i="50" s="1"/>
  <c r="F2" i="48"/>
  <c r="G2" i="48" s="1"/>
  <c r="H2" i="48" s="1"/>
  <c r="I2" i="48" s="1"/>
  <c r="J2" i="48" s="1"/>
  <c r="K2" i="48" s="1"/>
  <c r="F2" i="49"/>
  <c r="G2" i="49" s="1"/>
  <c r="H2" i="49" s="1"/>
  <c r="I2" i="49" s="1"/>
  <c r="S32" i="309"/>
  <c r="R32" i="309"/>
  <c r="Q32" i="309"/>
  <c r="P32" i="309"/>
  <c r="O32" i="309"/>
  <c r="N32" i="309"/>
  <c r="M32" i="309"/>
  <c r="L32" i="309"/>
  <c r="K32" i="309"/>
  <c r="J32" i="309"/>
  <c r="I32" i="309"/>
  <c r="H32" i="309"/>
  <c r="G32" i="309"/>
  <c r="F32" i="309"/>
  <c r="E32" i="309"/>
  <c r="D32" i="309"/>
  <c r="C32" i="309"/>
  <c r="B32" i="309"/>
  <c r="U31" i="309"/>
  <c r="T31" i="309"/>
  <c r="U30" i="309"/>
  <c r="T30" i="309"/>
  <c r="U29" i="309"/>
  <c r="T29" i="309"/>
  <c r="U27" i="309"/>
  <c r="T27" i="309"/>
  <c r="U26" i="309"/>
  <c r="T26" i="309"/>
  <c r="U25" i="309"/>
  <c r="T25" i="309"/>
  <c r="U24" i="309"/>
  <c r="T24" i="309"/>
  <c r="S23" i="309"/>
  <c r="S28" i="309" s="1"/>
  <c r="S33" i="309" s="1"/>
  <c r="R23" i="309"/>
  <c r="R28" i="309" s="1"/>
  <c r="R33" i="309" s="1"/>
  <c r="Q23" i="309"/>
  <c r="Q28" i="309" s="1"/>
  <c r="Q33" i="309" s="1"/>
  <c r="P23" i="309"/>
  <c r="P28" i="309" s="1"/>
  <c r="P33" i="309" s="1"/>
  <c r="O23" i="309"/>
  <c r="O28" i="309" s="1"/>
  <c r="N23" i="309"/>
  <c r="N28" i="309" s="1"/>
  <c r="M23" i="309"/>
  <c r="M28" i="309" s="1"/>
  <c r="L23" i="309"/>
  <c r="L28" i="309" s="1"/>
  <c r="L33" i="309" s="1"/>
  <c r="K23" i="309"/>
  <c r="K28" i="309" s="1"/>
  <c r="J23" i="309"/>
  <c r="J28" i="309" s="1"/>
  <c r="I23" i="309"/>
  <c r="I28" i="309" s="1"/>
  <c r="H23" i="309"/>
  <c r="H28" i="309" s="1"/>
  <c r="G23" i="309"/>
  <c r="G28" i="309" s="1"/>
  <c r="F23" i="309"/>
  <c r="F28" i="309" s="1"/>
  <c r="E23" i="309"/>
  <c r="E28" i="309" s="1"/>
  <c r="E33" i="309" s="1"/>
  <c r="D23" i="309"/>
  <c r="D28" i="309" s="1"/>
  <c r="D33" i="309" s="1"/>
  <c r="C23" i="309"/>
  <c r="C28" i="309" s="1"/>
  <c r="C33" i="309" s="1"/>
  <c r="B23" i="309"/>
  <c r="B28" i="309" s="1"/>
  <c r="U22" i="309"/>
  <c r="T22" i="309"/>
  <c r="U21" i="309"/>
  <c r="T21" i="309"/>
  <c r="S18" i="309"/>
  <c r="R18" i="309"/>
  <c r="Q18" i="309"/>
  <c r="P18" i="309"/>
  <c r="O18" i="309"/>
  <c r="N18" i="309"/>
  <c r="M18" i="309"/>
  <c r="L18" i="309"/>
  <c r="K18" i="309"/>
  <c r="J18" i="309"/>
  <c r="I18" i="309"/>
  <c r="H18" i="309"/>
  <c r="G18" i="309"/>
  <c r="F18" i="309"/>
  <c r="E18" i="309"/>
  <c r="D18" i="309"/>
  <c r="C18" i="309"/>
  <c r="B18" i="309"/>
  <c r="U17" i="309"/>
  <c r="T17" i="309"/>
  <c r="U16" i="309"/>
  <c r="T16" i="309"/>
  <c r="U15" i="309"/>
  <c r="T15" i="309"/>
  <c r="U13" i="309"/>
  <c r="T13" i="309"/>
  <c r="U12" i="309"/>
  <c r="T12" i="309"/>
  <c r="U11" i="309"/>
  <c r="T11" i="309"/>
  <c r="U10" i="309"/>
  <c r="T10" i="309"/>
  <c r="S9" i="309"/>
  <c r="S14" i="309" s="1"/>
  <c r="R9" i="309"/>
  <c r="R14" i="309" s="1"/>
  <c r="Q9" i="309"/>
  <c r="Q14" i="309" s="1"/>
  <c r="Q19" i="309" s="1"/>
  <c r="P9" i="309"/>
  <c r="P14" i="309" s="1"/>
  <c r="P19" i="309" s="1"/>
  <c r="O9" i="309"/>
  <c r="O14" i="309" s="1"/>
  <c r="O19" i="309" s="1"/>
  <c r="N9" i="309"/>
  <c r="N14" i="309" s="1"/>
  <c r="N19" i="309" s="1"/>
  <c r="M9" i="309"/>
  <c r="M14" i="309" s="1"/>
  <c r="M19" i="309" s="1"/>
  <c r="L9" i="309"/>
  <c r="L14" i="309" s="1"/>
  <c r="L19" i="309" s="1"/>
  <c r="K9" i="309"/>
  <c r="K14" i="309" s="1"/>
  <c r="K19" i="309" s="1"/>
  <c r="J9" i="309"/>
  <c r="J14" i="309" s="1"/>
  <c r="J19" i="309" s="1"/>
  <c r="I9" i="309"/>
  <c r="I14" i="309" s="1"/>
  <c r="I19" i="309" s="1"/>
  <c r="H9" i="309"/>
  <c r="H14" i="309" s="1"/>
  <c r="G9" i="309"/>
  <c r="G14" i="309" s="1"/>
  <c r="G19" i="309" s="1"/>
  <c r="F9" i="309"/>
  <c r="F14" i="309" s="1"/>
  <c r="F19" i="309" s="1"/>
  <c r="E9" i="309"/>
  <c r="E14" i="309" s="1"/>
  <c r="D9" i="309"/>
  <c r="D14" i="309" s="1"/>
  <c r="C9" i="309"/>
  <c r="C14" i="309" s="1"/>
  <c r="C19" i="309" s="1"/>
  <c r="B9" i="309"/>
  <c r="B14" i="309" s="1"/>
  <c r="B19" i="309" s="1"/>
  <c r="U8" i="309"/>
  <c r="T8" i="309"/>
  <c r="U7" i="309"/>
  <c r="T7" i="309"/>
  <c r="H46" i="39"/>
  <c r="H47" i="39" s="1"/>
  <c r="H50" i="39" s="1"/>
  <c r="G46" i="39"/>
  <c r="G47" i="39" s="1"/>
  <c r="G50" i="39" s="1"/>
  <c r="F46" i="39"/>
  <c r="F47" i="39" s="1"/>
  <c r="I12" i="276"/>
  <c r="H12" i="276"/>
  <c r="I52" i="187"/>
  <c r="J52" i="187"/>
  <c r="F26" i="187"/>
  <c r="G26" i="187"/>
  <c r="H26" i="187"/>
  <c r="C51" i="35"/>
  <c r="C55" i="35" s="1"/>
  <c r="B51" i="35"/>
  <c r="B55" i="35" s="1"/>
  <c r="C53" i="34"/>
  <c r="B53" i="34"/>
  <c r="C64" i="36"/>
  <c r="C68" i="36" s="1"/>
  <c r="B64" i="36"/>
  <c r="B68" i="36" s="1"/>
  <c r="C129" i="196"/>
  <c r="C133" i="196" s="1"/>
  <c r="C49" i="196"/>
  <c r="C43" i="196"/>
  <c r="B129" i="196"/>
  <c r="D129" i="196"/>
  <c r="B58" i="196"/>
  <c r="B66" i="196"/>
  <c r="B49" i="196"/>
  <c r="B39" i="196"/>
  <c r="G33" i="196"/>
  <c r="B25" i="196"/>
  <c r="B18" i="196"/>
  <c r="D53" i="29"/>
  <c r="D52" i="29"/>
  <c r="D56" i="29" s="1"/>
  <c r="G6" i="29"/>
  <c r="C53" i="29"/>
  <c r="C52" i="29"/>
  <c r="C131" i="159"/>
  <c r="B131" i="159"/>
  <c r="B135" i="159" s="1"/>
  <c r="B88" i="159"/>
  <c r="B57" i="159"/>
  <c r="B52" i="159"/>
  <c r="B55" i="159" s="1"/>
  <c r="B48" i="159"/>
  <c r="D48" i="159" s="1"/>
  <c r="B40" i="159"/>
  <c r="B41" i="159" s="1"/>
  <c r="G34" i="159"/>
  <c r="B26" i="159"/>
  <c r="B21" i="159"/>
  <c r="B22" i="159" s="1"/>
  <c r="D22" i="159" s="1"/>
  <c r="Y5" i="181"/>
  <c r="X12" i="181"/>
  <c r="X11" i="181"/>
  <c r="X10" i="181"/>
  <c r="X9" i="181"/>
  <c r="X8" i="181"/>
  <c r="X7" i="181"/>
  <c r="X6" i="181"/>
  <c r="X5" i="181"/>
  <c r="W12" i="181"/>
  <c r="W11" i="181"/>
  <c r="W10" i="181"/>
  <c r="W9" i="181"/>
  <c r="W8" i="181"/>
  <c r="W7" i="181"/>
  <c r="W6" i="181"/>
  <c r="W5" i="181"/>
  <c r="B18" i="181"/>
  <c r="B26" i="181" s="1"/>
  <c r="E3" i="27"/>
  <c r="G3" i="27" s="1"/>
  <c r="I3" i="27" s="1"/>
  <c r="K3" i="27" s="1"/>
  <c r="M3" i="27" s="1"/>
  <c r="B18" i="27"/>
  <c r="H6" i="21"/>
  <c r="E6" i="21"/>
  <c r="I7" i="183"/>
  <c r="I8" i="183"/>
  <c r="I9" i="183"/>
  <c r="I10" i="183"/>
  <c r="I11" i="183"/>
  <c r="I12" i="183"/>
  <c r="I14" i="183"/>
  <c r="I15" i="183"/>
  <c r="I18" i="183"/>
  <c r="I19" i="183"/>
  <c r="O19" i="183" s="1"/>
  <c r="I21" i="183"/>
  <c r="I22" i="183"/>
  <c r="R11" i="239"/>
  <c r="S9" i="239"/>
  <c r="S5" i="239"/>
  <c r="P11" i="239"/>
  <c r="AF11" i="239" s="1"/>
  <c r="Q9" i="239"/>
  <c r="O9" i="239"/>
  <c r="G15" i="259"/>
  <c r="G14" i="259"/>
  <c r="G13" i="259"/>
  <c r="B30" i="285"/>
  <c r="Q36" i="281"/>
  <c r="P36" i="281"/>
  <c r="O36" i="281"/>
  <c r="P34" i="281"/>
  <c r="O34" i="281"/>
  <c r="O32" i="281"/>
  <c r="P30" i="281"/>
  <c r="O30" i="281"/>
  <c r="E75" i="183"/>
  <c r="I75" i="183"/>
  <c r="N75" i="183"/>
  <c r="I133" i="196"/>
  <c r="L133" i="196" s="1"/>
  <c r="J49" i="196"/>
  <c r="E51" i="196"/>
  <c r="X4" i="181"/>
  <c r="Y4" i="181" s="1"/>
  <c r="Z4" i="181" s="1"/>
  <c r="AA4" i="181" s="1"/>
  <c r="AB4" i="181" s="1"/>
  <c r="AC4" i="181" s="1"/>
  <c r="G24" i="181"/>
  <c r="G18" i="181"/>
  <c r="H6" i="181"/>
  <c r="H8" i="181"/>
  <c r="H10" i="181"/>
  <c r="H12" i="181"/>
  <c r="H14" i="181"/>
  <c r="H16" i="181"/>
  <c r="H20" i="181"/>
  <c r="H22" i="181"/>
  <c r="E24" i="181"/>
  <c r="H24" i="181" s="1"/>
  <c r="E18" i="181"/>
  <c r="H18" i="181" s="1"/>
  <c r="C18" i="181"/>
  <c r="C26" i="181" s="1"/>
  <c r="U39" i="261"/>
  <c r="W39" i="261"/>
  <c r="S39" i="261"/>
  <c r="Q39" i="261"/>
  <c r="O39" i="261"/>
  <c r="M39" i="261"/>
  <c r="K39" i="261"/>
  <c r="I39" i="261"/>
  <c r="G39" i="261"/>
  <c r="W49" i="261"/>
  <c r="V47" i="261"/>
  <c r="V48" i="261" s="1"/>
  <c r="W46" i="261"/>
  <c r="W45" i="261"/>
  <c r="W43" i="261"/>
  <c r="W42" i="261"/>
  <c r="W41" i="261"/>
  <c r="W38" i="261"/>
  <c r="W37" i="261"/>
  <c r="W36" i="261"/>
  <c r="W35" i="261"/>
  <c r="W34" i="261"/>
  <c r="W32" i="261"/>
  <c r="W30" i="261"/>
  <c r="W29" i="261"/>
  <c r="W26" i="261"/>
  <c r="W27" i="261"/>
  <c r="W24" i="261"/>
  <c r="W23" i="261"/>
  <c r="W22" i="261"/>
  <c r="W21" i="261"/>
  <c r="W20" i="261"/>
  <c r="W18" i="261"/>
  <c r="W17" i="261"/>
  <c r="W16" i="261"/>
  <c r="W14" i="261"/>
  <c r="W13" i="261"/>
  <c r="W12" i="261"/>
  <c r="W11" i="261"/>
  <c r="W10" i="261"/>
  <c r="W9" i="261"/>
  <c r="W8" i="261"/>
  <c r="W7" i="261"/>
  <c r="W6" i="261"/>
  <c r="W5" i="261"/>
  <c r="J46" i="39"/>
  <c r="J47" i="39" s="1"/>
  <c r="G12" i="276"/>
  <c r="U69" i="308"/>
  <c r="W69" i="308"/>
  <c r="S69" i="308"/>
  <c r="Q69" i="308"/>
  <c r="O69" i="308"/>
  <c r="M69" i="308"/>
  <c r="K69" i="308"/>
  <c r="I69" i="308"/>
  <c r="G69" i="308"/>
  <c r="V36" i="308"/>
  <c r="T36" i="308"/>
  <c r="R36" i="308"/>
  <c r="U36" i="308" s="1"/>
  <c r="P36" i="308"/>
  <c r="N36" i="308"/>
  <c r="L36" i="308"/>
  <c r="J36" i="308"/>
  <c r="H36" i="308"/>
  <c r="F36" i="308"/>
  <c r="E36" i="308"/>
  <c r="D36" i="308"/>
  <c r="C36" i="308"/>
  <c r="B36" i="308"/>
  <c r="G35" i="308"/>
  <c r="I35" i="308"/>
  <c r="K35" i="308"/>
  <c r="M35" i="308"/>
  <c r="O35" i="308"/>
  <c r="Q35" i="308"/>
  <c r="S35" i="308"/>
  <c r="U35" i="308"/>
  <c r="W35" i="308"/>
  <c r="V29" i="308"/>
  <c r="V111" i="308"/>
  <c r="T111" i="308"/>
  <c r="R111" i="308"/>
  <c r="P111" i="308"/>
  <c r="N111" i="308"/>
  <c r="L111" i="308"/>
  <c r="J111" i="308"/>
  <c r="H111" i="308"/>
  <c r="F111" i="308"/>
  <c r="E111" i="308"/>
  <c r="D111" i="308"/>
  <c r="C111" i="308"/>
  <c r="B111" i="308"/>
  <c r="W100" i="308"/>
  <c r="U100" i="308"/>
  <c r="S100" i="308"/>
  <c r="Q100" i="308"/>
  <c r="O100" i="308"/>
  <c r="M100" i="308"/>
  <c r="K100" i="308"/>
  <c r="I100" i="308"/>
  <c r="G100" i="308"/>
  <c r="W8" i="308"/>
  <c r="U8" i="308"/>
  <c r="S8" i="308"/>
  <c r="Q8" i="308"/>
  <c r="O8" i="308"/>
  <c r="M8" i="308"/>
  <c r="I8" i="308"/>
  <c r="G8" i="308"/>
  <c r="V9" i="308"/>
  <c r="T9" i="308"/>
  <c r="R9" i="308"/>
  <c r="P9" i="308"/>
  <c r="N9" i="308"/>
  <c r="L9" i="308"/>
  <c r="J9" i="308"/>
  <c r="H9" i="308"/>
  <c r="F9" i="308"/>
  <c r="E9" i="308"/>
  <c r="D9" i="308"/>
  <c r="C9" i="308"/>
  <c r="B9" i="308"/>
  <c r="V32" i="308"/>
  <c r="V59" i="308" s="1"/>
  <c r="V89" i="308" s="1"/>
  <c r="W110" i="308"/>
  <c r="W109" i="308"/>
  <c r="W108" i="308"/>
  <c r="W107" i="308"/>
  <c r="W106" i="308"/>
  <c r="W105" i="308"/>
  <c r="W104" i="308"/>
  <c r="W103" i="308"/>
  <c r="W102" i="308"/>
  <c r="W101" i="308"/>
  <c r="V98" i="308"/>
  <c r="W97" i="308"/>
  <c r="W96" i="308"/>
  <c r="W95" i="308"/>
  <c r="W94" i="308"/>
  <c r="W93" i="308"/>
  <c r="W92" i="308"/>
  <c r="W91" i="308"/>
  <c r="V86" i="308"/>
  <c r="W85" i="308"/>
  <c r="W84" i="308"/>
  <c r="W83" i="308"/>
  <c r="W82" i="308"/>
  <c r="V80" i="308"/>
  <c r="W79" i="308"/>
  <c r="W78" i="308"/>
  <c r="W77" i="308"/>
  <c r="W76" i="308"/>
  <c r="W75" i="308"/>
  <c r="W74" i="308"/>
  <c r="W70" i="308"/>
  <c r="W68" i="308"/>
  <c r="W67" i="308"/>
  <c r="W66" i="308"/>
  <c r="W65" i="308"/>
  <c r="W64" i="308"/>
  <c r="W63" i="308"/>
  <c r="W62" i="308"/>
  <c r="W61" i="308"/>
  <c r="V56" i="308"/>
  <c r="W55" i="308"/>
  <c r="W54" i="308"/>
  <c r="V52" i="308"/>
  <c r="W51" i="308"/>
  <c r="W50" i="308"/>
  <c r="W49" i="308"/>
  <c r="V47" i="308"/>
  <c r="W46" i="308"/>
  <c r="W45" i="308"/>
  <c r="V43" i="308"/>
  <c r="W42" i="308"/>
  <c r="W41" i="308"/>
  <c r="W39" i="308"/>
  <c r="W38" i="308"/>
  <c r="W34" i="308"/>
  <c r="W28" i="308"/>
  <c r="W27" i="308"/>
  <c r="W26" i="308"/>
  <c r="W25" i="308"/>
  <c r="W21" i="308"/>
  <c r="V18" i="308"/>
  <c r="W17" i="308"/>
  <c r="W16" i="308"/>
  <c r="W15" i="308"/>
  <c r="W14" i="308"/>
  <c r="W13" i="308"/>
  <c r="W12" i="308"/>
  <c r="W11" i="308"/>
  <c r="W7" i="308"/>
  <c r="W6" i="308"/>
  <c r="J104" i="187"/>
  <c r="I104" i="187"/>
  <c r="H104" i="187"/>
  <c r="G104" i="187"/>
  <c r="F104" i="187"/>
  <c r="J33" i="187"/>
  <c r="I33" i="187"/>
  <c r="H33" i="187"/>
  <c r="G33" i="187"/>
  <c r="F33" i="187"/>
  <c r="J9" i="187"/>
  <c r="I9" i="187"/>
  <c r="H9" i="187"/>
  <c r="G9" i="187"/>
  <c r="F9" i="187"/>
  <c r="J91" i="187"/>
  <c r="J79" i="187"/>
  <c r="J73" i="187"/>
  <c r="J48" i="187"/>
  <c r="J44" i="187"/>
  <c r="J40" i="187"/>
  <c r="J26" i="187"/>
  <c r="J17" i="187"/>
  <c r="U110" i="308"/>
  <c r="S110" i="308"/>
  <c r="Q110" i="308"/>
  <c r="O110" i="308"/>
  <c r="M110" i="308"/>
  <c r="K110" i="308"/>
  <c r="I110" i="308"/>
  <c r="G110" i="308"/>
  <c r="U109" i="308"/>
  <c r="S109" i="308"/>
  <c r="Q109" i="308"/>
  <c r="O109" i="308"/>
  <c r="M109" i="308"/>
  <c r="K109" i="308"/>
  <c r="I109" i="308"/>
  <c r="G109" i="308"/>
  <c r="U108" i="308"/>
  <c r="S108" i="308"/>
  <c r="Q108" i="308"/>
  <c r="O108" i="308"/>
  <c r="M108" i="308"/>
  <c r="K108" i="308"/>
  <c r="I108" i="308"/>
  <c r="G108" i="308"/>
  <c r="U107" i="308"/>
  <c r="S107" i="308"/>
  <c r="Q107" i="308"/>
  <c r="O107" i="308"/>
  <c r="M107" i="308"/>
  <c r="K107" i="308"/>
  <c r="I107" i="308"/>
  <c r="G107" i="308"/>
  <c r="U106" i="308"/>
  <c r="S106" i="308"/>
  <c r="Q106" i="308"/>
  <c r="O106" i="308"/>
  <c r="M106" i="308"/>
  <c r="K106" i="308"/>
  <c r="I106" i="308"/>
  <c r="G106" i="308"/>
  <c r="U105" i="308"/>
  <c r="S105" i="308"/>
  <c r="Q105" i="308"/>
  <c r="O105" i="308"/>
  <c r="M105" i="308"/>
  <c r="K105" i="308"/>
  <c r="I105" i="308"/>
  <c r="G105" i="308"/>
  <c r="U104" i="308"/>
  <c r="S104" i="308"/>
  <c r="Q104" i="308"/>
  <c r="O104" i="308"/>
  <c r="M104" i="308"/>
  <c r="K104" i="308"/>
  <c r="I104" i="308"/>
  <c r="G104" i="308"/>
  <c r="U103" i="308"/>
  <c r="S103" i="308"/>
  <c r="Q103" i="308"/>
  <c r="O103" i="308"/>
  <c r="M103" i="308"/>
  <c r="K103" i="308"/>
  <c r="I103" i="308"/>
  <c r="G103" i="308"/>
  <c r="U102" i="308"/>
  <c r="S102" i="308"/>
  <c r="Q102" i="308"/>
  <c r="O102" i="308"/>
  <c r="M102" i="308"/>
  <c r="K102" i="308"/>
  <c r="I102" i="308"/>
  <c r="G102" i="308"/>
  <c r="U101" i="308"/>
  <c r="S101" i="308"/>
  <c r="Q101" i="308"/>
  <c r="O101" i="308"/>
  <c r="M101" i="308"/>
  <c r="K101" i="308"/>
  <c r="I101" i="308"/>
  <c r="G101" i="308"/>
  <c r="T98" i="308"/>
  <c r="R98" i="308"/>
  <c r="R112" i="308" s="1"/>
  <c r="P98" i="308"/>
  <c r="N98" i="308"/>
  <c r="N112" i="308" s="1"/>
  <c r="L98" i="308"/>
  <c r="J98" i="308"/>
  <c r="J112" i="308" s="1"/>
  <c r="H98" i="308"/>
  <c r="F98" i="308"/>
  <c r="E98" i="308"/>
  <c r="D98" i="308"/>
  <c r="D112" i="308" s="1"/>
  <c r="C98" i="308"/>
  <c r="B98" i="308"/>
  <c r="U97" i="308"/>
  <c r="S97" i="308"/>
  <c r="Q97" i="308"/>
  <c r="O97" i="308"/>
  <c r="M97" i="308"/>
  <c r="K97" i="308"/>
  <c r="I97" i="308"/>
  <c r="G97" i="308"/>
  <c r="U96" i="308"/>
  <c r="S96" i="308"/>
  <c r="Q96" i="308"/>
  <c r="O96" i="308"/>
  <c r="M96" i="308"/>
  <c r="K96" i="308"/>
  <c r="I96" i="308"/>
  <c r="G96" i="308"/>
  <c r="U95" i="308"/>
  <c r="S95" i="308"/>
  <c r="Q95" i="308"/>
  <c r="O95" i="308"/>
  <c r="M95" i="308"/>
  <c r="K95" i="308"/>
  <c r="I95" i="308"/>
  <c r="G95" i="308"/>
  <c r="U94" i="308"/>
  <c r="S94" i="308"/>
  <c r="Q94" i="308"/>
  <c r="O94" i="308"/>
  <c r="M94" i="308"/>
  <c r="K94" i="308"/>
  <c r="I94" i="308"/>
  <c r="G94" i="308"/>
  <c r="U93" i="308"/>
  <c r="S93" i="308"/>
  <c r="Q93" i="308"/>
  <c r="O93" i="308"/>
  <c r="M93" i="308"/>
  <c r="K93" i="308"/>
  <c r="I93" i="308"/>
  <c r="G93" i="308"/>
  <c r="U92" i="308"/>
  <c r="S92" i="308"/>
  <c r="Q92" i="308"/>
  <c r="O92" i="308"/>
  <c r="M92" i="308"/>
  <c r="K92" i="308"/>
  <c r="I92" i="308"/>
  <c r="G92" i="308"/>
  <c r="U91" i="308"/>
  <c r="S91" i="308"/>
  <c r="Q91" i="308"/>
  <c r="O91" i="308"/>
  <c r="M91" i="308"/>
  <c r="K91" i="308"/>
  <c r="I91" i="308"/>
  <c r="G91" i="308"/>
  <c r="T86" i="308"/>
  <c r="R86" i="308"/>
  <c r="P86" i="308"/>
  <c r="N86" i="308"/>
  <c r="L86" i="308"/>
  <c r="J86" i="308"/>
  <c r="H86" i="308"/>
  <c r="F86" i="308"/>
  <c r="E86" i="308"/>
  <c r="D86" i="308"/>
  <c r="C86" i="308"/>
  <c r="B86" i="308"/>
  <c r="U85" i="308"/>
  <c r="S85" i="308"/>
  <c r="Q85" i="308"/>
  <c r="O85" i="308"/>
  <c r="M85" i="308"/>
  <c r="K85" i="308"/>
  <c r="I85" i="308"/>
  <c r="G85" i="308"/>
  <c r="U84" i="308"/>
  <c r="S84" i="308"/>
  <c r="Q84" i="308"/>
  <c r="O84" i="308"/>
  <c r="M84" i="308"/>
  <c r="K84" i="308"/>
  <c r="I84" i="308"/>
  <c r="G84" i="308"/>
  <c r="U83" i="308"/>
  <c r="S83" i="308"/>
  <c r="Q83" i="308"/>
  <c r="O83" i="308"/>
  <c r="M83" i="308"/>
  <c r="K83" i="308"/>
  <c r="I83" i="308"/>
  <c r="G83" i="308"/>
  <c r="U82" i="308"/>
  <c r="S82" i="308"/>
  <c r="Q82" i="308"/>
  <c r="O82" i="308"/>
  <c r="M82" i="308"/>
  <c r="K82" i="308"/>
  <c r="I82" i="308"/>
  <c r="G82" i="308"/>
  <c r="T80" i="308"/>
  <c r="R80" i="308"/>
  <c r="P80" i="308"/>
  <c r="N80" i="308"/>
  <c r="L80" i="308"/>
  <c r="J80" i="308"/>
  <c r="H80" i="308"/>
  <c r="F80" i="308"/>
  <c r="E80" i="308"/>
  <c r="D80" i="308"/>
  <c r="C80" i="308"/>
  <c r="B80" i="308"/>
  <c r="U79" i="308"/>
  <c r="S79" i="308"/>
  <c r="Q79" i="308"/>
  <c r="O79" i="308"/>
  <c r="M79" i="308"/>
  <c r="K79" i="308"/>
  <c r="I79" i="308"/>
  <c r="G79" i="308"/>
  <c r="U78" i="308"/>
  <c r="S78" i="308"/>
  <c r="Q78" i="308"/>
  <c r="O78" i="308"/>
  <c r="M78" i="308"/>
  <c r="K78" i="308"/>
  <c r="I78" i="308"/>
  <c r="G78" i="308"/>
  <c r="U77" i="308"/>
  <c r="S77" i="308"/>
  <c r="Q77" i="308"/>
  <c r="O77" i="308"/>
  <c r="M77" i="308"/>
  <c r="K77" i="308"/>
  <c r="I77" i="308"/>
  <c r="G77" i="308"/>
  <c r="U76" i="308"/>
  <c r="S76" i="308"/>
  <c r="Q76" i="308"/>
  <c r="O76" i="308"/>
  <c r="M76" i="308"/>
  <c r="K76" i="308"/>
  <c r="I76" i="308"/>
  <c r="G76" i="308"/>
  <c r="U75" i="308"/>
  <c r="S75" i="308"/>
  <c r="Q75" i="308"/>
  <c r="O75" i="308"/>
  <c r="M75" i="308"/>
  <c r="K75" i="308"/>
  <c r="I75" i="308"/>
  <c r="G75" i="308"/>
  <c r="U74" i="308"/>
  <c r="S74" i="308"/>
  <c r="Q74" i="308"/>
  <c r="O74" i="308"/>
  <c r="M74" i="308"/>
  <c r="K74" i="308"/>
  <c r="I74" i="308"/>
  <c r="G74" i="308"/>
  <c r="T87" i="308"/>
  <c r="R87" i="308"/>
  <c r="N87" i="308"/>
  <c r="L87" i="308"/>
  <c r="J87" i="308"/>
  <c r="F87" i="308"/>
  <c r="D87" i="308"/>
  <c r="B87" i="308"/>
  <c r="U70" i="308"/>
  <c r="S70" i="308"/>
  <c r="Q70" i="308"/>
  <c r="O70" i="308"/>
  <c r="M70" i="308"/>
  <c r="K70" i="308"/>
  <c r="I70" i="308"/>
  <c r="G70" i="308"/>
  <c r="U68" i="308"/>
  <c r="S68" i="308"/>
  <c r="Q68" i="308"/>
  <c r="O68" i="308"/>
  <c r="M68" i="308"/>
  <c r="K68" i="308"/>
  <c r="I68" i="308"/>
  <c r="G68" i="308"/>
  <c r="U67" i="308"/>
  <c r="S67" i="308"/>
  <c r="Q67" i="308"/>
  <c r="O67" i="308"/>
  <c r="M67" i="308"/>
  <c r="K67" i="308"/>
  <c r="I67" i="308"/>
  <c r="G67" i="308"/>
  <c r="U66" i="308"/>
  <c r="S66" i="308"/>
  <c r="Q66" i="308"/>
  <c r="O66" i="308"/>
  <c r="M66" i="308"/>
  <c r="K66" i="308"/>
  <c r="I66" i="308"/>
  <c r="G66" i="308"/>
  <c r="U65" i="308"/>
  <c r="S65" i="308"/>
  <c r="Q65" i="308"/>
  <c r="O65" i="308"/>
  <c r="M65" i="308"/>
  <c r="K65" i="308"/>
  <c r="I65" i="308"/>
  <c r="G65" i="308"/>
  <c r="U64" i="308"/>
  <c r="S64" i="308"/>
  <c r="Q64" i="308"/>
  <c r="O64" i="308"/>
  <c r="M64" i="308"/>
  <c r="K64" i="308"/>
  <c r="I64" i="308"/>
  <c r="G64" i="308"/>
  <c r="U63" i="308"/>
  <c r="S63" i="308"/>
  <c r="Q63" i="308"/>
  <c r="O63" i="308"/>
  <c r="M63" i="308"/>
  <c r="K63" i="308"/>
  <c r="I63" i="308"/>
  <c r="G63" i="308"/>
  <c r="U62" i="308"/>
  <c r="S62" i="308"/>
  <c r="Q62" i="308"/>
  <c r="O62" i="308"/>
  <c r="M62" i="308"/>
  <c r="K62" i="308"/>
  <c r="I62" i="308"/>
  <c r="G62" i="308"/>
  <c r="U61" i="308"/>
  <c r="S61" i="308"/>
  <c r="Q61" i="308"/>
  <c r="O61" i="308"/>
  <c r="M61" i="308"/>
  <c r="K61" i="308"/>
  <c r="I61" i="308"/>
  <c r="G61" i="308"/>
  <c r="T56" i="308"/>
  <c r="R56" i="308"/>
  <c r="P56" i="308"/>
  <c r="N56" i="308"/>
  <c r="L56" i="308"/>
  <c r="J56" i="308"/>
  <c r="H56" i="308"/>
  <c r="F56" i="308"/>
  <c r="E56" i="308"/>
  <c r="E57" i="308" s="1"/>
  <c r="D56" i="308"/>
  <c r="C56" i="308"/>
  <c r="B56" i="308"/>
  <c r="U55" i="308"/>
  <c r="S55" i="308"/>
  <c r="Q55" i="308"/>
  <c r="O55" i="308"/>
  <c r="M55" i="308"/>
  <c r="K55" i="308"/>
  <c r="I55" i="308"/>
  <c r="G55" i="308"/>
  <c r="U54" i="308"/>
  <c r="S54" i="308"/>
  <c r="Q54" i="308"/>
  <c r="O54" i="308"/>
  <c r="M54" i="308"/>
  <c r="K54" i="308"/>
  <c r="I54" i="308"/>
  <c r="G54" i="308"/>
  <c r="T52" i="308"/>
  <c r="R52" i="308"/>
  <c r="P52" i="308"/>
  <c r="N52" i="308"/>
  <c r="L52" i="308"/>
  <c r="J52" i="308"/>
  <c r="H52" i="308"/>
  <c r="F52" i="308"/>
  <c r="E52" i="308"/>
  <c r="D52" i="308"/>
  <c r="D57" i="308" s="1"/>
  <c r="C52" i="308"/>
  <c r="B52" i="308"/>
  <c r="U51" i="308"/>
  <c r="S51" i="308"/>
  <c r="Q51" i="308"/>
  <c r="O51" i="308"/>
  <c r="M51" i="308"/>
  <c r="K51" i="308"/>
  <c r="I51" i="308"/>
  <c r="G51" i="308"/>
  <c r="U50" i="308"/>
  <c r="S50" i="308"/>
  <c r="Q50" i="308"/>
  <c r="O50" i="308"/>
  <c r="M50" i="308"/>
  <c r="K50" i="308"/>
  <c r="I50" i="308"/>
  <c r="G50" i="308"/>
  <c r="U49" i="308"/>
  <c r="S49" i="308"/>
  <c r="Q49" i="308"/>
  <c r="O49" i="308"/>
  <c r="M49" i="308"/>
  <c r="K49" i="308"/>
  <c r="I49" i="308"/>
  <c r="G49" i="308"/>
  <c r="T47" i="308"/>
  <c r="R47" i="308"/>
  <c r="P47" i="308"/>
  <c r="N47" i="308"/>
  <c r="L47" i="308"/>
  <c r="J47" i="308"/>
  <c r="H47" i="308"/>
  <c r="F47" i="308"/>
  <c r="E47" i="308"/>
  <c r="M47" i="308"/>
  <c r="D47" i="308"/>
  <c r="C47" i="308"/>
  <c r="B47" i="308"/>
  <c r="U46" i="308"/>
  <c r="S46" i="308"/>
  <c r="Q46" i="308"/>
  <c r="O46" i="308"/>
  <c r="M46" i="308"/>
  <c r="K46" i="308"/>
  <c r="I46" i="308"/>
  <c r="G46" i="308"/>
  <c r="U45" i="308"/>
  <c r="S45" i="308"/>
  <c r="Q45" i="308"/>
  <c r="O45" i="308"/>
  <c r="M45" i="308"/>
  <c r="K45" i="308"/>
  <c r="I45" i="308"/>
  <c r="G45" i="308"/>
  <c r="T43" i="308"/>
  <c r="T57" i="308" s="1"/>
  <c r="R43" i="308"/>
  <c r="P43" i="308"/>
  <c r="N43" i="308"/>
  <c r="L43" i="308"/>
  <c r="L57" i="308" s="1"/>
  <c r="J43" i="308"/>
  <c r="H43" i="308"/>
  <c r="F43" i="308"/>
  <c r="E43" i="308"/>
  <c r="D43" i="308"/>
  <c r="C43" i="308"/>
  <c r="B43" i="308"/>
  <c r="B57" i="308" s="1"/>
  <c r="U42" i="308"/>
  <c r="S42" i="308"/>
  <c r="Q42" i="308"/>
  <c r="O42" i="308"/>
  <c r="M42" i="308"/>
  <c r="K42" i="308"/>
  <c r="I42" i="308"/>
  <c r="G42" i="308"/>
  <c r="U41" i="308"/>
  <c r="S41" i="308"/>
  <c r="Q41" i="308"/>
  <c r="O41" i="308"/>
  <c r="M41" i="308"/>
  <c r="K41" i="308"/>
  <c r="I41" i="308"/>
  <c r="G41" i="308"/>
  <c r="U39" i="308"/>
  <c r="S39" i="308"/>
  <c r="Q39" i="308"/>
  <c r="O39" i="308"/>
  <c r="M39" i="308"/>
  <c r="K39" i="308"/>
  <c r="I39" i="308"/>
  <c r="G39" i="308"/>
  <c r="U38" i="308"/>
  <c r="S38" i="308"/>
  <c r="Q38" i="308"/>
  <c r="O38" i="308"/>
  <c r="M38" i="308"/>
  <c r="K38" i="308"/>
  <c r="I38" i="308"/>
  <c r="G38" i="308"/>
  <c r="U34" i="308"/>
  <c r="S34" i="308"/>
  <c r="Q34" i="308"/>
  <c r="O34" i="308"/>
  <c r="M34" i="308"/>
  <c r="K34" i="308"/>
  <c r="I34" i="308"/>
  <c r="G34" i="308"/>
  <c r="T29" i="308"/>
  <c r="R29" i="308"/>
  <c r="P29" i="308"/>
  <c r="N29" i="308"/>
  <c r="L29" i="308"/>
  <c r="J29" i="308"/>
  <c r="H29" i="308"/>
  <c r="F29" i="308"/>
  <c r="E29" i="308"/>
  <c r="D29" i="308"/>
  <c r="C29" i="308"/>
  <c r="B29" i="308"/>
  <c r="U28" i="308"/>
  <c r="S28" i="308"/>
  <c r="Q28" i="308"/>
  <c r="O28" i="308"/>
  <c r="M28" i="308"/>
  <c r="K28" i="308"/>
  <c r="I28" i="308"/>
  <c r="G28" i="308"/>
  <c r="U27" i="308"/>
  <c r="S27" i="308"/>
  <c r="Q27" i="308"/>
  <c r="O27" i="308"/>
  <c r="M27" i="308"/>
  <c r="K27" i="308"/>
  <c r="I27" i="308"/>
  <c r="G27" i="308"/>
  <c r="U26" i="308"/>
  <c r="S26" i="308"/>
  <c r="Q26" i="308"/>
  <c r="O26" i="308"/>
  <c r="M26" i="308"/>
  <c r="K26" i="308"/>
  <c r="I26" i="308"/>
  <c r="G26" i="308"/>
  <c r="U25" i="308"/>
  <c r="S25" i="308"/>
  <c r="Q25" i="308"/>
  <c r="O25" i="308"/>
  <c r="M25" i="308"/>
  <c r="K25" i="308"/>
  <c r="I25" i="308"/>
  <c r="G25" i="308"/>
  <c r="N22" i="308"/>
  <c r="W22" i="308" s="1"/>
  <c r="M22" i="308"/>
  <c r="K22" i="308"/>
  <c r="I22" i="308"/>
  <c r="G22" i="308"/>
  <c r="U21" i="308"/>
  <c r="S21" i="308"/>
  <c r="Q21" i="308"/>
  <c r="O21" i="308"/>
  <c r="M21" i="308"/>
  <c r="K21" i="308"/>
  <c r="I21" i="308"/>
  <c r="G21" i="308"/>
  <c r="T18" i="308"/>
  <c r="R18" i="308"/>
  <c r="P18" i="308"/>
  <c r="N18" i="308"/>
  <c r="L18" i="308"/>
  <c r="J18" i="308"/>
  <c r="H18" i="308"/>
  <c r="F18" i="308"/>
  <c r="E18" i="308"/>
  <c r="D18" i="308"/>
  <c r="C18" i="308"/>
  <c r="B18" i="308"/>
  <c r="U17" i="308"/>
  <c r="S17" i="308"/>
  <c r="Q17" i="308"/>
  <c r="O17" i="308"/>
  <c r="M17" i="308"/>
  <c r="K17" i="308"/>
  <c r="I17" i="308"/>
  <c r="G17" i="308"/>
  <c r="U16" i="308"/>
  <c r="S16" i="308"/>
  <c r="Q16" i="308"/>
  <c r="O16" i="308"/>
  <c r="M16" i="308"/>
  <c r="K16" i="308"/>
  <c r="I16" i="308"/>
  <c r="G16" i="308"/>
  <c r="U15" i="308"/>
  <c r="S15" i="308"/>
  <c r="Q15" i="308"/>
  <c r="O15" i="308"/>
  <c r="M15" i="308"/>
  <c r="K15" i="308"/>
  <c r="I15" i="308"/>
  <c r="G15" i="308"/>
  <c r="U14" i="308"/>
  <c r="S14" i="308"/>
  <c r="Q14" i="308"/>
  <c r="O14" i="308"/>
  <c r="M14" i="308"/>
  <c r="K14" i="308"/>
  <c r="I14" i="308"/>
  <c r="G14" i="308"/>
  <c r="U13" i="308"/>
  <c r="S13" i="308"/>
  <c r="Q13" i="308"/>
  <c r="O13" i="308"/>
  <c r="M13" i="308"/>
  <c r="K13" i="308"/>
  <c r="I13" i="308"/>
  <c r="G13" i="308"/>
  <c r="U12" i="308"/>
  <c r="S12" i="308"/>
  <c r="Q12" i="308"/>
  <c r="O12" i="308"/>
  <c r="M12" i="308"/>
  <c r="K12" i="308"/>
  <c r="I12" i="308"/>
  <c r="G12" i="308"/>
  <c r="U11" i="308"/>
  <c r="S11" i="308"/>
  <c r="Q11" i="308"/>
  <c r="O11" i="308"/>
  <c r="M11" i="308"/>
  <c r="K11" i="308"/>
  <c r="I11" i="308"/>
  <c r="G11" i="308"/>
  <c r="U7" i="308"/>
  <c r="S7" i="308"/>
  <c r="Q7" i="308"/>
  <c r="O7" i="308"/>
  <c r="M7" i="308"/>
  <c r="K7" i="308"/>
  <c r="I7" i="308"/>
  <c r="G7" i="308"/>
  <c r="U6" i="308"/>
  <c r="S6" i="308"/>
  <c r="Q6" i="308"/>
  <c r="O6" i="308"/>
  <c r="M6" i="308"/>
  <c r="K6" i="308"/>
  <c r="I6" i="308"/>
  <c r="G6" i="308"/>
  <c r="L11" i="239"/>
  <c r="AF9" i="239" s="1"/>
  <c r="M9" i="239"/>
  <c r="M7" i="239"/>
  <c r="M5" i="239"/>
  <c r="M74" i="161"/>
  <c r="L74" i="161"/>
  <c r="K74" i="161"/>
  <c r="H74" i="161"/>
  <c r="G74" i="161"/>
  <c r="F74" i="161"/>
  <c r="D74" i="161"/>
  <c r="C74" i="161"/>
  <c r="B74" i="161"/>
  <c r="N74" i="160"/>
  <c r="T74" i="160" s="1"/>
  <c r="I74" i="160"/>
  <c r="J74" i="160" s="1"/>
  <c r="H75" i="160"/>
  <c r="G75" i="160"/>
  <c r="F75" i="160"/>
  <c r="D75" i="160"/>
  <c r="C75" i="160"/>
  <c r="B75" i="160"/>
  <c r="M75" i="160"/>
  <c r="L75" i="160"/>
  <c r="K75" i="160"/>
  <c r="I36" i="160"/>
  <c r="E36" i="160"/>
  <c r="N36" i="160"/>
  <c r="H101" i="160"/>
  <c r="G101" i="160"/>
  <c r="G107" i="160" s="1"/>
  <c r="F101" i="160"/>
  <c r="H95" i="160"/>
  <c r="H107" i="160" s="1"/>
  <c r="G95" i="160"/>
  <c r="F95" i="160"/>
  <c r="F107" i="160" s="1"/>
  <c r="H83" i="160"/>
  <c r="G83" i="160"/>
  <c r="F83" i="160"/>
  <c r="H61" i="160"/>
  <c r="G61" i="160"/>
  <c r="F61" i="160"/>
  <c r="H54" i="160"/>
  <c r="G54" i="160"/>
  <c r="F54" i="160"/>
  <c r="H44" i="160"/>
  <c r="G44" i="160"/>
  <c r="F44" i="160"/>
  <c r="D101" i="160"/>
  <c r="C101" i="160"/>
  <c r="B101" i="160"/>
  <c r="D95" i="160"/>
  <c r="D107" i="160" s="1"/>
  <c r="C95" i="160"/>
  <c r="B95" i="160"/>
  <c r="B107" i="160" s="1"/>
  <c r="I60" i="160"/>
  <c r="I56" i="160"/>
  <c r="I57" i="160"/>
  <c r="V6" i="274"/>
  <c r="U84" i="274"/>
  <c r="W84" i="274"/>
  <c r="S84" i="274"/>
  <c r="Q84" i="274"/>
  <c r="O84" i="274"/>
  <c r="M84" i="274"/>
  <c r="K84" i="274"/>
  <c r="I84" i="274"/>
  <c r="G84" i="274"/>
  <c r="H85" i="159"/>
  <c r="J77" i="159"/>
  <c r="H77" i="159"/>
  <c r="F77" i="159"/>
  <c r="D77" i="159"/>
  <c r="E51" i="35"/>
  <c r="E55" i="35" s="1"/>
  <c r="D51" i="35"/>
  <c r="D55" i="35" s="1"/>
  <c r="E53" i="34"/>
  <c r="D53" i="34"/>
  <c r="E64" i="36"/>
  <c r="E68" i="36" s="1"/>
  <c r="D64" i="36"/>
  <c r="D68" i="36" s="1"/>
  <c r="G12" i="259"/>
  <c r="V144" i="274"/>
  <c r="AA144" i="274" s="1"/>
  <c r="W142" i="274"/>
  <c r="W141" i="274"/>
  <c r="W140" i="274"/>
  <c r="V137" i="274"/>
  <c r="W136" i="274"/>
  <c r="W135" i="274"/>
  <c r="W134" i="274"/>
  <c r="W133" i="274"/>
  <c r="W131" i="274"/>
  <c r="W130" i="274"/>
  <c r="W129" i="274"/>
  <c r="W128" i="274"/>
  <c r="W127" i="274"/>
  <c r="W125" i="274"/>
  <c r="W124" i="274"/>
  <c r="W123" i="274"/>
  <c r="V121" i="274"/>
  <c r="W120" i="274"/>
  <c r="W119" i="274"/>
  <c r="W118" i="274"/>
  <c r="W117" i="274"/>
  <c r="W115" i="274"/>
  <c r="W114" i="274"/>
  <c r="V109" i="274"/>
  <c r="W109" i="274" s="1"/>
  <c r="W108" i="274"/>
  <c r="W107" i="274"/>
  <c r="W106" i="274"/>
  <c r="W105" i="274"/>
  <c r="W104" i="274"/>
  <c r="V102" i="274"/>
  <c r="W101" i="274"/>
  <c r="W100" i="274"/>
  <c r="W99" i="274"/>
  <c r="W98" i="274"/>
  <c r="W97" i="274"/>
  <c r="W96" i="274"/>
  <c r="W95" i="274"/>
  <c r="V93" i="274"/>
  <c r="W92" i="274"/>
  <c r="W91" i="274"/>
  <c r="W90" i="274"/>
  <c r="W83" i="274"/>
  <c r="W82" i="274"/>
  <c r="W81" i="274"/>
  <c r="W80" i="274"/>
  <c r="W79" i="274"/>
  <c r="W78" i="274"/>
  <c r="W77" i="274"/>
  <c r="W76" i="274"/>
  <c r="W75" i="274"/>
  <c r="W68" i="274"/>
  <c r="W60" i="274"/>
  <c r="V58" i="274"/>
  <c r="W57" i="274"/>
  <c r="W56" i="274"/>
  <c r="V53" i="274"/>
  <c r="V71" i="274" s="1"/>
  <c r="W52" i="274"/>
  <c r="W51" i="274"/>
  <c r="W48" i="274"/>
  <c r="W46" i="274"/>
  <c r="W45" i="274"/>
  <c r="V43" i="274"/>
  <c r="W42" i="274"/>
  <c r="W41" i="274"/>
  <c r="W40" i="274"/>
  <c r="V35" i="274"/>
  <c r="W34" i="274"/>
  <c r="W33" i="274"/>
  <c r="W32" i="274"/>
  <c r="W31" i="274"/>
  <c r="W28" i="274"/>
  <c r="W27" i="274"/>
  <c r="W26" i="274"/>
  <c r="W25" i="274"/>
  <c r="V22" i="274"/>
  <c r="W21" i="274"/>
  <c r="W20" i="274"/>
  <c r="W19" i="274"/>
  <c r="W12" i="274"/>
  <c r="W11" i="274"/>
  <c r="W10" i="274"/>
  <c r="W9" i="274"/>
  <c r="W8" i="274"/>
  <c r="W7" i="274"/>
  <c r="G24" i="27"/>
  <c r="G18" i="27"/>
  <c r="G26" i="27" s="1"/>
  <c r="E24" i="27"/>
  <c r="E18" i="27"/>
  <c r="C24" i="27"/>
  <c r="C18" i="27"/>
  <c r="I135" i="159"/>
  <c r="L135" i="159" s="1"/>
  <c r="J134" i="159"/>
  <c r="J133" i="159"/>
  <c r="J132" i="159"/>
  <c r="I128" i="159"/>
  <c r="L128" i="159" s="1"/>
  <c r="J127" i="159"/>
  <c r="J126" i="159"/>
  <c r="J125" i="159"/>
  <c r="J124" i="159"/>
  <c r="J122" i="159"/>
  <c r="J121" i="159"/>
  <c r="J120" i="159"/>
  <c r="J119" i="159"/>
  <c r="J116" i="159"/>
  <c r="J115" i="159"/>
  <c r="I113" i="159"/>
  <c r="L113" i="159" s="1"/>
  <c r="J112" i="159"/>
  <c r="J111" i="159"/>
  <c r="J110" i="159"/>
  <c r="J109" i="159"/>
  <c r="J107" i="159"/>
  <c r="J106" i="159"/>
  <c r="I101" i="159"/>
  <c r="L101" i="159" s="1"/>
  <c r="J100" i="159"/>
  <c r="J99" i="159"/>
  <c r="J98" i="159"/>
  <c r="J97" i="159"/>
  <c r="J96" i="159"/>
  <c r="J93" i="159"/>
  <c r="J92" i="159"/>
  <c r="J91" i="159"/>
  <c r="J90" i="159"/>
  <c r="J89" i="159"/>
  <c r="I94" i="159"/>
  <c r="L94" i="159" s="1"/>
  <c r="I86" i="159"/>
  <c r="L86" i="159" s="1"/>
  <c r="J85" i="159"/>
  <c r="J84" i="159"/>
  <c r="J83" i="159"/>
  <c r="J76" i="159"/>
  <c r="J75" i="159"/>
  <c r="J74" i="159"/>
  <c r="J73" i="159"/>
  <c r="J72" i="159"/>
  <c r="J65" i="159"/>
  <c r="J54" i="159"/>
  <c r="J53" i="159"/>
  <c r="I55" i="159"/>
  <c r="L55" i="159" s="1"/>
  <c r="J49" i="159"/>
  <c r="I50" i="159"/>
  <c r="J45" i="159"/>
  <c r="J43" i="159"/>
  <c r="I41" i="159"/>
  <c r="L41" i="159" s="1"/>
  <c r="J39" i="159"/>
  <c r="I34" i="159"/>
  <c r="L34" i="159" s="1"/>
  <c r="J33" i="159"/>
  <c r="J32" i="159"/>
  <c r="J31" i="159"/>
  <c r="J30" i="159"/>
  <c r="L28" i="159"/>
  <c r="J27" i="159"/>
  <c r="J25" i="159"/>
  <c r="I22" i="159"/>
  <c r="L22" i="159" s="1"/>
  <c r="J20" i="159"/>
  <c r="J19" i="159"/>
  <c r="J18" i="159"/>
  <c r="J17" i="159"/>
  <c r="J16" i="159"/>
  <c r="J15" i="159"/>
  <c r="I13" i="159"/>
  <c r="L13" i="159" s="1"/>
  <c r="J12" i="159"/>
  <c r="J11" i="159"/>
  <c r="J10" i="159"/>
  <c r="J9" i="159"/>
  <c r="J8" i="159"/>
  <c r="J7" i="159"/>
  <c r="J6" i="159"/>
  <c r="E15" i="302"/>
  <c r="D15" i="302"/>
  <c r="F13" i="302"/>
  <c r="F11" i="302"/>
  <c r="F9" i="302"/>
  <c r="F7" i="302"/>
  <c r="F5" i="302"/>
  <c r="D35" i="300"/>
  <c r="C35" i="300"/>
  <c r="B33" i="300"/>
  <c r="B31" i="300"/>
  <c r="B29" i="300"/>
  <c r="B27" i="300"/>
  <c r="B25" i="300"/>
  <c r="B23" i="300"/>
  <c r="B21" i="300"/>
  <c r="B19" i="300"/>
  <c r="B15" i="300"/>
  <c r="B13" i="300"/>
  <c r="B11" i="300"/>
  <c r="B7" i="300"/>
  <c r="F33" i="299"/>
  <c r="E33" i="299"/>
  <c r="D33" i="299"/>
  <c r="C33" i="299"/>
  <c r="B33" i="299"/>
  <c r="G31" i="299"/>
  <c r="G29" i="299"/>
  <c r="G27" i="299"/>
  <c r="G25" i="299"/>
  <c r="G23" i="299"/>
  <c r="G21" i="299"/>
  <c r="G19" i="299"/>
  <c r="G17" i="299"/>
  <c r="G15" i="299"/>
  <c r="G13" i="299"/>
  <c r="G11" i="299"/>
  <c r="G9" i="299"/>
  <c r="G7" i="299"/>
  <c r="G5" i="299"/>
  <c r="D24" i="297"/>
  <c r="D16" i="297"/>
  <c r="D15" i="297"/>
  <c r="D14" i="297"/>
  <c r="D10" i="297"/>
  <c r="C42" i="296"/>
  <c r="C34" i="296"/>
  <c r="C23" i="296"/>
  <c r="C14" i="296"/>
  <c r="P15" i="37"/>
  <c r="N15" i="37"/>
  <c r="L15" i="37"/>
  <c r="F15" i="37"/>
  <c r="J73" i="196"/>
  <c r="H73" i="196"/>
  <c r="F73" i="196"/>
  <c r="D73" i="196"/>
  <c r="I47" i="196"/>
  <c r="L47" i="196" s="1"/>
  <c r="B47" i="196"/>
  <c r="J45" i="196"/>
  <c r="H45" i="196"/>
  <c r="F45" i="196"/>
  <c r="D45" i="196"/>
  <c r="J25" i="196"/>
  <c r="J5" i="196"/>
  <c r="J6" i="196"/>
  <c r="H6" i="196"/>
  <c r="F6" i="196"/>
  <c r="D6" i="196"/>
  <c r="I126" i="196"/>
  <c r="L126" i="196" s="1"/>
  <c r="I113" i="196"/>
  <c r="L113" i="196" s="1"/>
  <c r="I10" i="196"/>
  <c r="L10" i="196" s="1"/>
  <c r="I20" i="196"/>
  <c r="L20" i="196" s="1"/>
  <c r="L27" i="196"/>
  <c r="I33" i="196"/>
  <c r="L33" i="196" s="1"/>
  <c r="I41" i="196"/>
  <c r="L41" i="196" s="1"/>
  <c r="I51" i="196"/>
  <c r="L51" i="196" s="1"/>
  <c r="I56" i="196"/>
  <c r="L56" i="196" s="1"/>
  <c r="I85" i="196"/>
  <c r="L85" i="196" s="1"/>
  <c r="I94" i="196"/>
  <c r="L94" i="196" s="1"/>
  <c r="I102" i="196"/>
  <c r="L102" i="196" s="1"/>
  <c r="G10" i="196"/>
  <c r="G20" i="196"/>
  <c r="G34" i="196" s="1"/>
  <c r="G41" i="196"/>
  <c r="G56" i="196"/>
  <c r="G51" i="196"/>
  <c r="J51" i="196" s="1"/>
  <c r="G85" i="196"/>
  <c r="J85" i="196" s="1"/>
  <c r="G102" i="196"/>
  <c r="G94" i="196"/>
  <c r="G133" i="196"/>
  <c r="J133" i="196" s="1"/>
  <c r="G126" i="196"/>
  <c r="H126" i="196" s="1"/>
  <c r="G113" i="196"/>
  <c r="J131" i="196"/>
  <c r="J130" i="196"/>
  <c r="J129" i="196"/>
  <c r="J125" i="196"/>
  <c r="J124" i="196"/>
  <c r="J123" i="196"/>
  <c r="J122" i="196"/>
  <c r="J120" i="196"/>
  <c r="J119" i="196"/>
  <c r="J118" i="196"/>
  <c r="J117" i="196"/>
  <c r="J116" i="196"/>
  <c r="J115" i="196"/>
  <c r="J112" i="196"/>
  <c r="J111" i="196"/>
  <c r="J110" i="196"/>
  <c r="J109" i="196"/>
  <c r="J108" i="196"/>
  <c r="J107" i="196"/>
  <c r="C105" i="196"/>
  <c r="E105" i="196" s="1"/>
  <c r="G105" i="196" s="1"/>
  <c r="I105" i="196" s="1"/>
  <c r="J101" i="196"/>
  <c r="J100" i="196"/>
  <c r="J99" i="196"/>
  <c r="J98" i="196"/>
  <c r="J97" i="196"/>
  <c r="J96" i="196"/>
  <c r="J93" i="196"/>
  <c r="J92" i="196"/>
  <c r="J91" i="196"/>
  <c r="J90" i="196"/>
  <c r="J89" i="196"/>
  <c r="J88" i="196"/>
  <c r="J87" i="196"/>
  <c r="J84" i="196"/>
  <c r="J79" i="196"/>
  <c r="J78" i="196"/>
  <c r="J77" i="196"/>
  <c r="J76" i="196"/>
  <c r="J72" i="196"/>
  <c r="J71" i="196"/>
  <c r="C69" i="196"/>
  <c r="E69" i="196" s="1"/>
  <c r="G69" i="196" s="1"/>
  <c r="I69" i="196" s="1"/>
  <c r="J63" i="196"/>
  <c r="J55" i="196"/>
  <c r="J54" i="196"/>
  <c r="J53" i="196"/>
  <c r="J50" i="196"/>
  <c r="J46" i="196"/>
  <c r="J44" i="196"/>
  <c r="J40" i="196"/>
  <c r="J39" i="196"/>
  <c r="J38" i="196"/>
  <c r="C36" i="196"/>
  <c r="E36" i="196" s="1"/>
  <c r="G36" i="196" s="1"/>
  <c r="I36" i="196" s="1"/>
  <c r="J32" i="196"/>
  <c r="J31" i="196"/>
  <c r="J30" i="196"/>
  <c r="J29" i="196"/>
  <c r="J26" i="196"/>
  <c r="J24" i="196"/>
  <c r="J23" i="196"/>
  <c r="J19" i="196"/>
  <c r="J18" i="196"/>
  <c r="J17" i="196"/>
  <c r="J16" i="196"/>
  <c r="J15" i="196"/>
  <c r="J14" i="196"/>
  <c r="J13" i="196"/>
  <c r="J12" i="196"/>
  <c r="J9" i="196"/>
  <c r="J8" i="196"/>
  <c r="J7" i="196"/>
  <c r="C3" i="196"/>
  <c r="E3" i="196" s="1"/>
  <c r="G3" i="196" s="1"/>
  <c r="I3" i="196" s="1"/>
  <c r="F74" i="184"/>
  <c r="G74" i="184"/>
  <c r="H74" i="184"/>
  <c r="K74" i="184"/>
  <c r="L74" i="184"/>
  <c r="M74" i="184"/>
  <c r="B74" i="184"/>
  <c r="C74" i="184"/>
  <c r="D74" i="184"/>
  <c r="I74" i="183"/>
  <c r="N74" i="183"/>
  <c r="O74" i="183" s="1"/>
  <c r="E74" i="183"/>
  <c r="J74" i="183" s="1"/>
  <c r="F37" i="184"/>
  <c r="G37" i="184"/>
  <c r="H37" i="184"/>
  <c r="K37" i="184"/>
  <c r="L37" i="184"/>
  <c r="M37" i="184"/>
  <c r="B37" i="184"/>
  <c r="C37" i="184"/>
  <c r="D37" i="184"/>
  <c r="N37" i="183"/>
  <c r="I37" i="183"/>
  <c r="E37" i="183"/>
  <c r="N18" i="183"/>
  <c r="T18" i="183" s="1"/>
  <c r="N19" i="183"/>
  <c r="N21" i="183"/>
  <c r="T21" i="183"/>
  <c r="N22" i="183"/>
  <c r="T22" i="183" s="1"/>
  <c r="I121" i="183"/>
  <c r="I120" i="183"/>
  <c r="I119" i="183"/>
  <c r="I118" i="183"/>
  <c r="I117" i="183"/>
  <c r="I116" i="183"/>
  <c r="I114" i="183"/>
  <c r="D13" i="277"/>
  <c r="F13" i="277"/>
  <c r="G13" i="277"/>
  <c r="G6" i="278"/>
  <c r="F6" i="278" s="1"/>
  <c r="G16" i="278"/>
  <c r="F16" i="278" s="1"/>
  <c r="G34" i="278"/>
  <c r="F34" i="278" s="1"/>
  <c r="G44" i="278"/>
  <c r="F44" i="278" s="1"/>
  <c r="G52" i="278"/>
  <c r="F52" i="278" s="1"/>
  <c r="Q18" i="279"/>
  <c r="D18" i="279" s="1"/>
  <c r="Q26" i="279"/>
  <c r="D26" i="279" s="1"/>
  <c r="I6" i="280"/>
  <c r="A8" i="280"/>
  <c r="A10" i="280" s="1"/>
  <c r="A12" i="280" s="1"/>
  <c r="A14" i="280" s="1"/>
  <c r="I8" i="280"/>
  <c r="O8" i="280"/>
  <c r="O10" i="280" s="1"/>
  <c r="O12" i="280" s="1"/>
  <c r="I10" i="280"/>
  <c r="I12" i="280"/>
  <c r="J12" i="280"/>
  <c r="K12" i="280"/>
  <c r="O6" i="281"/>
  <c r="P6" i="281"/>
  <c r="Q6" i="281"/>
  <c r="I8" i="281"/>
  <c r="O8" i="281" s="1"/>
  <c r="J8" i="281"/>
  <c r="P8" i="281" s="1"/>
  <c r="Q8" i="281"/>
  <c r="I10" i="281"/>
  <c r="O10" i="281" s="1"/>
  <c r="J10" i="281"/>
  <c r="P10" i="281" s="1"/>
  <c r="Q10" i="281"/>
  <c r="I12" i="281"/>
  <c r="O12" i="281" s="1"/>
  <c r="J12" i="281"/>
  <c r="P12" i="281" s="1"/>
  <c r="Q12" i="281"/>
  <c r="I14" i="281"/>
  <c r="O14" i="281" s="1"/>
  <c r="J14" i="281"/>
  <c r="P14" i="281" s="1"/>
  <c r="Q14" i="281"/>
  <c r="I16" i="281"/>
  <c r="O16" i="281" s="1"/>
  <c r="J16" i="281"/>
  <c r="P16" i="281" s="1"/>
  <c r="Q16" i="281"/>
  <c r="I18" i="281"/>
  <c r="O18" i="281" s="1"/>
  <c r="J18" i="281"/>
  <c r="P18" i="281" s="1"/>
  <c r="Q18" i="281"/>
  <c r="I20" i="281"/>
  <c r="O20" i="281" s="1"/>
  <c r="J20" i="281"/>
  <c r="P20" i="281" s="1"/>
  <c r="Q20" i="281"/>
  <c r="I22" i="281"/>
  <c r="O22" i="281" s="1"/>
  <c r="J22" i="281"/>
  <c r="P22" i="281" s="1"/>
  <c r="Q22" i="281"/>
  <c r="I24" i="281"/>
  <c r="O24" i="281" s="1"/>
  <c r="J24" i="281"/>
  <c r="P24" i="281" s="1"/>
  <c r="K24" i="281"/>
  <c r="Q24" i="281" s="1"/>
  <c r="I26" i="281"/>
  <c r="J26" i="281"/>
  <c r="P26" i="281" s="1"/>
  <c r="K26" i="281"/>
  <c r="Q26" i="281" s="1"/>
  <c r="O26" i="281"/>
  <c r="J28" i="281"/>
  <c r="P28" i="281" s="1"/>
  <c r="K28" i="281"/>
  <c r="Q28" i="281" s="1"/>
  <c r="O28" i="281"/>
  <c r="J5" i="283"/>
  <c r="K5" i="283"/>
  <c r="L5" i="283"/>
  <c r="M5" i="283"/>
  <c r="J9" i="283"/>
  <c r="K9" i="283"/>
  <c r="L9" i="283"/>
  <c r="M9" i="283"/>
  <c r="J11" i="283"/>
  <c r="K11" i="283"/>
  <c r="L11" i="283"/>
  <c r="M11" i="283"/>
  <c r="J13" i="283"/>
  <c r="K13" i="283"/>
  <c r="L13" i="283"/>
  <c r="M13" i="283"/>
  <c r="J15" i="283"/>
  <c r="K15" i="283"/>
  <c r="L15" i="283"/>
  <c r="M15" i="283"/>
  <c r="E6" i="284"/>
  <c r="F6" i="284"/>
  <c r="C6" i="284" s="1"/>
  <c r="F16" i="284"/>
  <c r="E16" i="284" s="1"/>
  <c r="F22" i="284"/>
  <c r="E22" i="284" s="1"/>
  <c r="F32" i="284"/>
  <c r="E32" i="284" s="1"/>
  <c r="E38" i="284"/>
  <c r="F38" i="284"/>
  <c r="C38" i="284"/>
  <c r="F48" i="284"/>
  <c r="E48" i="284" s="1"/>
  <c r="Q6" i="285"/>
  <c r="D6" i="285" s="1"/>
  <c r="Q15" i="285"/>
  <c r="D15" i="285" s="1"/>
  <c r="Q24" i="285"/>
  <c r="D24" i="285" s="1"/>
  <c r="D26" i="286"/>
  <c r="E26" i="286"/>
  <c r="F26" i="286"/>
  <c r="G26" i="286"/>
  <c r="H26" i="286"/>
  <c r="D39" i="286"/>
  <c r="D43" i="286" s="1"/>
  <c r="D71" i="286" s="1"/>
  <c r="E39" i="286"/>
  <c r="F39" i="286"/>
  <c r="F43" i="286" s="1"/>
  <c r="F71" i="286" s="1"/>
  <c r="G39" i="286"/>
  <c r="G43" i="286" s="1"/>
  <c r="G71" i="286" s="1"/>
  <c r="H39" i="286"/>
  <c r="H43" i="286" s="1"/>
  <c r="H71" i="286" s="1"/>
  <c r="E43" i="286"/>
  <c r="E71" i="286" s="1"/>
  <c r="B72" i="286"/>
  <c r="C72" i="286"/>
  <c r="D72" i="286"/>
  <c r="E72" i="286"/>
  <c r="F72" i="286"/>
  <c r="G72" i="286"/>
  <c r="H72" i="286"/>
  <c r="B73" i="286"/>
  <c r="C73" i="286"/>
  <c r="D73" i="286"/>
  <c r="E73" i="286"/>
  <c r="F73" i="286"/>
  <c r="G73" i="286"/>
  <c r="H73" i="286"/>
  <c r="B75" i="286"/>
  <c r="C75" i="286"/>
  <c r="D75" i="286"/>
  <c r="E75" i="286"/>
  <c r="F75" i="286"/>
  <c r="G75" i="286"/>
  <c r="H75" i="286"/>
  <c r="F12" i="276"/>
  <c r="E12" i="276"/>
  <c r="D12" i="276"/>
  <c r="C12" i="276"/>
  <c r="B12" i="276"/>
  <c r="I91" i="187"/>
  <c r="I105" i="187" s="1"/>
  <c r="I73" i="187"/>
  <c r="I79" i="187"/>
  <c r="I17" i="187"/>
  <c r="I26" i="187"/>
  <c r="I40" i="187"/>
  <c r="I44" i="187"/>
  <c r="I48" i="187"/>
  <c r="T47" i="261"/>
  <c r="U49" i="261"/>
  <c r="U46" i="261"/>
  <c r="U45" i="261"/>
  <c r="U43" i="261"/>
  <c r="U42" i="261"/>
  <c r="U41" i="261"/>
  <c r="U38" i="261"/>
  <c r="U37" i="261"/>
  <c r="U36" i="261"/>
  <c r="U35" i="261"/>
  <c r="U34" i="261"/>
  <c r="U32" i="261"/>
  <c r="U30" i="261"/>
  <c r="U29" i="261"/>
  <c r="U26" i="261"/>
  <c r="U27" i="261"/>
  <c r="U24" i="261"/>
  <c r="U23" i="261"/>
  <c r="U22" i="261"/>
  <c r="U21" i="261"/>
  <c r="U20" i="261"/>
  <c r="U18" i="261"/>
  <c r="U17" i="261"/>
  <c r="U16" i="261"/>
  <c r="U14" i="261"/>
  <c r="U13" i="261"/>
  <c r="U12" i="261"/>
  <c r="U11" i="261"/>
  <c r="U10" i="261"/>
  <c r="U9" i="261"/>
  <c r="U8" i="261"/>
  <c r="U7" i="261"/>
  <c r="U6" i="261"/>
  <c r="U5" i="261"/>
  <c r="I46" i="39"/>
  <c r="I47" i="39" s="1"/>
  <c r="I51" i="48"/>
  <c r="I55" i="48" s="1"/>
  <c r="I58" i="49"/>
  <c r="H40" i="196"/>
  <c r="F40" i="196"/>
  <c r="D40" i="196"/>
  <c r="E41" i="196"/>
  <c r="C41" i="196"/>
  <c r="B41" i="196"/>
  <c r="D41" i="196" s="1"/>
  <c r="F51" i="35"/>
  <c r="F55" i="35" s="1"/>
  <c r="S124" i="274"/>
  <c r="Q124" i="274"/>
  <c r="O124" i="274"/>
  <c r="M124" i="274"/>
  <c r="K124" i="274"/>
  <c r="I124" i="274"/>
  <c r="G124" i="274"/>
  <c r="U124" i="274"/>
  <c r="S83" i="274"/>
  <c r="U83" i="274"/>
  <c r="S82" i="274"/>
  <c r="U82" i="274"/>
  <c r="Q83" i="274"/>
  <c r="Q82" i="274"/>
  <c r="O83" i="274"/>
  <c r="O82" i="274"/>
  <c r="M83" i="274"/>
  <c r="M82" i="274"/>
  <c r="K83" i="274"/>
  <c r="K82" i="274"/>
  <c r="I83" i="274"/>
  <c r="I82" i="274"/>
  <c r="G83" i="274"/>
  <c r="G82" i="274"/>
  <c r="H116" i="159"/>
  <c r="F116" i="159"/>
  <c r="D116" i="159"/>
  <c r="T144" i="274"/>
  <c r="T137" i="274"/>
  <c r="T121" i="274"/>
  <c r="T35" i="274"/>
  <c r="T13" i="274"/>
  <c r="T22" i="274"/>
  <c r="T43" i="274"/>
  <c r="T53" i="274"/>
  <c r="T58" i="274"/>
  <c r="T71" i="274" s="1"/>
  <c r="T93" i="274"/>
  <c r="T102" i="274"/>
  <c r="T109" i="274"/>
  <c r="T110" i="274" s="1"/>
  <c r="L137" i="274"/>
  <c r="N93" i="274"/>
  <c r="N137" i="274"/>
  <c r="P93" i="274"/>
  <c r="P137" i="274"/>
  <c r="R93" i="274"/>
  <c r="R137" i="274"/>
  <c r="U142" i="274"/>
  <c r="U141" i="274"/>
  <c r="U140" i="274"/>
  <c r="U136" i="274"/>
  <c r="U135" i="274"/>
  <c r="U134" i="274"/>
  <c r="U133" i="274"/>
  <c r="U131" i="274"/>
  <c r="U130" i="274"/>
  <c r="U129" i="274"/>
  <c r="U128" i="274"/>
  <c r="U127" i="274"/>
  <c r="U125" i="274"/>
  <c r="U123" i="274"/>
  <c r="U120" i="274"/>
  <c r="U119" i="274"/>
  <c r="U118" i="274"/>
  <c r="U117" i="274"/>
  <c r="U115" i="274"/>
  <c r="U114" i="274"/>
  <c r="U108" i="274"/>
  <c r="U107" i="274"/>
  <c r="U106" i="274"/>
  <c r="U105" i="274"/>
  <c r="U104" i="274"/>
  <c r="U101" i="274"/>
  <c r="U100" i="274"/>
  <c r="U99" i="274"/>
  <c r="U98" i="274"/>
  <c r="U97" i="274"/>
  <c r="U96" i="274"/>
  <c r="U95" i="274"/>
  <c r="U91" i="274"/>
  <c r="U90" i="274"/>
  <c r="U81" i="274"/>
  <c r="U79" i="274"/>
  <c r="U77" i="274"/>
  <c r="U76" i="274"/>
  <c r="U75" i="274"/>
  <c r="U68" i="274"/>
  <c r="U60" i="274"/>
  <c r="U57" i="274"/>
  <c r="U56" i="274"/>
  <c r="U52" i="274"/>
  <c r="U51" i="274"/>
  <c r="U48" i="274"/>
  <c r="U46" i="274"/>
  <c r="U42" i="274"/>
  <c r="U41" i="274"/>
  <c r="U40" i="274"/>
  <c r="U34" i="274"/>
  <c r="U33" i="274"/>
  <c r="U32" i="274"/>
  <c r="U31" i="274"/>
  <c r="U28" i="274"/>
  <c r="U27" i="274"/>
  <c r="U26" i="274"/>
  <c r="U25" i="274"/>
  <c r="U21" i="274"/>
  <c r="U20" i="274"/>
  <c r="U19" i="274"/>
  <c r="U12" i="274"/>
  <c r="U11" i="274"/>
  <c r="U10" i="274"/>
  <c r="U9" i="274"/>
  <c r="U8" i="274"/>
  <c r="U7" i="274"/>
  <c r="K28" i="29"/>
  <c r="I28" i="29"/>
  <c r="G28" i="29"/>
  <c r="E28" i="29"/>
  <c r="K6" i="29"/>
  <c r="K7" i="29"/>
  <c r="K8" i="29"/>
  <c r="K9" i="29"/>
  <c r="K10" i="29"/>
  <c r="K11" i="29"/>
  <c r="K12" i="29"/>
  <c r="K13" i="29"/>
  <c r="K14" i="29"/>
  <c r="K16" i="29"/>
  <c r="K17" i="29"/>
  <c r="K18" i="29"/>
  <c r="K19" i="29"/>
  <c r="K20" i="29"/>
  <c r="K21" i="29"/>
  <c r="K22" i="29"/>
  <c r="K23" i="29"/>
  <c r="K24" i="29"/>
  <c r="K27" i="29"/>
  <c r="K29" i="29"/>
  <c r="K31" i="29"/>
  <c r="K32" i="29"/>
  <c r="K33" i="29"/>
  <c r="K34" i="29"/>
  <c r="K36" i="29"/>
  <c r="K38" i="29"/>
  <c r="K39" i="29"/>
  <c r="K40" i="29"/>
  <c r="K41" i="29"/>
  <c r="K42" i="29"/>
  <c r="K44" i="29"/>
  <c r="K45" i="29"/>
  <c r="K46" i="29"/>
  <c r="K47" i="29"/>
  <c r="K50" i="29"/>
  <c r="K51" i="29"/>
  <c r="K54" i="29"/>
  <c r="F8" i="159"/>
  <c r="F7" i="159"/>
  <c r="D8" i="159"/>
  <c r="D7" i="159"/>
  <c r="H8" i="159"/>
  <c r="H7" i="159"/>
  <c r="H74" i="159"/>
  <c r="F74" i="159"/>
  <c r="D74" i="159"/>
  <c r="R144" i="274"/>
  <c r="R121" i="274"/>
  <c r="R138" i="274" s="1"/>
  <c r="R109" i="274"/>
  <c r="R102" i="274"/>
  <c r="U102" i="274" s="1"/>
  <c r="R58" i="274"/>
  <c r="R53" i="274"/>
  <c r="U53" i="274" s="1"/>
  <c r="R43" i="274"/>
  <c r="R35" i="274"/>
  <c r="R22" i="274"/>
  <c r="R6" i="274"/>
  <c r="R13" i="274" s="1"/>
  <c r="P144" i="274"/>
  <c r="P121" i="274"/>
  <c r="P109" i="274"/>
  <c r="P102" i="274"/>
  <c r="P58" i="274"/>
  <c r="P53" i="274"/>
  <c r="Q53" i="274" s="1"/>
  <c r="P43" i="274"/>
  <c r="P35" i="274"/>
  <c r="P22" i="274"/>
  <c r="P13" i="274"/>
  <c r="N143" i="274"/>
  <c r="W143" i="274" s="1"/>
  <c r="N121" i="274"/>
  <c r="N109" i="274"/>
  <c r="N102" i="274"/>
  <c r="N55" i="274"/>
  <c r="W55" i="274" s="1"/>
  <c r="U55" i="274"/>
  <c r="N53" i="274"/>
  <c r="N43" i="274"/>
  <c r="N35" i="274"/>
  <c r="N15" i="274"/>
  <c r="U15" i="274" s="1"/>
  <c r="N16" i="274"/>
  <c r="N17" i="274"/>
  <c r="U17" i="274" s="1"/>
  <c r="N18" i="274"/>
  <c r="N6" i="274"/>
  <c r="N13" i="274" s="1"/>
  <c r="L143" i="274"/>
  <c r="L144" i="274" s="1"/>
  <c r="L121" i="274"/>
  <c r="L109" i="274"/>
  <c r="L102" i="274"/>
  <c r="L78" i="274"/>
  <c r="L80" i="274"/>
  <c r="O80" i="274" s="1"/>
  <c r="L92" i="274"/>
  <c r="L58" i="274"/>
  <c r="L71" i="274" s="1"/>
  <c r="L53" i="274"/>
  <c r="L45" i="274"/>
  <c r="L49" i="274" s="1"/>
  <c r="S49" i="274" s="1"/>
  <c r="L43" i="274"/>
  <c r="L35" i="274"/>
  <c r="L18" i="274"/>
  <c r="L13" i="274"/>
  <c r="J143" i="274"/>
  <c r="J144" i="274" s="1"/>
  <c r="M144" i="274" s="1"/>
  <c r="J128" i="274"/>
  <c r="M128" i="274" s="1"/>
  <c r="J118" i="274"/>
  <c r="J109" i="274"/>
  <c r="J102" i="274"/>
  <c r="J78" i="274"/>
  <c r="J58" i="274"/>
  <c r="J53" i="274"/>
  <c r="J45" i="274"/>
  <c r="J49" i="274" s="1"/>
  <c r="J40" i="274"/>
  <c r="J35" i="274"/>
  <c r="J18" i="274"/>
  <c r="J22" i="274" s="1"/>
  <c r="J13" i="274"/>
  <c r="J52" i="159"/>
  <c r="G41" i="159"/>
  <c r="J131" i="159"/>
  <c r="J26" i="159"/>
  <c r="J28" i="159"/>
  <c r="G128" i="159"/>
  <c r="G129" i="159" s="1"/>
  <c r="G113" i="159"/>
  <c r="G13" i="159"/>
  <c r="J13" i="159" s="1"/>
  <c r="G22" i="159"/>
  <c r="G50" i="159"/>
  <c r="J50" i="159" s="1"/>
  <c r="G55" i="159"/>
  <c r="G86" i="159"/>
  <c r="H86" i="159" s="1"/>
  <c r="G94" i="159"/>
  <c r="G101" i="159"/>
  <c r="J101" i="159" s="1"/>
  <c r="E86" i="159"/>
  <c r="E13" i="159"/>
  <c r="H13" i="159" s="1"/>
  <c r="E128" i="159"/>
  <c r="H134" i="159"/>
  <c r="H133" i="159"/>
  <c r="H132" i="159"/>
  <c r="H127" i="159"/>
  <c r="H126" i="159"/>
  <c r="H125" i="159"/>
  <c r="H124" i="159"/>
  <c r="H122" i="159"/>
  <c r="H121" i="159"/>
  <c r="H120" i="159"/>
  <c r="H119" i="159"/>
  <c r="H117" i="159"/>
  <c r="H115" i="159"/>
  <c r="H112" i="159"/>
  <c r="H111" i="159"/>
  <c r="H110" i="159"/>
  <c r="H109" i="159"/>
  <c r="H107" i="159"/>
  <c r="H106" i="159"/>
  <c r="H100" i="159"/>
  <c r="H99" i="159"/>
  <c r="H98" i="159"/>
  <c r="H97" i="159"/>
  <c r="H93" i="159"/>
  <c r="H92" i="159"/>
  <c r="H91" i="159"/>
  <c r="H90" i="159"/>
  <c r="H89" i="159"/>
  <c r="H88" i="159"/>
  <c r="H84" i="159"/>
  <c r="H83" i="159"/>
  <c r="H76" i="159"/>
  <c r="H75" i="159"/>
  <c r="H73" i="159"/>
  <c r="H72" i="159"/>
  <c r="H65" i="159"/>
  <c r="H54" i="159"/>
  <c r="H53" i="159"/>
  <c r="H52" i="159"/>
  <c r="H49" i="159"/>
  <c r="H45" i="159"/>
  <c r="H39" i="159"/>
  <c r="H33" i="159"/>
  <c r="H32" i="159"/>
  <c r="H31" i="159"/>
  <c r="H30" i="159"/>
  <c r="H27" i="159"/>
  <c r="H26" i="159"/>
  <c r="H25" i="159"/>
  <c r="H20" i="159"/>
  <c r="H19" i="159"/>
  <c r="H18" i="159"/>
  <c r="H17" i="159"/>
  <c r="H16" i="159"/>
  <c r="H15" i="159"/>
  <c r="H12" i="159"/>
  <c r="H11" i="159"/>
  <c r="H10" i="159"/>
  <c r="H9" i="159"/>
  <c r="H6" i="159"/>
  <c r="G11" i="259"/>
  <c r="H11" i="239"/>
  <c r="AF7" i="239" s="1"/>
  <c r="F11" i="239"/>
  <c r="AF6" i="239" s="1"/>
  <c r="D11" i="239"/>
  <c r="C11" i="239"/>
  <c r="AF4" i="239" s="1"/>
  <c r="K70" i="161"/>
  <c r="L70" i="161"/>
  <c r="M70" i="161"/>
  <c r="K71" i="161"/>
  <c r="L71" i="161"/>
  <c r="M71" i="161"/>
  <c r="K72" i="161"/>
  <c r="L72" i="161"/>
  <c r="M72" i="161"/>
  <c r="K73" i="161"/>
  <c r="L73" i="161"/>
  <c r="M73" i="161"/>
  <c r="F70" i="161"/>
  <c r="G70" i="161"/>
  <c r="H70" i="161"/>
  <c r="F71" i="161"/>
  <c r="G71" i="161"/>
  <c r="H71" i="161"/>
  <c r="F72" i="161"/>
  <c r="G72" i="161"/>
  <c r="H72" i="161"/>
  <c r="F73" i="161"/>
  <c r="G73" i="161"/>
  <c r="H73" i="161"/>
  <c r="B70" i="161"/>
  <c r="C70" i="161"/>
  <c r="D70" i="161"/>
  <c r="B71" i="161"/>
  <c r="C71" i="161"/>
  <c r="D71" i="161"/>
  <c r="B72" i="161"/>
  <c r="C72" i="161"/>
  <c r="D72" i="161"/>
  <c r="B73" i="161"/>
  <c r="C73" i="161"/>
  <c r="D73" i="161"/>
  <c r="K95" i="160"/>
  <c r="K101" i="160"/>
  <c r="K54" i="160"/>
  <c r="K61" i="160"/>
  <c r="K83" i="160"/>
  <c r="K44" i="160"/>
  <c r="K22" i="160"/>
  <c r="K23" i="160" s="1"/>
  <c r="K15" i="160"/>
  <c r="L95" i="160"/>
  <c r="L107" i="160" s="1"/>
  <c r="L101" i="160"/>
  <c r="L54" i="160"/>
  <c r="L61" i="160"/>
  <c r="L83" i="160"/>
  <c r="L44" i="160"/>
  <c r="L22" i="160"/>
  <c r="L23" i="160" s="1"/>
  <c r="L15" i="160"/>
  <c r="N70" i="160"/>
  <c r="N75" i="160" s="1"/>
  <c r="I70" i="160"/>
  <c r="N71" i="160"/>
  <c r="T71" i="160" s="1"/>
  <c r="N72" i="160"/>
  <c r="T72" i="160" s="1"/>
  <c r="N73" i="160"/>
  <c r="T73" i="160" s="1"/>
  <c r="I71" i="160"/>
  <c r="I72" i="160"/>
  <c r="O72" i="160" s="1"/>
  <c r="I73" i="160"/>
  <c r="F53" i="34"/>
  <c r="S97" i="274"/>
  <c r="Q97" i="274"/>
  <c r="O97" i="274"/>
  <c r="M97" i="274"/>
  <c r="K97" i="274"/>
  <c r="I97" i="274"/>
  <c r="G97" i="274"/>
  <c r="S79" i="274"/>
  <c r="Q79" i="274"/>
  <c r="O79" i="274"/>
  <c r="M79" i="274"/>
  <c r="K79" i="274"/>
  <c r="I79" i="274"/>
  <c r="G79" i="274"/>
  <c r="H45" i="274"/>
  <c r="F45" i="274"/>
  <c r="H48" i="274"/>
  <c r="M48" i="274" s="1"/>
  <c r="S46" i="274"/>
  <c r="Q46" i="274"/>
  <c r="O46" i="274"/>
  <c r="M46" i="274"/>
  <c r="K46" i="274"/>
  <c r="I46" i="274"/>
  <c r="G46" i="274"/>
  <c r="H6" i="274"/>
  <c r="H13" i="274" s="1"/>
  <c r="S7" i="274"/>
  <c r="Q7" i="274"/>
  <c r="O7" i="274"/>
  <c r="M7" i="274"/>
  <c r="K7" i="274"/>
  <c r="I7" i="274"/>
  <c r="G7" i="274"/>
  <c r="H4" i="274"/>
  <c r="J4" i="274" s="1"/>
  <c r="L4" i="274" s="1"/>
  <c r="N4" i="274" s="1"/>
  <c r="P4" i="274" s="1"/>
  <c r="R4" i="274" s="1"/>
  <c r="T4" i="274" s="1"/>
  <c r="V4" i="274" s="1"/>
  <c r="X4" i="274" s="1"/>
  <c r="Z4" i="274" s="1"/>
  <c r="AB4" i="274" s="1"/>
  <c r="AD4" i="274" s="1"/>
  <c r="G6" i="274"/>
  <c r="O6" i="274"/>
  <c r="G8" i="274"/>
  <c r="I8" i="274"/>
  <c r="K8" i="274"/>
  <c r="M8" i="274"/>
  <c r="O8" i="274"/>
  <c r="Q8" i="274"/>
  <c r="S8" i="274"/>
  <c r="G9" i="274"/>
  <c r="I9" i="274"/>
  <c r="K9" i="274"/>
  <c r="M9" i="274"/>
  <c r="O9" i="274"/>
  <c r="Q9" i="274"/>
  <c r="S9" i="274"/>
  <c r="G10" i="274"/>
  <c r="I10" i="274"/>
  <c r="K10" i="274"/>
  <c r="M10" i="274"/>
  <c r="O10" i="274"/>
  <c r="Q10" i="274"/>
  <c r="S10" i="274"/>
  <c r="G11" i="274"/>
  <c r="I11" i="274"/>
  <c r="K11" i="274"/>
  <c r="M11" i="274"/>
  <c r="O11" i="274"/>
  <c r="Q11" i="274"/>
  <c r="S11" i="274"/>
  <c r="G12" i="274"/>
  <c r="I12" i="274"/>
  <c r="K12" i="274"/>
  <c r="M12" i="274"/>
  <c r="O12" i="274"/>
  <c r="Q12" i="274"/>
  <c r="S12" i="274"/>
  <c r="B13" i="274"/>
  <c r="B36" i="274" s="1"/>
  <c r="C13" i="274"/>
  <c r="D13" i="274"/>
  <c r="E13" i="274"/>
  <c r="F13" i="274"/>
  <c r="G15" i="274"/>
  <c r="I15" i="274"/>
  <c r="K15" i="274"/>
  <c r="M15" i="274"/>
  <c r="Q15" i="274"/>
  <c r="G16" i="274"/>
  <c r="I16" i="274"/>
  <c r="K16" i="274"/>
  <c r="M16" i="274"/>
  <c r="O16" i="274"/>
  <c r="G17" i="274"/>
  <c r="I17" i="274"/>
  <c r="K17" i="274"/>
  <c r="M17" i="274"/>
  <c r="Q17" i="274"/>
  <c r="G18" i="274"/>
  <c r="I18" i="274"/>
  <c r="S18" i="274"/>
  <c r="Q19" i="274"/>
  <c r="S19" i="274"/>
  <c r="G20" i="274"/>
  <c r="I20" i="274"/>
  <c r="K20" i="274"/>
  <c r="M20" i="274"/>
  <c r="O20" i="274"/>
  <c r="Q20" i="274"/>
  <c r="S20" i="274"/>
  <c r="G21" i="274"/>
  <c r="I21" i="274"/>
  <c r="K21" i="274"/>
  <c r="M21" i="274"/>
  <c r="O21" i="274"/>
  <c r="Q21" i="274"/>
  <c r="S21" i="274"/>
  <c r="B22" i="274"/>
  <c r="C22" i="274"/>
  <c r="D22" i="274"/>
  <c r="E22" i="274"/>
  <c r="I22" i="274" s="1"/>
  <c r="F22" i="274"/>
  <c r="H22" i="274"/>
  <c r="G25" i="274"/>
  <c r="H25" i="274"/>
  <c r="H29" i="274" s="1"/>
  <c r="I29" i="274" s="1"/>
  <c r="S25" i="274"/>
  <c r="G26" i="274"/>
  <c r="I26" i="274"/>
  <c r="K26" i="274"/>
  <c r="M26" i="274"/>
  <c r="O26" i="274"/>
  <c r="Q26" i="274"/>
  <c r="S26" i="274"/>
  <c r="G27" i="274"/>
  <c r="I27" i="274"/>
  <c r="K27" i="274"/>
  <c r="M27" i="274"/>
  <c r="O27" i="274"/>
  <c r="Q27" i="274"/>
  <c r="S27" i="274"/>
  <c r="G28" i="274"/>
  <c r="I28" i="274"/>
  <c r="K28" i="274"/>
  <c r="M28" i="274"/>
  <c r="O28" i="274"/>
  <c r="Q28" i="274"/>
  <c r="S28" i="274"/>
  <c r="G29" i="274"/>
  <c r="H36" i="274"/>
  <c r="G31" i="274"/>
  <c r="I31" i="274"/>
  <c r="K31" i="274"/>
  <c r="M31" i="274"/>
  <c r="O31" i="274"/>
  <c r="Q31" i="274"/>
  <c r="S31" i="274"/>
  <c r="G32" i="274"/>
  <c r="I32" i="274"/>
  <c r="K32" i="274"/>
  <c r="M32" i="274"/>
  <c r="O32" i="274"/>
  <c r="Q32" i="274"/>
  <c r="S32" i="274"/>
  <c r="G33" i="274"/>
  <c r="I33" i="274"/>
  <c r="K33" i="274"/>
  <c r="M33" i="274"/>
  <c r="O33" i="274"/>
  <c r="Q33" i="274"/>
  <c r="S33" i="274"/>
  <c r="G34" i="274"/>
  <c r="I34" i="274"/>
  <c r="K34" i="274"/>
  <c r="M34" i="274"/>
  <c r="O34" i="274"/>
  <c r="Q34" i="274"/>
  <c r="S34" i="274"/>
  <c r="B35" i="274"/>
  <c r="C35" i="274"/>
  <c r="G35" i="274" s="1"/>
  <c r="D35" i="274"/>
  <c r="E35" i="274"/>
  <c r="E36" i="274" s="1"/>
  <c r="F35" i="274"/>
  <c r="H35" i="274"/>
  <c r="H38" i="274"/>
  <c r="J38" i="274"/>
  <c r="L38" i="274" s="1"/>
  <c r="N38" i="274" s="1"/>
  <c r="P38" i="274" s="1"/>
  <c r="R38" i="274" s="1"/>
  <c r="T38" i="274" s="1"/>
  <c r="V38" i="274" s="1"/>
  <c r="X38" i="274" s="1"/>
  <c r="Z38" i="274" s="1"/>
  <c r="AB38" i="274" s="1"/>
  <c r="AD38" i="274" s="1"/>
  <c r="AF38" i="274" s="1"/>
  <c r="AH38" i="274" s="1"/>
  <c r="G40" i="274"/>
  <c r="I40" i="274"/>
  <c r="M40" i="274"/>
  <c r="G41" i="274"/>
  <c r="H41" i="274"/>
  <c r="I41" i="274" s="1"/>
  <c r="S41" i="274"/>
  <c r="G42" i="274"/>
  <c r="I42" i="274"/>
  <c r="K42" i="274"/>
  <c r="M42" i="274"/>
  <c r="O42" i="274"/>
  <c r="Q42" i="274"/>
  <c r="S42" i="274"/>
  <c r="B43" i="274"/>
  <c r="G43" i="274" s="1"/>
  <c r="C43" i="274"/>
  <c r="D43" i="274"/>
  <c r="E43" i="274"/>
  <c r="F43" i="274"/>
  <c r="H43" i="274"/>
  <c r="S45" i="274"/>
  <c r="G48" i="274"/>
  <c r="I48" i="274"/>
  <c r="Q48" i="274"/>
  <c r="S48" i="274"/>
  <c r="G51" i="274"/>
  <c r="I51" i="274"/>
  <c r="K51" i="274"/>
  <c r="M51" i="274"/>
  <c r="O51" i="274"/>
  <c r="Q51" i="274"/>
  <c r="S51" i="274"/>
  <c r="G52" i="274"/>
  <c r="I52" i="274"/>
  <c r="K52" i="274"/>
  <c r="M52" i="274"/>
  <c r="O52" i="274"/>
  <c r="Q52" i="274"/>
  <c r="S52" i="274"/>
  <c r="B53" i="274"/>
  <c r="C53" i="274"/>
  <c r="D53" i="274"/>
  <c r="E53" i="274"/>
  <c r="F53" i="274"/>
  <c r="H53" i="274"/>
  <c r="G55" i="274"/>
  <c r="I55" i="274"/>
  <c r="K55" i="274"/>
  <c r="M55" i="274"/>
  <c r="O55" i="274"/>
  <c r="Q55" i="274"/>
  <c r="S55" i="274"/>
  <c r="G56" i="274"/>
  <c r="I56" i="274"/>
  <c r="K56" i="274"/>
  <c r="M56" i="274"/>
  <c r="O56" i="274"/>
  <c r="Q56" i="274"/>
  <c r="S56" i="274"/>
  <c r="G57" i="274"/>
  <c r="H57" i="274"/>
  <c r="S57" i="274"/>
  <c r="B58" i="274"/>
  <c r="C58" i="274"/>
  <c r="D58" i="274"/>
  <c r="E58" i="274"/>
  <c r="F58" i="274"/>
  <c r="G60" i="274"/>
  <c r="I60" i="274"/>
  <c r="K60" i="274"/>
  <c r="M60" i="274"/>
  <c r="O60" i="274"/>
  <c r="Q60" i="274"/>
  <c r="S60" i="274"/>
  <c r="O68" i="274"/>
  <c r="Q68" i="274"/>
  <c r="S68" i="274"/>
  <c r="S70" i="274"/>
  <c r="H73" i="274"/>
  <c r="J73" i="274" s="1"/>
  <c r="L73" i="274" s="1"/>
  <c r="N73" i="274" s="1"/>
  <c r="P73" i="274" s="1"/>
  <c r="R73" i="274" s="1"/>
  <c r="T73" i="274" s="1"/>
  <c r="V73" i="274" s="1"/>
  <c r="X73" i="274" s="1"/>
  <c r="Z73" i="274" s="1"/>
  <c r="AB73" i="274" s="1"/>
  <c r="AD73" i="274" s="1"/>
  <c r="AF73" i="274" s="1"/>
  <c r="AH73" i="274" s="1"/>
  <c r="G75" i="274"/>
  <c r="I75" i="274"/>
  <c r="K75" i="274"/>
  <c r="M75" i="274"/>
  <c r="O75" i="274"/>
  <c r="Q75" i="274"/>
  <c r="S75" i="274"/>
  <c r="G76" i="274"/>
  <c r="I76" i="274"/>
  <c r="K76" i="274"/>
  <c r="M76" i="274"/>
  <c r="O76" i="274"/>
  <c r="Q76" i="274"/>
  <c r="S76" i="274"/>
  <c r="G77" i="274"/>
  <c r="I77" i="274"/>
  <c r="K77" i="274"/>
  <c r="M77" i="274"/>
  <c r="O77" i="274"/>
  <c r="Q77" i="274"/>
  <c r="S77" i="274"/>
  <c r="G78" i="274"/>
  <c r="H78" i="274"/>
  <c r="I78" i="274" s="1"/>
  <c r="G80" i="274"/>
  <c r="I80" i="274"/>
  <c r="K80" i="274"/>
  <c r="M80" i="274"/>
  <c r="Q80" i="274"/>
  <c r="G81" i="274"/>
  <c r="I81" i="274"/>
  <c r="K81" i="274"/>
  <c r="M81" i="274"/>
  <c r="O81" i="274"/>
  <c r="Q81" i="274"/>
  <c r="S81" i="274"/>
  <c r="G90" i="274"/>
  <c r="I90" i="274"/>
  <c r="K90" i="274"/>
  <c r="M90" i="274"/>
  <c r="O90" i="274"/>
  <c r="Q90" i="274"/>
  <c r="S90" i="274"/>
  <c r="G91" i="274"/>
  <c r="I91" i="274"/>
  <c r="K91" i="274"/>
  <c r="M91" i="274"/>
  <c r="O91" i="274"/>
  <c r="Q91" i="274"/>
  <c r="S91" i="274"/>
  <c r="G92" i="274"/>
  <c r="H92" i="274"/>
  <c r="B93" i="274"/>
  <c r="C93" i="274"/>
  <c r="D93" i="274"/>
  <c r="E93" i="274"/>
  <c r="F93" i="274"/>
  <c r="G95" i="274"/>
  <c r="I95" i="274"/>
  <c r="K95" i="274"/>
  <c r="M95" i="274"/>
  <c r="O95" i="274"/>
  <c r="Q95" i="274"/>
  <c r="S95" i="274"/>
  <c r="F96" i="274"/>
  <c r="Q96" i="274"/>
  <c r="S96" i="274"/>
  <c r="F98" i="274"/>
  <c r="M98" i="274" s="1"/>
  <c r="Q98" i="274"/>
  <c r="S98" i="274"/>
  <c r="G99" i="274"/>
  <c r="I99" i="274"/>
  <c r="K99" i="274"/>
  <c r="M99" i="274"/>
  <c r="O99" i="274"/>
  <c r="Q99" i="274"/>
  <c r="S99" i="274"/>
  <c r="G100" i="274"/>
  <c r="I100" i="274"/>
  <c r="K100" i="274"/>
  <c r="M100" i="274"/>
  <c r="O100" i="274"/>
  <c r="Q100" i="274"/>
  <c r="S100" i="274"/>
  <c r="G101" i="274"/>
  <c r="I101" i="274"/>
  <c r="K101" i="274"/>
  <c r="M101" i="274"/>
  <c r="O101" i="274"/>
  <c r="Q101" i="274"/>
  <c r="S101" i="274"/>
  <c r="B102" i="274"/>
  <c r="C102" i="274"/>
  <c r="D102" i="274"/>
  <c r="E102" i="274"/>
  <c r="H102" i="274"/>
  <c r="G104" i="274"/>
  <c r="H104" i="274"/>
  <c r="I104" i="274" s="1"/>
  <c r="S104" i="274"/>
  <c r="G105" i="274"/>
  <c r="I105" i="274"/>
  <c r="K105" i="274"/>
  <c r="M105" i="274"/>
  <c r="O105" i="274"/>
  <c r="Q105" i="274"/>
  <c r="S105" i="274"/>
  <c r="G106" i="274"/>
  <c r="I106" i="274"/>
  <c r="K106" i="274"/>
  <c r="M106" i="274"/>
  <c r="O106" i="274"/>
  <c r="Q106" i="274"/>
  <c r="S106" i="274"/>
  <c r="G107" i="274"/>
  <c r="I107" i="274"/>
  <c r="K107" i="274"/>
  <c r="M107" i="274"/>
  <c r="O107" i="274"/>
  <c r="Q107" i="274"/>
  <c r="S107" i="274"/>
  <c r="G108" i="274"/>
  <c r="I108" i="274"/>
  <c r="K108" i="274"/>
  <c r="M108" i="274"/>
  <c r="O108" i="274"/>
  <c r="Q108" i="274"/>
  <c r="S108" i="274"/>
  <c r="B109" i="274"/>
  <c r="C109" i="274"/>
  <c r="D109" i="274"/>
  <c r="E109" i="274"/>
  <c r="M109" i="274" s="1"/>
  <c r="F109" i="274"/>
  <c r="H112" i="274"/>
  <c r="J112" i="274" s="1"/>
  <c r="L112" i="274" s="1"/>
  <c r="N112" i="274" s="1"/>
  <c r="P112" i="274" s="1"/>
  <c r="R112" i="274" s="1"/>
  <c r="T112" i="274" s="1"/>
  <c r="V112" i="274" s="1"/>
  <c r="X112" i="274" s="1"/>
  <c r="Z112" i="274" s="1"/>
  <c r="AB112" i="274" s="1"/>
  <c r="AD112" i="274" s="1"/>
  <c r="AF112" i="274" s="1"/>
  <c r="AH112" i="274" s="1"/>
  <c r="G114" i="274"/>
  <c r="I114" i="274"/>
  <c r="K114" i="274"/>
  <c r="M114" i="274"/>
  <c r="O114" i="274"/>
  <c r="Q114" i="274"/>
  <c r="S114" i="274"/>
  <c r="G115" i="274"/>
  <c r="I115" i="274"/>
  <c r="K115" i="274"/>
  <c r="M115" i="274"/>
  <c r="O115" i="274"/>
  <c r="Q115" i="274"/>
  <c r="S115" i="274"/>
  <c r="G117" i="274"/>
  <c r="I117" i="274"/>
  <c r="K117" i="274"/>
  <c r="M117" i="274"/>
  <c r="O117" i="274"/>
  <c r="Q117" i="274"/>
  <c r="S117" i="274"/>
  <c r="G118" i="274"/>
  <c r="I118" i="274"/>
  <c r="M118" i="274"/>
  <c r="G119" i="274"/>
  <c r="I119" i="274"/>
  <c r="K119" i="274"/>
  <c r="M119" i="274"/>
  <c r="O119" i="274"/>
  <c r="Q119" i="274"/>
  <c r="S119" i="274"/>
  <c r="G120" i="274"/>
  <c r="I120" i="274"/>
  <c r="K120" i="274"/>
  <c r="M120" i="274"/>
  <c r="O120" i="274"/>
  <c r="Q120" i="274"/>
  <c r="S120" i="274"/>
  <c r="B121" i="274"/>
  <c r="C121" i="274"/>
  <c r="D121" i="274"/>
  <c r="E121" i="274"/>
  <c r="F121" i="274"/>
  <c r="H121" i="274"/>
  <c r="G123" i="274"/>
  <c r="I123" i="274"/>
  <c r="K123" i="274"/>
  <c r="M123" i="274"/>
  <c r="O123" i="274"/>
  <c r="Q123" i="274"/>
  <c r="S123" i="274"/>
  <c r="G125" i="274"/>
  <c r="H125" i="274"/>
  <c r="O125" i="274" s="1"/>
  <c r="S125" i="274"/>
  <c r="G127" i="274"/>
  <c r="I127" i="274"/>
  <c r="K127" i="274"/>
  <c r="M127" i="274"/>
  <c r="O127" i="274"/>
  <c r="Q127" i="274"/>
  <c r="S127" i="274"/>
  <c r="G128" i="274"/>
  <c r="I128" i="274"/>
  <c r="G129" i="274"/>
  <c r="I129" i="274"/>
  <c r="K129" i="274"/>
  <c r="M129" i="274"/>
  <c r="O129" i="274"/>
  <c r="Q129" i="274"/>
  <c r="S129" i="274"/>
  <c r="G130" i="274"/>
  <c r="I130" i="274"/>
  <c r="K130" i="274"/>
  <c r="M130" i="274"/>
  <c r="O130" i="274"/>
  <c r="Q130" i="274"/>
  <c r="S130" i="274"/>
  <c r="G131" i="274"/>
  <c r="I131" i="274"/>
  <c r="K131" i="274"/>
  <c r="M131" i="274"/>
  <c r="O131" i="274"/>
  <c r="Q131" i="274"/>
  <c r="S131" i="274"/>
  <c r="G133" i="274"/>
  <c r="I133" i="274"/>
  <c r="K133" i="274"/>
  <c r="M133" i="274"/>
  <c r="O133" i="274"/>
  <c r="Q133" i="274"/>
  <c r="S133" i="274"/>
  <c r="G134" i="274"/>
  <c r="I134" i="274"/>
  <c r="K134" i="274"/>
  <c r="M134" i="274"/>
  <c r="O134" i="274"/>
  <c r="Q134" i="274"/>
  <c r="S134" i="274"/>
  <c r="G135" i="274"/>
  <c r="I135" i="274"/>
  <c r="K135" i="274"/>
  <c r="M135" i="274"/>
  <c r="O135" i="274"/>
  <c r="Q135" i="274"/>
  <c r="S135" i="274"/>
  <c r="G136" i="274"/>
  <c r="I136" i="274"/>
  <c r="K136" i="274"/>
  <c r="M136" i="274"/>
  <c r="O136" i="274"/>
  <c r="Q136" i="274"/>
  <c r="S136" i="274"/>
  <c r="B137" i="274"/>
  <c r="C137" i="274"/>
  <c r="D137" i="274"/>
  <c r="E137" i="274"/>
  <c r="F137" i="274"/>
  <c r="G140" i="274"/>
  <c r="I140" i="274"/>
  <c r="K140" i="274"/>
  <c r="M140" i="274"/>
  <c r="O140" i="274"/>
  <c r="Q140" i="274"/>
  <c r="S140" i="274"/>
  <c r="G141" i="274"/>
  <c r="I141" i="274"/>
  <c r="K141" i="274"/>
  <c r="M141" i="274"/>
  <c r="O141" i="274"/>
  <c r="Q141" i="274"/>
  <c r="S141" i="274"/>
  <c r="G142" i="274"/>
  <c r="I142" i="274"/>
  <c r="K142" i="274"/>
  <c r="M142" i="274"/>
  <c r="O142" i="274"/>
  <c r="Q142" i="274"/>
  <c r="S142" i="274"/>
  <c r="G143" i="274"/>
  <c r="H143" i="274"/>
  <c r="K143" i="274" s="1"/>
  <c r="B144" i="274"/>
  <c r="C144" i="274"/>
  <c r="D144" i="274"/>
  <c r="E144" i="274"/>
  <c r="F144" i="274"/>
  <c r="Q34" i="261"/>
  <c r="S34" i="261"/>
  <c r="O34" i="261"/>
  <c r="M34" i="261"/>
  <c r="K34" i="261"/>
  <c r="I34" i="261"/>
  <c r="G34" i="261"/>
  <c r="R47" i="261"/>
  <c r="R48" i="261" s="1"/>
  <c r="L47" i="261"/>
  <c r="L51" i="261" s="1"/>
  <c r="N47" i="261"/>
  <c r="P47" i="261"/>
  <c r="S46" i="261"/>
  <c r="S45" i="261"/>
  <c r="S43" i="261"/>
  <c r="S42" i="261"/>
  <c r="S41" i="261"/>
  <c r="S38" i="261"/>
  <c r="S37" i="261"/>
  <c r="S36" i="261"/>
  <c r="S35" i="261"/>
  <c r="S32" i="261"/>
  <c r="S30" i="261"/>
  <c r="S29" i="261"/>
  <c r="S26" i="261"/>
  <c r="S27" i="261"/>
  <c r="S24" i="261"/>
  <c r="S23" i="261"/>
  <c r="S22" i="261"/>
  <c r="S21" i="261"/>
  <c r="S20" i="261"/>
  <c r="S18" i="261"/>
  <c r="S17" i="261"/>
  <c r="S16" i="261"/>
  <c r="S14" i="261"/>
  <c r="S13" i="261"/>
  <c r="S12" i="261"/>
  <c r="S11" i="261"/>
  <c r="S10" i="261"/>
  <c r="S8" i="261"/>
  <c r="S7" i="261"/>
  <c r="S6" i="261"/>
  <c r="S5" i="261"/>
  <c r="H47" i="261"/>
  <c r="H51" i="261" s="1"/>
  <c r="Q46" i="261"/>
  <c r="Q45" i="261"/>
  <c r="Q43" i="261"/>
  <c r="Q42" i="261"/>
  <c r="Q41" i="261"/>
  <c r="Q38" i="261"/>
  <c r="Q37" i="261"/>
  <c r="Q36" i="261"/>
  <c r="Q35" i="261"/>
  <c r="Q32" i="261"/>
  <c r="Q30" i="261"/>
  <c r="Q29" i="261"/>
  <c r="Q26" i="261"/>
  <c r="Q27" i="261"/>
  <c r="Q24" i="261"/>
  <c r="Q23" i="261"/>
  <c r="Q22" i="261"/>
  <c r="Q21" i="261"/>
  <c r="Q20" i="261"/>
  <c r="Q18" i="261"/>
  <c r="Q17" i="261"/>
  <c r="Q16" i="261"/>
  <c r="Q14" i="261"/>
  <c r="Q13" i="261"/>
  <c r="Q12" i="261"/>
  <c r="Q11" i="261"/>
  <c r="Q10" i="261"/>
  <c r="Q8" i="261"/>
  <c r="Q7" i="261"/>
  <c r="Q6" i="261"/>
  <c r="Q5" i="261"/>
  <c r="B9" i="187"/>
  <c r="C9" i="187"/>
  <c r="B17" i="187"/>
  <c r="C17" i="187"/>
  <c r="B26" i="187"/>
  <c r="C26" i="187"/>
  <c r="B29" i="187"/>
  <c r="C29" i="187"/>
  <c r="B33" i="187"/>
  <c r="C33" i="187"/>
  <c r="B40" i="187"/>
  <c r="C40" i="187"/>
  <c r="B44" i="187"/>
  <c r="C44" i="187"/>
  <c r="B48" i="187"/>
  <c r="C48" i="187"/>
  <c r="B52" i="187"/>
  <c r="C52" i="187"/>
  <c r="B73" i="187"/>
  <c r="C73" i="187"/>
  <c r="B79" i="187"/>
  <c r="C79" i="187"/>
  <c r="B91" i="187"/>
  <c r="C91" i="187"/>
  <c r="B104" i="187"/>
  <c r="C104" i="187"/>
  <c r="H91" i="187"/>
  <c r="H105" i="187" s="1"/>
  <c r="H17" i="187"/>
  <c r="H40" i="187"/>
  <c r="H44" i="187"/>
  <c r="H48" i="187"/>
  <c r="H52" i="187"/>
  <c r="H73" i="187"/>
  <c r="H79" i="187"/>
  <c r="C126" i="196"/>
  <c r="B126" i="196"/>
  <c r="D126" i="196" s="1"/>
  <c r="H115" i="196"/>
  <c r="D115" i="196"/>
  <c r="F115" i="196"/>
  <c r="D16" i="196"/>
  <c r="E113" i="196"/>
  <c r="E56" i="196"/>
  <c r="E10" i="196"/>
  <c r="H10" i="196" s="1"/>
  <c r="E33" i="196"/>
  <c r="E20" i="196"/>
  <c r="E85" i="196"/>
  <c r="E102" i="196"/>
  <c r="E103" i="196" s="1"/>
  <c r="E94" i="196"/>
  <c r="E133" i="196"/>
  <c r="H132" i="196"/>
  <c r="H131" i="196"/>
  <c r="H130" i="196"/>
  <c r="H129" i="196"/>
  <c r="H125" i="196"/>
  <c r="H124" i="196"/>
  <c r="H123" i="196"/>
  <c r="H122" i="196"/>
  <c r="H120" i="196"/>
  <c r="H119" i="196"/>
  <c r="H118" i="196"/>
  <c r="H117" i="196"/>
  <c r="H116" i="196"/>
  <c r="H112" i="196"/>
  <c r="H111" i="196"/>
  <c r="H110" i="196"/>
  <c r="H109" i="196"/>
  <c r="H108" i="196"/>
  <c r="H107" i="196"/>
  <c r="H101" i="196"/>
  <c r="H100" i="196"/>
  <c r="H99" i="196"/>
  <c r="H98" i="196"/>
  <c r="H97" i="196"/>
  <c r="H96" i="196"/>
  <c r="H93" i="196"/>
  <c r="H92" i="196"/>
  <c r="H91" i="196"/>
  <c r="H90" i="196"/>
  <c r="H89" i="196"/>
  <c r="H88" i="196"/>
  <c r="H87" i="196"/>
  <c r="H84" i="196"/>
  <c r="H79" i="196"/>
  <c r="H78" i="196"/>
  <c r="H77" i="196"/>
  <c r="H76" i="196"/>
  <c r="H72" i="196"/>
  <c r="H71" i="196"/>
  <c r="H63" i="196"/>
  <c r="H55" i="196"/>
  <c r="H54" i="196"/>
  <c r="H53" i="196"/>
  <c r="H50" i="196"/>
  <c r="H46" i="196"/>
  <c r="H44" i="196"/>
  <c r="H39" i="196"/>
  <c r="H38" i="196"/>
  <c r="H32" i="196"/>
  <c r="H31" i="196"/>
  <c r="H30" i="196"/>
  <c r="H29" i="196"/>
  <c r="H26" i="196"/>
  <c r="H24" i="196"/>
  <c r="H23" i="196"/>
  <c r="H19" i="196"/>
  <c r="H18" i="196"/>
  <c r="H17" i="196"/>
  <c r="H16" i="196"/>
  <c r="H15" i="196"/>
  <c r="H14" i="196"/>
  <c r="H13" i="196"/>
  <c r="H12" i="196"/>
  <c r="H9" i="196"/>
  <c r="H8" i="196"/>
  <c r="H7" i="196"/>
  <c r="H5" i="196"/>
  <c r="K19" i="184"/>
  <c r="L19" i="184"/>
  <c r="M19" i="184"/>
  <c r="M121" i="184"/>
  <c r="L121" i="184"/>
  <c r="K121" i="184"/>
  <c r="M120" i="184"/>
  <c r="L120" i="184"/>
  <c r="K120" i="184"/>
  <c r="M119" i="184"/>
  <c r="L119" i="184"/>
  <c r="K119" i="184"/>
  <c r="M118" i="184"/>
  <c r="L118" i="184"/>
  <c r="K118" i="184"/>
  <c r="M117" i="184"/>
  <c r="L117" i="184"/>
  <c r="K117" i="184"/>
  <c r="M116" i="184"/>
  <c r="L116" i="184"/>
  <c r="K116" i="184"/>
  <c r="M114" i="184"/>
  <c r="L114" i="184"/>
  <c r="K114" i="184"/>
  <c r="M107" i="184"/>
  <c r="L107" i="184"/>
  <c r="K107" i="184"/>
  <c r="M106" i="184"/>
  <c r="L106" i="184"/>
  <c r="K106" i="184"/>
  <c r="M102" i="184"/>
  <c r="L102" i="184"/>
  <c r="K102" i="184"/>
  <c r="M101" i="184"/>
  <c r="L101" i="184"/>
  <c r="K101" i="184"/>
  <c r="M100" i="184"/>
  <c r="L100" i="184"/>
  <c r="K100" i="184"/>
  <c r="M99" i="184"/>
  <c r="L99" i="184"/>
  <c r="K99" i="184"/>
  <c r="M98" i="184"/>
  <c r="L98" i="184"/>
  <c r="K98" i="184"/>
  <c r="M95" i="184"/>
  <c r="L95" i="184"/>
  <c r="K95" i="184"/>
  <c r="M94" i="184"/>
  <c r="L94" i="184"/>
  <c r="K94" i="184"/>
  <c r="M92" i="184"/>
  <c r="L92" i="184"/>
  <c r="K92" i="184"/>
  <c r="M83" i="184"/>
  <c r="L83" i="184"/>
  <c r="K83" i="184"/>
  <c r="M81" i="184"/>
  <c r="L81" i="184"/>
  <c r="K81" i="184"/>
  <c r="M79" i="184"/>
  <c r="L79" i="184"/>
  <c r="K79" i="184"/>
  <c r="M75" i="184"/>
  <c r="L75" i="184"/>
  <c r="K75" i="184"/>
  <c r="M73" i="184"/>
  <c r="L73" i="184"/>
  <c r="K73" i="184"/>
  <c r="M71" i="184"/>
  <c r="L71" i="184"/>
  <c r="K71" i="184"/>
  <c r="M65" i="184"/>
  <c r="L65" i="184"/>
  <c r="K65" i="184"/>
  <c r="M64" i="184"/>
  <c r="L64" i="184"/>
  <c r="K64" i="184"/>
  <c r="M61" i="184"/>
  <c r="L61" i="184"/>
  <c r="K61" i="184"/>
  <c r="M60" i="184"/>
  <c r="L60" i="184"/>
  <c r="K60" i="184"/>
  <c r="M59" i="184"/>
  <c r="L59" i="184"/>
  <c r="K59" i="184"/>
  <c r="M58" i="184"/>
  <c r="L58" i="184"/>
  <c r="K58" i="184"/>
  <c r="M57" i="184"/>
  <c r="L57" i="184"/>
  <c r="K57" i="184"/>
  <c r="M56" i="184"/>
  <c r="L56" i="184"/>
  <c r="K56" i="184"/>
  <c r="M53" i="184"/>
  <c r="L53" i="184"/>
  <c r="K53" i="184"/>
  <c r="M52" i="184"/>
  <c r="L52" i="184"/>
  <c r="K52" i="184"/>
  <c r="M44" i="184"/>
  <c r="L44" i="184"/>
  <c r="K44" i="184"/>
  <c r="M42" i="184"/>
  <c r="L42" i="184"/>
  <c r="K42" i="184"/>
  <c r="M39" i="184"/>
  <c r="L39" i="184"/>
  <c r="K39" i="184"/>
  <c r="M38" i="184"/>
  <c r="L38" i="184"/>
  <c r="K38" i="184"/>
  <c r="M34" i="184"/>
  <c r="L34" i="184"/>
  <c r="K34" i="184"/>
  <c r="M33" i="184"/>
  <c r="L33" i="184"/>
  <c r="K33" i="184"/>
  <c r="M32" i="184"/>
  <c r="L32" i="184"/>
  <c r="K32" i="184"/>
  <c r="M22" i="184"/>
  <c r="L22" i="184"/>
  <c r="K22" i="184"/>
  <c r="M21" i="184"/>
  <c r="L21" i="184"/>
  <c r="K21" i="184"/>
  <c r="M18" i="184"/>
  <c r="L18" i="184"/>
  <c r="K18" i="184"/>
  <c r="M15" i="184"/>
  <c r="L15" i="184"/>
  <c r="K15" i="184"/>
  <c r="M14" i="184"/>
  <c r="L14" i="184"/>
  <c r="K14" i="184"/>
  <c r="M12" i="184"/>
  <c r="L12" i="184"/>
  <c r="K12" i="184"/>
  <c r="M11" i="184"/>
  <c r="L11" i="184"/>
  <c r="K11" i="184"/>
  <c r="M10" i="184"/>
  <c r="L10" i="184"/>
  <c r="K10" i="184"/>
  <c r="M9" i="184"/>
  <c r="L9" i="184"/>
  <c r="K9" i="184"/>
  <c r="M8" i="184"/>
  <c r="L8" i="184"/>
  <c r="K8" i="184"/>
  <c r="M7" i="184"/>
  <c r="L7" i="184"/>
  <c r="K7" i="184"/>
  <c r="F19" i="184"/>
  <c r="G19" i="184"/>
  <c r="H19" i="184"/>
  <c r="B19" i="184"/>
  <c r="C19" i="184"/>
  <c r="D19" i="184"/>
  <c r="F114" i="184"/>
  <c r="G114" i="184"/>
  <c r="H114" i="184"/>
  <c r="F116" i="184"/>
  <c r="G116" i="184"/>
  <c r="H116" i="184"/>
  <c r="F117" i="184"/>
  <c r="G117" i="184"/>
  <c r="H117" i="184"/>
  <c r="F118" i="184"/>
  <c r="G118" i="184"/>
  <c r="H118" i="184"/>
  <c r="F119" i="184"/>
  <c r="G119" i="184"/>
  <c r="H119" i="184"/>
  <c r="F120" i="184"/>
  <c r="G120" i="184"/>
  <c r="H120" i="184"/>
  <c r="F121" i="184"/>
  <c r="G121" i="184"/>
  <c r="H121" i="184"/>
  <c r="F92" i="184"/>
  <c r="G92" i="184"/>
  <c r="H92" i="184"/>
  <c r="F94" i="184"/>
  <c r="G94" i="184"/>
  <c r="H94" i="184"/>
  <c r="F95" i="184"/>
  <c r="G95" i="184"/>
  <c r="H95" i="184"/>
  <c r="F98" i="184"/>
  <c r="G98" i="184"/>
  <c r="H98" i="184"/>
  <c r="F99" i="184"/>
  <c r="G99" i="184"/>
  <c r="H99" i="184"/>
  <c r="F100" i="184"/>
  <c r="G100" i="184"/>
  <c r="H100" i="184"/>
  <c r="F101" i="184"/>
  <c r="G101" i="184"/>
  <c r="H101" i="184"/>
  <c r="F102" i="184"/>
  <c r="G102" i="184"/>
  <c r="H102" i="184"/>
  <c r="F107" i="184"/>
  <c r="G107" i="184"/>
  <c r="H107" i="184"/>
  <c r="F106" i="184"/>
  <c r="G106" i="184"/>
  <c r="H106" i="184"/>
  <c r="F53" i="184"/>
  <c r="G53" i="184"/>
  <c r="H53" i="184"/>
  <c r="F52" i="184"/>
  <c r="G52" i="184"/>
  <c r="H52" i="184"/>
  <c r="F56" i="184"/>
  <c r="G56" i="184"/>
  <c r="H56" i="184"/>
  <c r="F57" i="184"/>
  <c r="G57" i="184"/>
  <c r="H57" i="184"/>
  <c r="F58" i="184"/>
  <c r="G58" i="184"/>
  <c r="H58" i="184"/>
  <c r="F59" i="184"/>
  <c r="G59" i="184"/>
  <c r="H59" i="184"/>
  <c r="F60" i="184"/>
  <c r="G60" i="184"/>
  <c r="H60" i="184"/>
  <c r="F61" i="184"/>
  <c r="G61" i="184"/>
  <c r="H61" i="184"/>
  <c r="F65" i="184"/>
  <c r="G65" i="184"/>
  <c r="H65" i="184"/>
  <c r="F64" i="184"/>
  <c r="G64" i="184"/>
  <c r="H64" i="184"/>
  <c r="F71" i="184"/>
  <c r="G71" i="184"/>
  <c r="H71" i="184"/>
  <c r="F73" i="184"/>
  <c r="G73" i="184"/>
  <c r="H73" i="184"/>
  <c r="F75" i="184"/>
  <c r="G75" i="184"/>
  <c r="H75" i="184"/>
  <c r="F79" i="184"/>
  <c r="G79" i="184"/>
  <c r="H79" i="184"/>
  <c r="F81" i="184"/>
  <c r="G81" i="184"/>
  <c r="H81" i="184"/>
  <c r="F83" i="184"/>
  <c r="G83" i="184"/>
  <c r="H83" i="184"/>
  <c r="F44" i="184"/>
  <c r="G44" i="184"/>
  <c r="H44" i="184"/>
  <c r="F42" i="184"/>
  <c r="G42" i="184"/>
  <c r="H42" i="184"/>
  <c r="F32" i="184"/>
  <c r="G32" i="184"/>
  <c r="H32" i="184"/>
  <c r="F33" i="184"/>
  <c r="G33" i="184"/>
  <c r="H33" i="184"/>
  <c r="F34" i="184"/>
  <c r="G34" i="184"/>
  <c r="H34" i="184"/>
  <c r="F38" i="184"/>
  <c r="G38" i="184"/>
  <c r="H38" i="184"/>
  <c r="F39" i="184"/>
  <c r="G39" i="184"/>
  <c r="H39" i="184"/>
  <c r="F18" i="184"/>
  <c r="G18" i="184"/>
  <c r="H18" i="184"/>
  <c r="F21" i="184"/>
  <c r="G21" i="184"/>
  <c r="H21" i="184"/>
  <c r="F22" i="184"/>
  <c r="G22" i="184"/>
  <c r="H22" i="184"/>
  <c r="F7" i="184"/>
  <c r="G7" i="184"/>
  <c r="H7" i="184"/>
  <c r="F8" i="184"/>
  <c r="G8" i="184"/>
  <c r="H8" i="184"/>
  <c r="F9" i="184"/>
  <c r="G9" i="184"/>
  <c r="H9" i="184"/>
  <c r="F10" i="184"/>
  <c r="G10" i="184"/>
  <c r="H10" i="184"/>
  <c r="F11" i="184"/>
  <c r="G11" i="184"/>
  <c r="H11" i="184"/>
  <c r="F12" i="184"/>
  <c r="G12" i="184"/>
  <c r="H12" i="184"/>
  <c r="F14" i="184"/>
  <c r="G14" i="184"/>
  <c r="H14" i="184"/>
  <c r="F15" i="184"/>
  <c r="G15" i="184"/>
  <c r="H15" i="184"/>
  <c r="E19" i="183"/>
  <c r="N9" i="183"/>
  <c r="N10" i="183"/>
  <c r="N11" i="183"/>
  <c r="N12" i="183"/>
  <c r="N14" i="183"/>
  <c r="N15" i="183"/>
  <c r="N7" i="183"/>
  <c r="N8" i="183"/>
  <c r="N92" i="183"/>
  <c r="N98" i="183"/>
  <c r="N99" i="183"/>
  <c r="T99" i="183" s="1"/>
  <c r="N100" i="183"/>
  <c r="N101" i="183"/>
  <c r="T101" i="183" s="1"/>
  <c r="N102" i="183"/>
  <c r="N94" i="183"/>
  <c r="T94" i="183" s="1"/>
  <c r="N95" i="183"/>
  <c r="N106" i="183"/>
  <c r="N107" i="183"/>
  <c r="N114" i="183"/>
  <c r="N116" i="183"/>
  <c r="N117" i="183"/>
  <c r="N118" i="183"/>
  <c r="T118" i="183" s="1"/>
  <c r="N119" i="183"/>
  <c r="T119" i="183" s="1"/>
  <c r="N120" i="183"/>
  <c r="N121" i="183"/>
  <c r="N53" i="183"/>
  <c r="N52" i="183"/>
  <c r="T52" i="183" s="1"/>
  <c r="N79" i="183"/>
  <c r="N81" i="183"/>
  <c r="N83" i="183"/>
  <c r="N56" i="183"/>
  <c r="N57" i="183"/>
  <c r="N58" i="183"/>
  <c r="N59" i="183"/>
  <c r="N60" i="183"/>
  <c r="N61" i="183"/>
  <c r="N72" i="183"/>
  <c r="N73" i="183"/>
  <c r="T73" i="183" s="1"/>
  <c r="N71" i="183"/>
  <c r="T71" i="183" s="1"/>
  <c r="N64" i="183"/>
  <c r="N65" i="183"/>
  <c r="N32" i="183"/>
  <c r="N34" i="183"/>
  <c r="T34" i="183" s="1"/>
  <c r="N33" i="183"/>
  <c r="N38" i="183"/>
  <c r="N39" i="183"/>
  <c r="N42" i="183"/>
  <c r="T42" i="183" s="1"/>
  <c r="N44" i="183"/>
  <c r="I32" i="183"/>
  <c r="I33" i="183"/>
  <c r="I34" i="183"/>
  <c r="I38" i="183"/>
  <c r="I39" i="183"/>
  <c r="I42" i="183"/>
  <c r="I44" i="183"/>
  <c r="I53" i="183"/>
  <c r="I52" i="183"/>
  <c r="I56" i="183"/>
  <c r="I57" i="183"/>
  <c r="I58" i="183"/>
  <c r="I59" i="183"/>
  <c r="I60" i="183"/>
  <c r="I61" i="183"/>
  <c r="I65" i="183"/>
  <c r="I64" i="183"/>
  <c r="I69" i="183" s="1"/>
  <c r="I71" i="183"/>
  <c r="I72" i="183"/>
  <c r="I73" i="183"/>
  <c r="I79" i="183"/>
  <c r="I81" i="183"/>
  <c r="O81" i="183" s="1"/>
  <c r="I83" i="183"/>
  <c r="O83" i="183" s="1"/>
  <c r="I92" i="183"/>
  <c r="I94" i="183"/>
  <c r="I95" i="183"/>
  <c r="I96" i="183" s="1"/>
  <c r="I98" i="183"/>
  <c r="I99" i="183"/>
  <c r="I100" i="183"/>
  <c r="O100" i="183"/>
  <c r="I101" i="183"/>
  <c r="I102" i="183"/>
  <c r="I107" i="183"/>
  <c r="I106" i="183"/>
  <c r="M16" i="183"/>
  <c r="M24" i="183" s="1"/>
  <c r="M23" i="183"/>
  <c r="M103" i="183"/>
  <c r="M96" i="183"/>
  <c r="M54" i="183"/>
  <c r="M62" i="183"/>
  <c r="M76" i="183"/>
  <c r="M45" i="183"/>
  <c r="L16" i="183"/>
  <c r="L23" i="183"/>
  <c r="L103" i="183"/>
  <c r="L96" i="183"/>
  <c r="L54" i="183"/>
  <c r="L62" i="183"/>
  <c r="L76" i="183"/>
  <c r="L45" i="183"/>
  <c r="K16" i="183"/>
  <c r="K23" i="183"/>
  <c r="K103" i="183"/>
  <c r="K96" i="183"/>
  <c r="K54" i="183"/>
  <c r="K62" i="183"/>
  <c r="K76" i="183"/>
  <c r="K45" i="183"/>
  <c r="E18" i="183"/>
  <c r="E21" i="183"/>
  <c r="E22" i="183"/>
  <c r="E7" i="183"/>
  <c r="E8" i="183"/>
  <c r="E9" i="183"/>
  <c r="E10" i="183"/>
  <c r="E11" i="183"/>
  <c r="E12" i="183"/>
  <c r="E14" i="183"/>
  <c r="E15" i="183"/>
  <c r="E6" i="268"/>
  <c r="D7" i="268"/>
  <c r="E11" i="268"/>
  <c r="D12" i="268"/>
  <c r="E15" i="268"/>
  <c r="E16" i="268"/>
  <c r="C17" i="268"/>
  <c r="E21" i="268"/>
  <c r="D22" i="268"/>
  <c r="E25" i="268"/>
  <c r="D27" i="268"/>
  <c r="H51" i="48"/>
  <c r="H55" i="48" s="1"/>
  <c r="H58" i="49"/>
  <c r="G5" i="261"/>
  <c r="I5" i="261"/>
  <c r="K5" i="261"/>
  <c r="M5" i="261"/>
  <c r="O5" i="261"/>
  <c r="G6" i="261"/>
  <c r="I6" i="261"/>
  <c r="K6" i="261"/>
  <c r="M6" i="261"/>
  <c r="O6" i="261"/>
  <c r="G7" i="261"/>
  <c r="I7" i="261"/>
  <c r="K7" i="261"/>
  <c r="M7" i="261"/>
  <c r="O7" i="261"/>
  <c r="G8" i="261"/>
  <c r="I8" i="261"/>
  <c r="K8" i="261"/>
  <c r="M8" i="261"/>
  <c r="O8" i="261"/>
  <c r="G9" i="261"/>
  <c r="I9" i="261"/>
  <c r="J9" i="261"/>
  <c r="Q9" i="261" s="1"/>
  <c r="M9" i="261"/>
  <c r="G10" i="261"/>
  <c r="I10" i="261"/>
  <c r="K10" i="261"/>
  <c r="M10" i="261"/>
  <c r="O10" i="261"/>
  <c r="G11" i="261"/>
  <c r="I11" i="261"/>
  <c r="K11" i="261"/>
  <c r="M11" i="261"/>
  <c r="O11" i="261"/>
  <c r="G12" i="261"/>
  <c r="I12" i="261"/>
  <c r="K12" i="261"/>
  <c r="M12" i="261"/>
  <c r="O12" i="261"/>
  <c r="G13" i="261"/>
  <c r="I13" i="261"/>
  <c r="K13" i="261"/>
  <c r="M13" i="261"/>
  <c r="O13" i="261"/>
  <c r="G14" i="261"/>
  <c r="I14" i="261"/>
  <c r="K14" i="261"/>
  <c r="M14" i="261"/>
  <c r="O14" i="261"/>
  <c r="G16" i="261"/>
  <c r="I16" i="261"/>
  <c r="K16" i="261"/>
  <c r="M16" i="261"/>
  <c r="O16" i="261"/>
  <c r="G17" i="261"/>
  <c r="I17" i="261"/>
  <c r="K17" i="261"/>
  <c r="M17" i="261"/>
  <c r="O17" i="261"/>
  <c r="G18" i="261"/>
  <c r="I18" i="261"/>
  <c r="K18" i="261"/>
  <c r="M18" i="261"/>
  <c r="O18" i="261"/>
  <c r="G20" i="261"/>
  <c r="I20" i="261"/>
  <c r="K20" i="261"/>
  <c r="M20" i="261"/>
  <c r="O20" i="261"/>
  <c r="G21" i="261"/>
  <c r="I21" i="261"/>
  <c r="K21" i="261"/>
  <c r="M21" i="261"/>
  <c r="O21" i="261"/>
  <c r="G22" i="261"/>
  <c r="I22" i="261"/>
  <c r="K22" i="261"/>
  <c r="M22" i="261"/>
  <c r="O22" i="261"/>
  <c r="G23" i="261"/>
  <c r="I23" i="261"/>
  <c r="K23" i="261"/>
  <c r="M23" i="261"/>
  <c r="O23" i="261"/>
  <c r="G24" i="261"/>
  <c r="I24" i="261"/>
  <c r="K24" i="261"/>
  <c r="M24" i="261"/>
  <c r="O24" i="261"/>
  <c r="G27" i="261"/>
  <c r="I27" i="261"/>
  <c r="K27" i="261"/>
  <c r="M27" i="261"/>
  <c r="O27" i="261"/>
  <c r="G26" i="261"/>
  <c r="I26" i="261"/>
  <c r="K26" i="261"/>
  <c r="M26" i="261"/>
  <c r="O26" i="261"/>
  <c r="G29" i="261"/>
  <c r="I29" i="261"/>
  <c r="K29" i="261"/>
  <c r="M29" i="261"/>
  <c r="O29" i="261"/>
  <c r="G30" i="261"/>
  <c r="I30" i="261"/>
  <c r="K30" i="261"/>
  <c r="M30" i="261"/>
  <c r="O30" i="261"/>
  <c r="G32" i="261"/>
  <c r="I32" i="261"/>
  <c r="K32" i="261"/>
  <c r="M32" i="261"/>
  <c r="O32" i="261"/>
  <c r="G35" i="261"/>
  <c r="I35" i="261"/>
  <c r="K35" i="261"/>
  <c r="M35" i="261"/>
  <c r="O35" i="261"/>
  <c r="G36" i="261"/>
  <c r="I36" i="261"/>
  <c r="K36" i="261"/>
  <c r="M36" i="261"/>
  <c r="O36" i="261"/>
  <c r="G37" i="261"/>
  <c r="I37" i="261"/>
  <c r="K37" i="261"/>
  <c r="M37" i="261"/>
  <c r="O37" i="261"/>
  <c r="G38" i="261"/>
  <c r="I38" i="261"/>
  <c r="K38" i="261"/>
  <c r="M38" i="261"/>
  <c r="O38" i="261"/>
  <c r="G41" i="261"/>
  <c r="I41" i="261"/>
  <c r="K41" i="261"/>
  <c r="M41" i="261"/>
  <c r="O41" i="261"/>
  <c r="G42" i="261"/>
  <c r="I42" i="261"/>
  <c r="K42" i="261"/>
  <c r="M42" i="261"/>
  <c r="O42" i="261"/>
  <c r="G43" i="261"/>
  <c r="I43" i="261"/>
  <c r="K43" i="261"/>
  <c r="M43" i="261"/>
  <c r="O43" i="261"/>
  <c r="G45" i="261"/>
  <c r="I45" i="261"/>
  <c r="K45" i="261"/>
  <c r="M45" i="261"/>
  <c r="O45" i="261"/>
  <c r="G46" i="261"/>
  <c r="I46" i="261"/>
  <c r="K46" i="261"/>
  <c r="M46" i="261"/>
  <c r="O46" i="261"/>
  <c r="B47" i="261"/>
  <c r="B51" i="261" s="1"/>
  <c r="C47" i="261"/>
  <c r="C51" i="261" s="1"/>
  <c r="D47" i="261"/>
  <c r="D51" i="261" s="1"/>
  <c r="E47" i="261"/>
  <c r="E51" i="261" s="1"/>
  <c r="F47" i="261"/>
  <c r="F51" i="261" s="1"/>
  <c r="G48" i="261"/>
  <c r="I48" i="261"/>
  <c r="J48" i="261"/>
  <c r="M48" i="261" s="1"/>
  <c r="K48" i="261"/>
  <c r="N48" i="261"/>
  <c r="P48" i="261"/>
  <c r="P51" i="261" s="1"/>
  <c r="G49" i="261"/>
  <c r="I49" i="261"/>
  <c r="J49" i="261"/>
  <c r="K49" i="261" s="1"/>
  <c r="Y12" i="27"/>
  <c r="Y11" i="27"/>
  <c r="Y10" i="27"/>
  <c r="Y9" i="27"/>
  <c r="Y8" i="27"/>
  <c r="Y7" i="27"/>
  <c r="Y6" i="27"/>
  <c r="Y5" i="27"/>
  <c r="X12" i="27"/>
  <c r="X11" i="27"/>
  <c r="X10" i="27"/>
  <c r="X9" i="27"/>
  <c r="X8" i="27"/>
  <c r="X7" i="27"/>
  <c r="X6" i="27"/>
  <c r="X5" i="27"/>
  <c r="W12" i="27"/>
  <c r="W11" i="27"/>
  <c r="W10" i="27"/>
  <c r="W9" i="27"/>
  <c r="W8" i="27"/>
  <c r="W7" i="27"/>
  <c r="W6" i="27"/>
  <c r="W5" i="27"/>
  <c r="W13" i="27" s="1"/>
  <c r="V12" i="27"/>
  <c r="V11" i="27"/>
  <c r="V10" i="27"/>
  <c r="V9" i="27"/>
  <c r="V8" i="27"/>
  <c r="V7" i="27"/>
  <c r="V6" i="27"/>
  <c r="V5" i="27"/>
  <c r="H6" i="27"/>
  <c r="H8" i="27"/>
  <c r="H10" i="27"/>
  <c r="H12" i="27"/>
  <c r="H14" i="27"/>
  <c r="H16" i="27"/>
  <c r="H20" i="27"/>
  <c r="H22" i="27"/>
  <c r="F6" i="27"/>
  <c r="F8" i="27"/>
  <c r="F10" i="27"/>
  <c r="F12" i="27"/>
  <c r="F14" i="27"/>
  <c r="F16" i="27"/>
  <c r="F20" i="27"/>
  <c r="F22" i="27"/>
  <c r="D6" i="27"/>
  <c r="D8" i="27"/>
  <c r="D10" i="27"/>
  <c r="D12" i="27"/>
  <c r="D14" i="27"/>
  <c r="D16" i="27"/>
  <c r="D20" i="27"/>
  <c r="D22" i="27"/>
  <c r="U5" i="27"/>
  <c r="U6" i="27"/>
  <c r="U13" i="27" s="1"/>
  <c r="U7" i="27"/>
  <c r="U8" i="27"/>
  <c r="U9" i="27"/>
  <c r="U10" i="27"/>
  <c r="U11" i="27"/>
  <c r="U12" i="27"/>
  <c r="V4" i="27"/>
  <c r="W4" i="27" s="1"/>
  <c r="X4" i="27" s="1"/>
  <c r="Y4" i="27" s="1"/>
  <c r="I54" i="29"/>
  <c r="I51" i="29"/>
  <c r="I50" i="29"/>
  <c r="I47" i="29"/>
  <c r="I46" i="29"/>
  <c r="I45" i="29"/>
  <c r="I44" i="29"/>
  <c r="I42" i="29"/>
  <c r="I41" i="29"/>
  <c r="I40" i="29"/>
  <c r="I39" i="29"/>
  <c r="I38" i="29"/>
  <c r="I36" i="29"/>
  <c r="I34" i="29"/>
  <c r="I33" i="29"/>
  <c r="I32" i="29"/>
  <c r="I31" i="29"/>
  <c r="I29" i="29"/>
  <c r="I27" i="29"/>
  <c r="I24" i="29"/>
  <c r="I23" i="29"/>
  <c r="I22" i="29"/>
  <c r="I21" i="29"/>
  <c r="I20" i="29"/>
  <c r="I19" i="29"/>
  <c r="I18" i="29"/>
  <c r="I17" i="29"/>
  <c r="I16" i="29"/>
  <c r="I14" i="29"/>
  <c r="I13" i="29"/>
  <c r="I12" i="29"/>
  <c r="I11" i="29"/>
  <c r="I10" i="29"/>
  <c r="I9" i="29"/>
  <c r="I8" i="29"/>
  <c r="I7" i="29"/>
  <c r="I6" i="29"/>
  <c r="D11" i="159"/>
  <c r="F11" i="159"/>
  <c r="B13" i="159"/>
  <c r="C13" i="159"/>
  <c r="D13" i="159" s="1"/>
  <c r="C22" i="159"/>
  <c r="H21" i="159"/>
  <c r="F28" i="159"/>
  <c r="B34" i="159"/>
  <c r="C34" i="159"/>
  <c r="E34" i="159"/>
  <c r="H34" i="159" s="1"/>
  <c r="C37" i="159"/>
  <c r="E37" i="159" s="1"/>
  <c r="G37" i="159" s="1"/>
  <c r="I37" i="159" s="1"/>
  <c r="K37" i="159" s="1"/>
  <c r="M37" i="159" s="1"/>
  <c r="O37" i="159" s="1"/>
  <c r="H40" i="159"/>
  <c r="C41" i="159"/>
  <c r="C50" i="159"/>
  <c r="H48" i="159"/>
  <c r="B50" i="159"/>
  <c r="C55" i="159"/>
  <c r="E55" i="159"/>
  <c r="H55" i="159" s="1"/>
  <c r="H57" i="159"/>
  <c r="C70" i="159"/>
  <c r="E70" i="159" s="1"/>
  <c r="G70" i="159" s="1"/>
  <c r="I70" i="159" s="1"/>
  <c r="K70" i="159" s="1"/>
  <c r="M70" i="159" s="1"/>
  <c r="O70" i="159" s="1"/>
  <c r="C86" i="159"/>
  <c r="F86" i="159" s="1"/>
  <c r="B86" i="159"/>
  <c r="B94" i="159"/>
  <c r="C94" i="159"/>
  <c r="E94" i="159"/>
  <c r="H96" i="159"/>
  <c r="B101" i="159"/>
  <c r="C101" i="159"/>
  <c r="C104" i="159"/>
  <c r="E104" i="159" s="1"/>
  <c r="G104" i="159" s="1"/>
  <c r="I104" i="159" s="1"/>
  <c r="K104" i="159" s="1"/>
  <c r="M104" i="159" s="1"/>
  <c r="O104" i="159" s="1"/>
  <c r="B113" i="159"/>
  <c r="C113" i="159"/>
  <c r="E113" i="159"/>
  <c r="H113" i="159" s="1"/>
  <c r="B128" i="159"/>
  <c r="C128" i="159"/>
  <c r="E135" i="159"/>
  <c r="D10" i="159"/>
  <c r="F10" i="159"/>
  <c r="D115" i="159"/>
  <c r="F115" i="159"/>
  <c r="F134" i="159"/>
  <c r="F133" i="159"/>
  <c r="F132" i="159"/>
  <c r="F127" i="159"/>
  <c r="F126" i="159"/>
  <c r="F125" i="159"/>
  <c r="F124" i="159"/>
  <c r="F122" i="159"/>
  <c r="F121" i="159"/>
  <c r="F120" i="159"/>
  <c r="F119" i="159"/>
  <c r="F117" i="159"/>
  <c r="F112" i="159"/>
  <c r="F111" i="159"/>
  <c r="F110" i="159"/>
  <c r="F109" i="159"/>
  <c r="F107" i="159"/>
  <c r="F106" i="159"/>
  <c r="F100" i="159"/>
  <c r="F99" i="159"/>
  <c r="F98" i="159"/>
  <c r="F97" i="159"/>
  <c r="F93" i="159"/>
  <c r="F92" i="159"/>
  <c r="F91" i="159"/>
  <c r="F90" i="159"/>
  <c r="F89" i="159"/>
  <c r="F88" i="159"/>
  <c r="F84" i="159"/>
  <c r="F83" i="159"/>
  <c r="F76" i="159"/>
  <c r="F75" i="159"/>
  <c r="F73" i="159"/>
  <c r="F72" i="159"/>
  <c r="D100" i="159"/>
  <c r="D99" i="159"/>
  <c r="D98" i="159"/>
  <c r="D97" i="159"/>
  <c r="D96" i="159"/>
  <c r="D93" i="159"/>
  <c r="D92" i="159"/>
  <c r="D91" i="159"/>
  <c r="D90" i="159"/>
  <c r="D89" i="159"/>
  <c r="D88" i="159"/>
  <c r="D85" i="159"/>
  <c r="D84" i="159"/>
  <c r="D83" i="159"/>
  <c r="D76" i="159"/>
  <c r="D75" i="159"/>
  <c r="D73" i="159"/>
  <c r="D72" i="159"/>
  <c r="F65" i="159"/>
  <c r="F57" i="159"/>
  <c r="F54" i="159"/>
  <c r="F53" i="159"/>
  <c r="F52" i="159"/>
  <c r="F49" i="159"/>
  <c r="F48" i="159"/>
  <c r="F45" i="159"/>
  <c r="F40" i="159"/>
  <c r="F39" i="159"/>
  <c r="F33" i="159"/>
  <c r="F32" i="159"/>
  <c r="F31" i="159"/>
  <c r="F30" i="159"/>
  <c r="F27" i="159"/>
  <c r="F26" i="159"/>
  <c r="F25" i="159"/>
  <c r="F21" i="159"/>
  <c r="F20" i="159"/>
  <c r="F19" i="159"/>
  <c r="F18" i="159"/>
  <c r="F17" i="159"/>
  <c r="F16" i="159"/>
  <c r="F15" i="159"/>
  <c r="F12" i="159"/>
  <c r="F9" i="159"/>
  <c r="F6" i="159"/>
  <c r="C4" i="159"/>
  <c r="E4" i="159" s="1"/>
  <c r="G4" i="159" s="1"/>
  <c r="I4" i="159" s="1"/>
  <c r="K4" i="159" s="1"/>
  <c r="M4" i="159" s="1"/>
  <c r="O4" i="159" s="1"/>
  <c r="F64" i="36"/>
  <c r="F68" i="36" s="1"/>
  <c r="J11" i="239"/>
  <c r="AF8" i="239" s="1"/>
  <c r="K9" i="239"/>
  <c r="K7" i="239"/>
  <c r="K5" i="239"/>
  <c r="G10" i="259"/>
  <c r="G5" i="259"/>
  <c r="G6" i="259"/>
  <c r="G7" i="259"/>
  <c r="G8" i="259"/>
  <c r="G9" i="259"/>
  <c r="M119" i="161"/>
  <c r="L119" i="161"/>
  <c r="K119" i="161"/>
  <c r="M118" i="161"/>
  <c r="L118" i="161"/>
  <c r="K118" i="161"/>
  <c r="M117" i="161"/>
  <c r="L117" i="161"/>
  <c r="K117" i="161"/>
  <c r="M116" i="161"/>
  <c r="L116" i="161"/>
  <c r="K116" i="161"/>
  <c r="M115" i="161"/>
  <c r="L115" i="161"/>
  <c r="K115" i="161"/>
  <c r="M114" i="161"/>
  <c r="L114" i="161"/>
  <c r="K114" i="161"/>
  <c r="M111" i="161"/>
  <c r="L111" i="161"/>
  <c r="K111" i="161"/>
  <c r="M105" i="161"/>
  <c r="L105" i="161"/>
  <c r="K105" i="161"/>
  <c r="M104" i="161"/>
  <c r="L104" i="161"/>
  <c r="K104" i="161"/>
  <c r="M100" i="161"/>
  <c r="L100" i="161"/>
  <c r="K100" i="161"/>
  <c r="M99" i="161"/>
  <c r="L99" i="161"/>
  <c r="K99" i="161"/>
  <c r="M98" i="161"/>
  <c r="L98" i="161"/>
  <c r="K98" i="161"/>
  <c r="M97" i="161"/>
  <c r="L97" i="161"/>
  <c r="K97" i="161"/>
  <c r="M94" i="161"/>
  <c r="L94" i="161"/>
  <c r="K94" i="161"/>
  <c r="M93" i="161"/>
  <c r="L93" i="161"/>
  <c r="K93" i="161"/>
  <c r="M91" i="161"/>
  <c r="L91" i="161"/>
  <c r="K91" i="161"/>
  <c r="M82" i="161"/>
  <c r="L82" i="161"/>
  <c r="K82" i="161"/>
  <c r="M80" i="161"/>
  <c r="L80" i="161"/>
  <c r="K80" i="161"/>
  <c r="M77" i="161"/>
  <c r="L77" i="161"/>
  <c r="K77" i="161"/>
  <c r="M67" i="161"/>
  <c r="L67" i="161"/>
  <c r="K67" i="161"/>
  <c r="M63" i="161"/>
  <c r="L63" i="161"/>
  <c r="K63" i="161"/>
  <c r="M60" i="161"/>
  <c r="L60" i="161"/>
  <c r="K60" i="161"/>
  <c r="M59" i="161"/>
  <c r="L59" i="161"/>
  <c r="K59" i="161"/>
  <c r="M58" i="161"/>
  <c r="L58" i="161"/>
  <c r="K58" i="161"/>
  <c r="M57" i="161"/>
  <c r="L57" i="161"/>
  <c r="K57" i="161"/>
  <c r="M56" i="161"/>
  <c r="L56" i="161"/>
  <c r="K56" i="161"/>
  <c r="M53" i="161"/>
  <c r="L53" i="161"/>
  <c r="K53" i="161"/>
  <c r="M52" i="161"/>
  <c r="L52" i="161"/>
  <c r="K52" i="161"/>
  <c r="M51" i="161"/>
  <c r="L51" i="161"/>
  <c r="K51" i="161"/>
  <c r="M43" i="161"/>
  <c r="L43" i="161"/>
  <c r="K43" i="161"/>
  <c r="M41" i="161"/>
  <c r="L41" i="161"/>
  <c r="K41" i="161"/>
  <c r="M31" i="161"/>
  <c r="L31" i="161"/>
  <c r="K31" i="161"/>
  <c r="M21" i="161"/>
  <c r="L21" i="161"/>
  <c r="K21" i="161"/>
  <c r="M20" i="161"/>
  <c r="L20" i="161"/>
  <c r="K20" i="161"/>
  <c r="M18" i="161"/>
  <c r="L18" i="161"/>
  <c r="K18" i="161"/>
  <c r="M17" i="161"/>
  <c r="L17" i="161"/>
  <c r="K17" i="161"/>
  <c r="K8" i="161"/>
  <c r="L8" i="161"/>
  <c r="M8" i="161"/>
  <c r="K9" i="161"/>
  <c r="L9" i="161"/>
  <c r="M9" i="161"/>
  <c r="K10" i="161"/>
  <c r="L10" i="161"/>
  <c r="M10" i="161"/>
  <c r="K11" i="161"/>
  <c r="L11" i="161"/>
  <c r="M11" i="161"/>
  <c r="K12" i="161"/>
  <c r="L12" i="161"/>
  <c r="M12" i="161"/>
  <c r="K13" i="161"/>
  <c r="L13" i="161"/>
  <c r="M13" i="161"/>
  <c r="K14" i="161"/>
  <c r="L14" i="161"/>
  <c r="M14" i="161"/>
  <c r="M7" i="161"/>
  <c r="L7" i="161"/>
  <c r="K7" i="161"/>
  <c r="F18" i="161"/>
  <c r="G18" i="161"/>
  <c r="H18" i="161"/>
  <c r="B18" i="161"/>
  <c r="C18" i="161"/>
  <c r="D18" i="161"/>
  <c r="N53" i="160"/>
  <c r="T53" i="160" s="1"/>
  <c r="N52" i="160"/>
  <c r="N51" i="160"/>
  <c r="T51" i="160" s="1"/>
  <c r="M54" i="160"/>
  <c r="I53" i="160"/>
  <c r="J53" i="160" s="1"/>
  <c r="I52" i="160"/>
  <c r="I51" i="160"/>
  <c r="O51" i="160" s="1"/>
  <c r="D54" i="160"/>
  <c r="C54" i="160"/>
  <c r="B54" i="160"/>
  <c r="F52" i="161"/>
  <c r="G52" i="161"/>
  <c r="H52" i="161"/>
  <c r="F51" i="161"/>
  <c r="G51" i="161"/>
  <c r="H51" i="161"/>
  <c r="I53" i="161"/>
  <c r="B52" i="161"/>
  <c r="C52" i="161"/>
  <c r="D52" i="161"/>
  <c r="B51" i="161"/>
  <c r="C51" i="161"/>
  <c r="D51" i="161"/>
  <c r="B8" i="161"/>
  <c r="C8" i="161"/>
  <c r="D8" i="161"/>
  <c r="F8" i="161"/>
  <c r="G8" i="161"/>
  <c r="H8" i="161"/>
  <c r="B9" i="161"/>
  <c r="C9" i="161"/>
  <c r="D9" i="161"/>
  <c r="F9" i="161"/>
  <c r="G9" i="161"/>
  <c r="H9" i="161"/>
  <c r="B10" i="161"/>
  <c r="C10" i="161"/>
  <c r="D10" i="161"/>
  <c r="F10" i="161"/>
  <c r="G10" i="161"/>
  <c r="H10" i="161"/>
  <c r="B11" i="161"/>
  <c r="C11" i="161"/>
  <c r="D11" i="161"/>
  <c r="F11" i="161"/>
  <c r="G11" i="161"/>
  <c r="H11" i="161"/>
  <c r="B12" i="161"/>
  <c r="C12" i="161"/>
  <c r="D12" i="161"/>
  <c r="F12" i="161"/>
  <c r="G12" i="161"/>
  <c r="H12" i="161"/>
  <c r="B13" i="161"/>
  <c r="C13" i="161"/>
  <c r="D13" i="161"/>
  <c r="F13" i="161"/>
  <c r="G13" i="161"/>
  <c r="H13" i="161"/>
  <c r="B14" i="161"/>
  <c r="C14" i="161"/>
  <c r="D14" i="161"/>
  <c r="F14" i="161"/>
  <c r="G14" i="161"/>
  <c r="H14" i="161"/>
  <c r="B7" i="161"/>
  <c r="C7" i="161"/>
  <c r="D7" i="161"/>
  <c r="F7" i="161"/>
  <c r="G7" i="161"/>
  <c r="H7" i="161"/>
  <c r="F111" i="161"/>
  <c r="G111" i="161"/>
  <c r="H111" i="161"/>
  <c r="F114" i="161"/>
  <c r="G114" i="161"/>
  <c r="H114" i="161"/>
  <c r="F115" i="161"/>
  <c r="G115" i="161"/>
  <c r="H115" i="161"/>
  <c r="F116" i="161"/>
  <c r="G116" i="161"/>
  <c r="H116" i="161"/>
  <c r="F117" i="161"/>
  <c r="G117" i="161"/>
  <c r="H117" i="161"/>
  <c r="F118" i="161"/>
  <c r="G118" i="161"/>
  <c r="H118" i="161"/>
  <c r="F119" i="161"/>
  <c r="G119" i="161"/>
  <c r="H119" i="161"/>
  <c r="F91" i="161"/>
  <c r="G91" i="161"/>
  <c r="H91" i="161"/>
  <c r="F93" i="161"/>
  <c r="G93" i="161"/>
  <c r="H93" i="161"/>
  <c r="F94" i="161"/>
  <c r="G94" i="161"/>
  <c r="H94" i="161"/>
  <c r="F97" i="161"/>
  <c r="G97" i="161"/>
  <c r="H97" i="161"/>
  <c r="F98" i="161"/>
  <c r="G98" i="161"/>
  <c r="H98" i="161"/>
  <c r="F99" i="161"/>
  <c r="G99" i="161"/>
  <c r="H99" i="161"/>
  <c r="F100" i="161"/>
  <c r="G100" i="161"/>
  <c r="H100" i="161"/>
  <c r="F105" i="161"/>
  <c r="G105" i="161"/>
  <c r="H105" i="161"/>
  <c r="F104" i="161"/>
  <c r="G104" i="161"/>
  <c r="H104" i="161"/>
  <c r="F56" i="161"/>
  <c r="G56" i="161"/>
  <c r="H56" i="161"/>
  <c r="F57" i="161"/>
  <c r="G57" i="161"/>
  <c r="H57" i="161"/>
  <c r="F58" i="161"/>
  <c r="G58" i="161"/>
  <c r="H58" i="161"/>
  <c r="F59" i="161"/>
  <c r="G59" i="161"/>
  <c r="H59" i="161"/>
  <c r="F60" i="161"/>
  <c r="G60" i="161"/>
  <c r="H60" i="161"/>
  <c r="F67" i="161"/>
  <c r="G67" i="161"/>
  <c r="H67" i="161"/>
  <c r="F63" i="161"/>
  <c r="G63" i="161"/>
  <c r="H63" i="161"/>
  <c r="F77" i="161"/>
  <c r="G77" i="161"/>
  <c r="H77" i="161"/>
  <c r="F80" i="161"/>
  <c r="G80" i="161"/>
  <c r="H80" i="161"/>
  <c r="F82" i="161"/>
  <c r="G82" i="161"/>
  <c r="H82" i="161"/>
  <c r="F43" i="161"/>
  <c r="G43" i="161"/>
  <c r="H43" i="161"/>
  <c r="F41" i="161"/>
  <c r="G41" i="161"/>
  <c r="H41" i="161"/>
  <c r="F31" i="161"/>
  <c r="G31" i="161"/>
  <c r="H31" i="161"/>
  <c r="F17" i="161"/>
  <c r="G17" i="161"/>
  <c r="H17" i="161"/>
  <c r="F20" i="161"/>
  <c r="G20" i="161"/>
  <c r="H20" i="161"/>
  <c r="F21" i="161"/>
  <c r="G21" i="161"/>
  <c r="H21" i="161"/>
  <c r="N18" i="160"/>
  <c r="T18" i="160" s="1"/>
  <c r="I18" i="160"/>
  <c r="O18" i="160" s="1"/>
  <c r="E18" i="160"/>
  <c r="N17" i="160"/>
  <c r="T17" i="160" s="1"/>
  <c r="N20" i="160"/>
  <c r="T20" i="160" s="1"/>
  <c r="N21" i="160"/>
  <c r="T21" i="160" s="1"/>
  <c r="N8" i="160"/>
  <c r="N9" i="160"/>
  <c r="N10" i="160"/>
  <c r="N11" i="160"/>
  <c r="N12" i="160"/>
  <c r="N13" i="160"/>
  <c r="T13" i="160" s="1"/>
  <c r="N14" i="160"/>
  <c r="N7" i="160"/>
  <c r="N80" i="160"/>
  <c r="T80" i="160" s="1"/>
  <c r="N82" i="160"/>
  <c r="N56" i="160"/>
  <c r="O56" i="160" s="1"/>
  <c r="N60" i="160"/>
  <c r="N57" i="160"/>
  <c r="O57" i="160" s="1"/>
  <c r="N58" i="160"/>
  <c r="T58" i="160" s="1"/>
  <c r="N59" i="160"/>
  <c r="T59" i="160" s="1"/>
  <c r="N63" i="160"/>
  <c r="N67" i="160"/>
  <c r="T67" i="160" s="1"/>
  <c r="N91" i="160"/>
  <c r="N97" i="160"/>
  <c r="N98" i="160"/>
  <c r="N99" i="160"/>
  <c r="N100" i="160"/>
  <c r="N93" i="160"/>
  <c r="N95" i="160" s="1"/>
  <c r="N94" i="160"/>
  <c r="N104" i="160"/>
  <c r="T104" i="160" s="1"/>
  <c r="N105" i="160"/>
  <c r="N111" i="160"/>
  <c r="N114" i="160"/>
  <c r="N115" i="160"/>
  <c r="T115" i="160" s="1"/>
  <c r="N116" i="160"/>
  <c r="N117" i="160"/>
  <c r="N118" i="160"/>
  <c r="N119" i="160"/>
  <c r="N31" i="160"/>
  <c r="N32" i="160"/>
  <c r="N33" i="160"/>
  <c r="T33" i="160" s="1"/>
  <c r="N37" i="160"/>
  <c r="N38" i="160"/>
  <c r="N41" i="160"/>
  <c r="T41" i="160" s="1"/>
  <c r="N43" i="160"/>
  <c r="I17" i="160"/>
  <c r="O17" i="160" s="1"/>
  <c r="I20" i="160"/>
  <c r="O20" i="160" s="1"/>
  <c r="I21" i="160"/>
  <c r="O21" i="160" s="1"/>
  <c r="I7" i="160"/>
  <c r="I8" i="160"/>
  <c r="I9" i="160"/>
  <c r="I10" i="160"/>
  <c r="I11" i="160"/>
  <c r="I12" i="160"/>
  <c r="I13" i="160"/>
  <c r="I14" i="160"/>
  <c r="I58" i="160"/>
  <c r="I59" i="160"/>
  <c r="J59" i="160" s="1"/>
  <c r="I67" i="160"/>
  <c r="I63" i="160"/>
  <c r="J63" i="160" s="1"/>
  <c r="I77" i="160"/>
  <c r="I80" i="160"/>
  <c r="I82" i="160"/>
  <c r="O82" i="160" s="1"/>
  <c r="I31" i="160"/>
  <c r="I32" i="160"/>
  <c r="I33" i="160"/>
  <c r="I37" i="160"/>
  <c r="I38" i="160"/>
  <c r="I41" i="160"/>
  <c r="J41" i="160" s="1"/>
  <c r="I43" i="160"/>
  <c r="I91" i="160"/>
  <c r="I93" i="160"/>
  <c r="O93" i="160" s="1"/>
  <c r="I94" i="160"/>
  <c r="O94" i="160" s="1"/>
  <c r="I97" i="160"/>
  <c r="I98" i="160"/>
  <c r="I99" i="160"/>
  <c r="O99" i="160" s="1"/>
  <c r="I100" i="160"/>
  <c r="I105" i="160"/>
  <c r="I106" i="160" s="1"/>
  <c r="I104" i="160"/>
  <c r="I111" i="160"/>
  <c r="I114" i="160"/>
  <c r="O114" i="160" s="1"/>
  <c r="I115" i="160"/>
  <c r="O115" i="160" s="1"/>
  <c r="I116" i="160"/>
  <c r="I117" i="160"/>
  <c r="O117" i="160" s="1"/>
  <c r="I118" i="160"/>
  <c r="O118" i="160" s="1"/>
  <c r="I119" i="160"/>
  <c r="M22" i="160"/>
  <c r="M15" i="160"/>
  <c r="M83" i="160"/>
  <c r="M61" i="160"/>
  <c r="M101" i="160"/>
  <c r="M95" i="160"/>
  <c r="M44" i="160"/>
  <c r="O71" i="160"/>
  <c r="E46" i="39"/>
  <c r="E50" i="39" s="1"/>
  <c r="D9" i="39"/>
  <c r="D46" i="39" s="1"/>
  <c r="C46" i="39"/>
  <c r="C50" i="39" s="1"/>
  <c r="G79" i="187"/>
  <c r="G91" i="187"/>
  <c r="G17" i="187"/>
  <c r="G40" i="187"/>
  <c r="G44" i="187"/>
  <c r="G48" i="187"/>
  <c r="G52" i="187"/>
  <c r="G73" i="187"/>
  <c r="F16" i="196"/>
  <c r="E5" i="239"/>
  <c r="G5" i="239"/>
  <c r="I5" i="239"/>
  <c r="E7" i="239"/>
  <c r="G7" i="239"/>
  <c r="I7" i="239"/>
  <c r="E9" i="239"/>
  <c r="G9" i="239"/>
  <c r="I9" i="239"/>
  <c r="S22" i="237"/>
  <c r="S17" i="237"/>
  <c r="S18" i="237" s="1"/>
  <c r="S8" i="237"/>
  <c r="S13" i="237" s="1"/>
  <c r="S12" i="237"/>
  <c r="M13" i="237"/>
  <c r="K13" i="237"/>
  <c r="O13" i="237"/>
  <c r="AL11" i="237" s="1"/>
  <c r="Q13" i="237"/>
  <c r="M18" i="237"/>
  <c r="K18" i="237"/>
  <c r="AJ12" i="237" s="1"/>
  <c r="O18" i="237"/>
  <c r="Q18" i="237"/>
  <c r="AN12" i="237" s="1"/>
  <c r="B13" i="237"/>
  <c r="C13" i="237"/>
  <c r="C24" i="237" s="1"/>
  <c r="D13" i="237"/>
  <c r="E13" i="237"/>
  <c r="F13" i="237"/>
  <c r="G13" i="237"/>
  <c r="H13" i="237"/>
  <c r="I13" i="237"/>
  <c r="J13" i="237"/>
  <c r="L13" i="237"/>
  <c r="N13" i="237"/>
  <c r="P13" i="237"/>
  <c r="R13" i="237"/>
  <c r="M22" i="237"/>
  <c r="K22" i="237"/>
  <c r="O22" i="237"/>
  <c r="Q22" i="237"/>
  <c r="Q24" i="237" s="1"/>
  <c r="AJ14" i="237"/>
  <c r="AL14" i="237"/>
  <c r="AN14" i="237"/>
  <c r="AP14" i="237"/>
  <c r="AQ14" i="237"/>
  <c r="R16" i="237"/>
  <c r="R17" i="237"/>
  <c r="C18" i="237"/>
  <c r="D18" i="237"/>
  <c r="E18" i="237"/>
  <c r="F18" i="237"/>
  <c r="G18" i="237"/>
  <c r="H18" i="237"/>
  <c r="I18" i="237"/>
  <c r="J18" i="237"/>
  <c r="L18" i="237"/>
  <c r="N18" i="237"/>
  <c r="P18" i="237"/>
  <c r="B22" i="237"/>
  <c r="C22" i="237"/>
  <c r="D22" i="237"/>
  <c r="E22" i="237"/>
  <c r="F22" i="237"/>
  <c r="G22" i="237"/>
  <c r="H22" i="237"/>
  <c r="I22" i="237"/>
  <c r="J22" i="237"/>
  <c r="L22" i="237"/>
  <c r="N22" i="237"/>
  <c r="P22" i="237"/>
  <c r="R22" i="237"/>
  <c r="G51" i="48"/>
  <c r="G55" i="48" s="1"/>
  <c r="G58" i="49"/>
  <c r="G46" i="50"/>
  <c r="D121" i="184"/>
  <c r="C121" i="184"/>
  <c r="B121" i="184"/>
  <c r="D120" i="184"/>
  <c r="C120" i="184"/>
  <c r="B120" i="184"/>
  <c r="D119" i="184"/>
  <c r="C119" i="184"/>
  <c r="B119" i="184"/>
  <c r="D118" i="184"/>
  <c r="C118" i="184"/>
  <c r="B118" i="184"/>
  <c r="D117" i="184"/>
  <c r="C117" i="184"/>
  <c r="B117" i="184"/>
  <c r="D116" i="184"/>
  <c r="C116" i="184"/>
  <c r="B116" i="184"/>
  <c r="D114" i="184"/>
  <c r="C114" i="184"/>
  <c r="B114" i="184"/>
  <c r="D107" i="184"/>
  <c r="C107" i="184"/>
  <c r="B107" i="184"/>
  <c r="D106" i="184"/>
  <c r="C106" i="184"/>
  <c r="B106" i="184"/>
  <c r="D102" i="184"/>
  <c r="C102" i="184"/>
  <c r="B102" i="184"/>
  <c r="D101" i="184"/>
  <c r="C101" i="184"/>
  <c r="B101" i="184"/>
  <c r="D100" i="184"/>
  <c r="C100" i="184"/>
  <c r="B100" i="184"/>
  <c r="D99" i="184"/>
  <c r="C99" i="184"/>
  <c r="B99" i="184"/>
  <c r="D98" i="184"/>
  <c r="C98" i="184"/>
  <c r="B98" i="184"/>
  <c r="D95" i="184"/>
  <c r="C95" i="184"/>
  <c r="B95" i="184"/>
  <c r="D94" i="184"/>
  <c r="C94" i="184"/>
  <c r="B94" i="184"/>
  <c r="D92" i="184"/>
  <c r="C92" i="184"/>
  <c r="B92" i="184"/>
  <c r="D83" i="184"/>
  <c r="C83" i="184"/>
  <c r="B83" i="184"/>
  <c r="D81" i="184"/>
  <c r="C81" i="184"/>
  <c r="B81" i="184"/>
  <c r="D79" i="184"/>
  <c r="C79" i="184"/>
  <c r="B79" i="184"/>
  <c r="D75" i="184"/>
  <c r="C75" i="184"/>
  <c r="B75" i="184"/>
  <c r="D73" i="184"/>
  <c r="C73" i="184"/>
  <c r="B73" i="184"/>
  <c r="D71" i="184"/>
  <c r="C71" i="184"/>
  <c r="B71" i="184"/>
  <c r="D65" i="184"/>
  <c r="C65" i="184"/>
  <c r="B65" i="184"/>
  <c r="D64" i="184"/>
  <c r="C64" i="184"/>
  <c r="B64" i="184"/>
  <c r="D60" i="184"/>
  <c r="C60" i="184"/>
  <c r="B60" i="184"/>
  <c r="D61" i="184"/>
  <c r="C61" i="184"/>
  <c r="B61" i="184"/>
  <c r="B56" i="184"/>
  <c r="B57" i="184"/>
  <c r="B58" i="184"/>
  <c r="B59" i="184"/>
  <c r="C56" i="184"/>
  <c r="C57" i="184"/>
  <c r="C58" i="184"/>
  <c r="C59" i="184"/>
  <c r="D56" i="184"/>
  <c r="D57" i="184"/>
  <c r="D58" i="184"/>
  <c r="D59" i="184"/>
  <c r="D53" i="184"/>
  <c r="C53" i="184"/>
  <c r="B53" i="184"/>
  <c r="D52" i="184"/>
  <c r="C52" i="184"/>
  <c r="B52" i="184"/>
  <c r="D44" i="184"/>
  <c r="C44" i="184"/>
  <c r="B44" i="184"/>
  <c r="D42" i="184"/>
  <c r="C42" i="184"/>
  <c r="B42" i="184"/>
  <c r="D39" i="184"/>
  <c r="C39" i="184"/>
  <c r="B39" i="184"/>
  <c r="D38" i="184"/>
  <c r="C38" i="184"/>
  <c r="B38" i="184"/>
  <c r="D34" i="184"/>
  <c r="C34" i="184"/>
  <c r="B34" i="184"/>
  <c r="D33" i="184"/>
  <c r="C33" i="184"/>
  <c r="B33" i="184"/>
  <c r="D32" i="184"/>
  <c r="C32" i="184"/>
  <c r="B32" i="184"/>
  <c r="D22" i="184"/>
  <c r="C22" i="184"/>
  <c r="B22" i="184"/>
  <c r="D21" i="184"/>
  <c r="C21" i="184"/>
  <c r="B21" i="184"/>
  <c r="D18" i="184"/>
  <c r="C18" i="184"/>
  <c r="B18" i="184"/>
  <c r="B8" i="184"/>
  <c r="C8" i="184"/>
  <c r="D8" i="184"/>
  <c r="B9" i="184"/>
  <c r="C9" i="184"/>
  <c r="D9" i="184"/>
  <c r="B10" i="184"/>
  <c r="C10" i="184"/>
  <c r="D10" i="184"/>
  <c r="B11" i="184"/>
  <c r="C11" i="184"/>
  <c r="D11" i="184"/>
  <c r="B12" i="184"/>
  <c r="C12" i="184"/>
  <c r="D12" i="184"/>
  <c r="B14" i="184"/>
  <c r="C14" i="184"/>
  <c r="D14" i="184"/>
  <c r="B15" i="184"/>
  <c r="C15" i="184"/>
  <c r="D15" i="184"/>
  <c r="D7" i="184"/>
  <c r="C7" i="184"/>
  <c r="B7" i="184"/>
  <c r="E114" i="183"/>
  <c r="E116" i="183"/>
  <c r="J116" i="183" s="1"/>
  <c r="E117" i="183"/>
  <c r="E118" i="183"/>
  <c r="E119" i="183"/>
  <c r="E120" i="183"/>
  <c r="J120" i="183" s="1"/>
  <c r="E121" i="183"/>
  <c r="E92" i="183"/>
  <c r="E94" i="183"/>
  <c r="E95" i="183"/>
  <c r="E98" i="183"/>
  <c r="E99" i="183"/>
  <c r="J99" i="183" s="1"/>
  <c r="E100" i="183"/>
  <c r="E101" i="183"/>
  <c r="E102" i="183"/>
  <c r="E107" i="183"/>
  <c r="E106" i="183"/>
  <c r="E53" i="183"/>
  <c r="J53" i="183" s="1"/>
  <c r="E52" i="183"/>
  <c r="E56" i="183"/>
  <c r="E57" i="183"/>
  <c r="E58" i="183"/>
  <c r="E59" i="183"/>
  <c r="E60" i="183"/>
  <c r="E61" i="183"/>
  <c r="E65" i="183"/>
  <c r="E64" i="183"/>
  <c r="E71" i="183"/>
  <c r="J71" i="183" s="1"/>
  <c r="E72" i="183"/>
  <c r="E73" i="183"/>
  <c r="E79" i="183"/>
  <c r="E81" i="183"/>
  <c r="E83" i="183"/>
  <c r="E44" i="183"/>
  <c r="E42" i="183"/>
  <c r="J42" i="183" s="1"/>
  <c r="E32" i="183"/>
  <c r="E33" i="183"/>
  <c r="E34" i="183"/>
  <c r="E38" i="183"/>
  <c r="E39" i="183"/>
  <c r="H96" i="183"/>
  <c r="H103" i="183"/>
  <c r="H54" i="183"/>
  <c r="H62" i="183"/>
  <c r="H76" i="183"/>
  <c r="H45" i="183"/>
  <c r="H23" i="183"/>
  <c r="H16" i="183"/>
  <c r="G96" i="183"/>
  <c r="G103" i="183"/>
  <c r="G54" i="183"/>
  <c r="G62" i="183"/>
  <c r="G76" i="183"/>
  <c r="G45" i="183"/>
  <c r="G23" i="183"/>
  <c r="G16" i="183"/>
  <c r="G24" i="183" s="1"/>
  <c r="F96" i="183"/>
  <c r="F103" i="183"/>
  <c r="F54" i="183"/>
  <c r="F62" i="183"/>
  <c r="F76" i="183"/>
  <c r="F45" i="183"/>
  <c r="F23" i="183"/>
  <c r="F16" i="183"/>
  <c r="C113" i="196"/>
  <c r="C127" i="196" s="1"/>
  <c r="C102" i="196"/>
  <c r="C94" i="196"/>
  <c r="F66" i="196"/>
  <c r="C56" i="196"/>
  <c r="F56" i="196" s="1"/>
  <c r="C51" i="196"/>
  <c r="F51" i="196" s="1"/>
  <c r="C33" i="196"/>
  <c r="F33" i="196" s="1"/>
  <c r="C20" i="196"/>
  <c r="C10" i="196"/>
  <c r="F10" i="196" s="1"/>
  <c r="F132" i="196"/>
  <c r="F131" i="196"/>
  <c r="F130" i="196"/>
  <c r="F125" i="196"/>
  <c r="F124" i="196"/>
  <c r="F123" i="196"/>
  <c r="F122" i="196"/>
  <c r="F120" i="196"/>
  <c r="F119" i="196"/>
  <c r="F118" i="196"/>
  <c r="F117" i="196"/>
  <c r="F116" i="196"/>
  <c r="F112" i="196"/>
  <c r="F111" i="196"/>
  <c r="F110" i="196"/>
  <c r="F109" i="196"/>
  <c r="F108" i="196"/>
  <c r="F107" i="196"/>
  <c r="F101" i="196"/>
  <c r="F100" i="196"/>
  <c r="F99" i="196"/>
  <c r="F98" i="196"/>
  <c r="F97" i="196"/>
  <c r="F96" i="196"/>
  <c r="F93" i="196"/>
  <c r="F92" i="196"/>
  <c r="F91" i="196"/>
  <c r="F90" i="196"/>
  <c r="F89" i="196"/>
  <c r="F88" i="196"/>
  <c r="F87" i="196"/>
  <c r="F84" i="196"/>
  <c r="F79" i="196"/>
  <c r="F78" i="196"/>
  <c r="F77" i="196"/>
  <c r="F76" i="196"/>
  <c r="F72" i="196"/>
  <c r="F71" i="196"/>
  <c r="F63" i="196"/>
  <c r="F58" i="196"/>
  <c r="F55" i="196"/>
  <c r="F54" i="196"/>
  <c r="F53" i="196"/>
  <c r="F50" i="196"/>
  <c r="F46" i="196"/>
  <c r="F44" i="196"/>
  <c r="F39" i="196"/>
  <c r="F38" i="196"/>
  <c r="F32" i="196"/>
  <c r="F31" i="196"/>
  <c r="F30" i="196"/>
  <c r="F29" i="196"/>
  <c r="F26" i="196"/>
  <c r="F24" i="196"/>
  <c r="F23" i="196"/>
  <c r="F19" i="196"/>
  <c r="F18" i="196"/>
  <c r="F17" i="196"/>
  <c r="F15" i="196"/>
  <c r="F14" i="196"/>
  <c r="F13" i="196"/>
  <c r="F9" i="196"/>
  <c r="F8" i="196"/>
  <c r="F7" i="196"/>
  <c r="F5" i="196"/>
  <c r="D5" i="196"/>
  <c r="D7" i="196"/>
  <c r="D8" i="196"/>
  <c r="D9" i="196"/>
  <c r="B10" i="196"/>
  <c r="D12" i="196"/>
  <c r="D13" i="196"/>
  <c r="D14" i="196"/>
  <c r="D15" i="196"/>
  <c r="D17" i="196"/>
  <c r="D18" i="196"/>
  <c r="D19" i="196"/>
  <c r="B20" i="196"/>
  <c r="D20" i="196" s="1"/>
  <c r="D23" i="196"/>
  <c r="D24" i="196"/>
  <c r="D26" i="196"/>
  <c r="D29" i="196"/>
  <c r="D30" i="196"/>
  <c r="D31" i="196"/>
  <c r="D32" i="196"/>
  <c r="B33" i="196"/>
  <c r="D38" i="196"/>
  <c r="D39" i="196"/>
  <c r="D44" i="196"/>
  <c r="D46" i="196"/>
  <c r="D49" i="196"/>
  <c r="D50" i="196"/>
  <c r="B51" i="196"/>
  <c r="D51" i="196" s="1"/>
  <c r="D53" i="196"/>
  <c r="D54" i="196"/>
  <c r="D55" i="196"/>
  <c r="B56" i="196"/>
  <c r="D56" i="196" s="1"/>
  <c r="D63" i="196"/>
  <c r="D71" i="196"/>
  <c r="D72" i="196"/>
  <c r="D76" i="196"/>
  <c r="D77" i="196"/>
  <c r="D78" i="196"/>
  <c r="D79" i="196"/>
  <c r="D84" i="196"/>
  <c r="B85" i="196"/>
  <c r="D87" i="196"/>
  <c r="D88" i="196"/>
  <c r="D89" i="196"/>
  <c r="D90" i="196"/>
  <c r="D91" i="196"/>
  <c r="D92" i="196"/>
  <c r="D93" i="196"/>
  <c r="B94" i="196"/>
  <c r="D96" i="196"/>
  <c r="D97" i="196"/>
  <c r="D98" i="196"/>
  <c r="D99" i="196"/>
  <c r="D100" i="196"/>
  <c r="D101" i="196"/>
  <c r="B102" i="196"/>
  <c r="D102" i="196" s="1"/>
  <c r="D107" i="196"/>
  <c r="D108" i="196"/>
  <c r="D109" i="196"/>
  <c r="D110" i="196"/>
  <c r="D111" i="196"/>
  <c r="D112" i="196"/>
  <c r="B113" i="196"/>
  <c r="D116" i="196"/>
  <c r="D117" i="196"/>
  <c r="D118" i="196"/>
  <c r="D119" i="196"/>
  <c r="D120" i="196"/>
  <c r="D122" i="196"/>
  <c r="D123" i="196"/>
  <c r="D124" i="196"/>
  <c r="D125" i="196"/>
  <c r="D130" i="196"/>
  <c r="D131" i="196"/>
  <c r="D132" i="196"/>
  <c r="G29" i="29"/>
  <c r="E29" i="29"/>
  <c r="G54" i="29"/>
  <c r="G51" i="29"/>
  <c r="G50" i="29"/>
  <c r="G47" i="29"/>
  <c r="G46" i="29"/>
  <c r="G45" i="29"/>
  <c r="G44" i="29"/>
  <c r="G42" i="29"/>
  <c r="G41" i="29"/>
  <c r="G40" i="29"/>
  <c r="G39" i="29"/>
  <c r="G38" i="29"/>
  <c r="G36" i="29"/>
  <c r="G34" i="29"/>
  <c r="G33" i="29"/>
  <c r="G32" i="29"/>
  <c r="G31" i="29"/>
  <c r="G27" i="29"/>
  <c r="G24" i="29"/>
  <c r="G23" i="29"/>
  <c r="G22" i="29"/>
  <c r="G21" i="29"/>
  <c r="G20" i="29"/>
  <c r="G19" i="29"/>
  <c r="G18" i="29"/>
  <c r="G17" i="29"/>
  <c r="G16" i="29"/>
  <c r="G14" i="29"/>
  <c r="G13" i="29"/>
  <c r="G12" i="29"/>
  <c r="G11" i="29"/>
  <c r="G10" i="29"/>
  <c r="G9" i="29"/>
  <c r="G8" i="29"/>
  <c r="G7" i="29"/>
  <c r="D119" i="161"/>
  <c r="C119" i="161"/>
  <c r="B119" i="161"/>
  <c r="D118" i="161"/>
  <c r="C118" i="161"/>
  <c r="B118" i="161"/>
  <c r="D117" i="161"/>
  <c r="C117" i="161"/>
  <c r="B117" i="161"/>
  <c r="D116" i="161"/>
  <c r="C116" i="161"/>
  <c r="B116" i="161"/>
  <c r="D115" i="161"/>
  <c r="C115" i="161"/>
  <c r="B115" i="161"/>
  <c r="D114" i="161"/>
  <c r="C114" i="161"/>
  <c r="B114" i="161"/>
  <c r="D111" i="161"/>
  <c r="C111" i="161"/>
  <c r="B111" i="161"/>
  <c r="D105" i="161"/>
  <c r="C105" i="161"/>
  <c r="B105" i="161"/>
  <c r="D104" i="161"/>
  <c r="C104" i="161"/>
  <c r="B104" i="161"/>
  <c r="D100" i="161"/>
  <c r="C100" i="161"/>
  <c r="B100" i="161"/>
  <c r="D99" i="161"/>
  <c r="C99" i="161"/>
  <c r="B99" i="161"/>
  <c r="D98" i="161"/>
  <c r="C98" i="161"/>
  <c r="B98" i="161"/>
  <c r="D97" i="161"/>
  <c r="C97" i="161"/>
  <c r="B97" i="161"/>
  <c r="D94" i="161"/>
  <c r="C94" i="161"/>
  <c r="B94" i="161"/>
  <c r="D93" i="161"/>
  <c r="C93" i="161"/>
  <c r="B93" i="161"/>
  <c r="D91" i="161"/>
  <c r="C91" i="161"/>
  <c r="B91" i="161"/>
  <c r="D82" i="161"/>
  <c r="C82" i="161"/>
  <c r="B82" i="161"/>
  <c r="D80" i="161"/>
  <c r="C80" i="161"/>
  <c r="B80" i="161"/>
  <c r="D77" i="161"/>
  <c r="C77" i="161"/>
  <c r="B77" i="161"/>
  <c r="D67" i="161"/>
  <c r="C67" i="161"/>
  <c r="B67" i="161"/>
  <c r="B63" i="161"/>
  <c r="C63" i="161"/>
  <c r="D63" i="161"/>
  <c r="D60" i="161"/>
  <c r="C60" i="161"/>
  <c r="B60" i="161"/>
  <c r="D59" i="161"/>
  <c r="C59" i="161"/>
  <c r="B59" i="161"/>
  <c r="D58" i="161"/>
  <c r="C58" i="161"/>
  <c r="B58" i="161"/>
  <c r="D57" i="161"/>
  <c r="C57" i="161"/>
  <c r="B57" i="161"/>
  <c r="D56" i="161"/>
  <c r="C56" i="161"/>
  <c r="B56" i="161"/>
  <c r="D43" i="161"/>
  <c r="C43" i="161"/>
  <c r="B43" i="161"/>
  <c r="D41" i="161"/>
  <c r="C41" i="161"/>
  <c r="B41" i="161"/>
  <c r="C38" i="161"/>
  <c r="B33" i="161"/>
  <c r="C32" i="161"/>
  <c r="B32" i="161"/>
  <c r="D31" i="161"/>
  <c r="C31" i="161"/>
  <c r="B31" i="161"/>
  <c r="D21" i="161"/>
  <c r="C21" i="161"/>
  <c r="B21" i="161"/>
  <c r="D20" i="161"/>
  <c r="C20" i="161"/>
  <c r="B20" i="161"/>
  <c r="D17" i="161"/>
  <c r="C17" i="161"/>
  <c r="B17" i="161"/>
  <c r="D19" i="159"/>
  <c r="D134" i="159"/>
  <c r="D133" i="159"/>
  <c r="D132" i="159"/>
  <c r="D127" i="159"/>
  <c r="D126" i="159"/>
  <c r="D125" i="159"/>
  <c r="D124" i="159"/>
  <c r="D122" i="159"/>
  <c r="D121" i="159"/>
  <c r="D120" i="159"/>
  <c r="D119" i="159"/>
  <c r="D117" i="159"/>
  <c r="D112" i="159"/>
  <c r="D111" i="159"/>
  <c r="D110" i="159"/>
  <c r="D109" i="159"/>
  <c r="D107" i="159"/>
  <c r="D106" i="159"/>
  <c r="D65" i="159"/>
  <c r="D54" i="159"/>
  <c r="D53" i="159"/>
  <c r="D49" i="159"/>
  <c r="D45" i="159"/>
  <c r="D43" i="159"/>
  <c r="D39" i="159"/>
  <c r="D33" i="159"/>
  <c r="D32" i="159"/>
  <c r="D31" i="159"/>
  <c r="D30" i="159"/>
  <c r="D27" i="159"/>
  <c r="D25" i="159"/>
  <c r="D20" i="159"/>
  <c r="D18" i="159"/>
  <c r="D17" i="159"/>
  <c r="D16" i="159"/>
  <c r="D15" i="159"/>
  <c r="D12" i="159"/>
  <c r="D9" i="159"/>
  <c r="D6" i="159"/>
  <c r="E111" i="160"/>
  <c r="E114" i="160"/>
  <c r="J114" i="160" s="1"/>
  <c r="E115" i="160"/>
  <c r="E116" i="160"/>
  <c r="E117" i="160"/>
  <c r="E118" i="160"/>
  <c r="J118" i="160" s="1"/>
  <c r="E119" i="160"/>
  <c r="J97" i="160"/>
  <c r="J105" i="160"/>
  <c r="J57" i="160"/>
  <c r="J43" i="160"/>
  <c r="E31" i="160"/>
  <c r="E32" i="160"/>
  <c r="E33" i="160"/>
  <c r="E37" i="160"/>
  <c r="E38" i="160"/>
  <c r="E17" i="160"/>
  <c r="E22" i="160" s="1"/>
  <c r="E20" i="160"/>
  <c r="J20" i="160" s="1"/>
  <c r="E21" i="160"/>
  <c r="J21" i="160" s="1"/>
  <c r="E7" i="160"/>
  <c r="E8" i="160"/>
  <c r="E9" i="160"/>
  <c r="E10" i="160"/>
  <c r="E11" i="160"/>
  <c r="E12" i="160"/>
  <c r="E13" i="160"/>
  <c r="E14" i="160"/>
  <c r="H22" i="160"/>
  <c r="H23" i="160" s="1"/>
  <c r="H15" i="160"/>
  <c r="G22" i="160"/>
  <c r="G15" i="160"/>
  <c r="F22" i="160"/>
  <c r="F15" i="160"/>
  <c r="J100" i="160"/>
  <c r="J72" i="160"/>
  <c r="F40" i="187"/>
  <c r="E40" i="187"/>
  <c r="D40" i="187"/>
  <c r="E26" i="187"/>
  <c r="D26" i="187"/>
  <c r="F91" i="187"/>
  <c r="F79" i="187"/>
  <c r="F73" i="187"/>
  <c r="F52" i="187"/>
  <c r="F48" i="187"/>
  <c r="F44" i="187"/>
  <c r="F17" i="187"/>
  <c r="E104" i="187"/>
  <c r="E91" i="187"/>
  <c r="E79" i="187"/>
  <c r="E73" i="187"/>
  <c r="E52" i="187"/>
  <c r="E48" i="187"/>
  <c r="E44" i="187"/>
  <c r="E33" i="187"/>
  <c r="E17" i="187"/>
  <c r="E9" i="187"/>
  <c r="D104" i="187"/>
  <c r="D91" i="187"/>
  <c r="D79" i="187"/>
  <c r="D73" i="187"/>
  <c r="D52" i="187"/>
  <c r="D48" i="187"/>
  <c r="D44" i="187"/>
  <c r="D33" i="187"/>
  <c r="D17" i="187"/>
  <c r="D9" i="187"/>
  <c r="E29" i="187"/>
  <c r="D29" i="187"/>
  <c r="D14" i="122"/>
  <c r="D13" i="122"/>
  <c r="D12" i="122"/>
  <c r="D11" i="122"/>
  <c r="D10" i="122"/>
  <c r="D9" i="122"/>
  <c r="D8" i="122"/>
  <c r="D7" i="122"/>
  <c r="D6" i="122"/>
  <c r="D5" i="122"/>
  <c r="B15" i="122"/>
  <c r="E39" i="21"/>
  <c r="B16" i="183"/>
  <c r="C16" i="183"/>
  <c r="C24" i="183" s="1"/>
  <c r="D16" i="183"/>
  <c r="B23" i="183"/>
  <c r="C23" i="183"/>
  <c r="D23" i="183"/>
  <c r="B45" i="183"/>
  <c r="C45" i="183"/>
  <c r="D45" i="183"/>
  <c r="B54" i="183"/>
  <c r="C54" i="183"/>
  <c r="D54" i="183"/>
  <c r="B62" i="183"/>
  <c r="C62" i="183"/>
  <c r="D62" i="183"/>
  <c r="B76" i="183"/>
  <c r="C76" i="183"/>
  <c r="D76" i="183"/>
  <c r="B96" i="183"/>
  <c r="C96" i="183"/>
  <c r="D96" i="183"/>
  <c r="B103" i="183"/>
  <c r="C103" i="183"/>
  <c r="D103" i="183"/>
  <c r="C3" i="181"/>
  <c r="E3" i="181" s="1"/>
  <c r="G3" i="181" s="1"/>
  <c r="I3" i="181" s="1"/>
  <c r="K3" i="181" s="1"/>
  <c r="M3" i="181" s="1"/>
  <c r="D6" i="181"/>
  <c r="F6" i="181"/>
  <c r="J6" i="181"/>
  <c r="D8" i="181"/>
  <c r="F8" i="181"/>
  <c r="J8" i="181"/>
  <c r="D10" i="181"/>
  <c r="F10" i="181"/>
  <c r="J10" i="181"/>
  <c r="D12" i="181"/>
  <c r="F12" i="181"/>
  <c r="J12" i="181"/>
  <c r="D14" i="181"/>
  <c r="F14" i="181"/>
  <c r="J14" i="181"/>
  <c r="D16" i="181"/>
  <c r="F16" i="181"/>
  <c r="J16" i="181"/>
  <c r="D18" i="181"/>
  <c r="I18" i="181"/>
  <c r="D20" i="181"/>
  <c r="F20" i="181"/>
  <c r="J20" i="181"/>
  <c r="D22" i="181"/>
  <c r="F22" i="181"/>
  <c r="J22" i="181"/>
  <c r="D24" i="181"/>
  <c r="F24" i="181"/>
  <c r="I24" i="181"/>
  <c r="F58" i="49"/>
  <c r="E51" i="48"/>
  <c r="E55" i="48" s="1"/>
  <c r="D51" i="48"/>
  <c r="D55" i="48" s="1"/>
  <c r="C51" i="48"/>
  <c r="C55" i="48" s="1"/>
  <c r="B51" i="48"/>
  <c r="B55" i="48" s="1"/>
  <c r="E58" i="49"/>
  <c r="D58" i="49"/>
  <c r="C58" i="49"/>
  <c r="B58" i="49"/>
  <c r="D42" i="50"/>
  <c r="D46" i="50" s="1"/>
  <c r="C42" i="50"/>
  <c r="C46" i="50" s="1"/>
  <c r="B42" i="50"/>
  <c r="B46" i="50" s="1"/>
  <c r="J12" i="27"/>
  <c r="B22" i="160"/>
  <c r="C22" i="160"/>
  <c r="D22" i="160"/>
  <c r="B44" i="160"/>
  <c r="C44" i="160"/>
  <c r="D44" i="160"/>
  <c r="B61" i="160"/>
  <c r="C61" i="160"/>
  <c r="D61" i="160"/>
  <c r="B83" i="160"/>
  <c r="C83" i="160"/>
  <c r="C84" i="160" s="1"/>
  <c r="D83" i="160"/>
  <c r="C15" i="122"/>
  <c r="F51" i="48"/>
  <c r="F55" i="48" s="1"/>
  <c r="B46" i="39"/>
  <c r="B50" i="39" s="1"/>
  <c r="D47" i="39"/>
  <c r="D48" i="39"/>
  <c r="M7" i="33"/>
  <c r="N7" i="33"/>
  <c r="O7" i="33"/>
  <c r="P7" i="33"/>
  <c r="M9" i="33"/>
  <c r="N9" i="33"/>
  <c r="O9" i="33"/>
  <c r="P9" i="33"/>
  <c r="M11" i="33"/>
  <c r="N11" i="33"/>
  <c r="O11" i="33"/>
  <c r="P11" i="33"/>
  <c r="M13" i="33"/>
  <c r="N13" i="33"/>
  <c r="O13" i="33"/>
  <c r="P13" i="33"/>
  <c r="D15" i="33"/>
  <c r="G15" i="33"/>
  <c r="H15" i="33"/>
  <c r="P15" i="33" s="1"/>
  <c r="I15" i="33"/>
  <c r="M15" i="33"/>
  <c r="N15" i="33"/>
  <c r="O15" i="33"/>
  <c r="E6" i="29"/>
  <c r="E7" i="29"/>
  <c r="E8" i="29"/>
  <c r="E9" i="29"/>
  <c r="E10" i="29"/>
  <c r="E11" i="29"/>
  <c r="E12" i="29"/>
  <c r="E13" i="29"/>
  <c r="E14" i="29"/>
  <c r="E16" i="29"/>
  <c r="E17" i="29"/>
  <c r="E18" i="29"/>
  <c r="E19" i="29"/>
  <c r="E20" i="29"/>
  <c r="E21" i="29"/>
  <c r="E22" i="29"/>
  <c r="E23" i="29"/>
  <c r="E24" i="29"/>
  <c r="E27" i="29"/>
  <c r="E31" i="29"/>
  <c r="E32" i="29"/>
  <c r="E33" i="29"/>
  <c r="E34" i="29"/>
  <c r="E36" i="29"/>
  <c r="E38" i="29"/>
  <c r="E39" i="29"/>
  <c r="E40" i="29"/>
  <c r="E41" i="29"/>
  <c r="E42" i="29"/>
  <c r="E44" i="29"/>
  <c r="E45" i="29"/>
  <c r="E46" i="29"/>
  <c r="E47" i="29"/>
  <c r="E50" i="29"/>
  <c r="E51" i="29"/>
  <c r="E54" i="29"/>
  <c r="J6" i="27"/>
  <c r="J8" i="27"/>
  <c r="J10" i="27"/>
  <c r="J14" i="27"/>
  <c r="J16" i="27"/>
  <c r="F18" i="27"/>
  <c r="I18" i="27"/>
  <c r="J20" i="27"/>
  <c r="J22" i="27"/>
  <c r="F24" i="27"/>
  <c r="H24" i="27"/>
  <c r="I24" i="27"/>
  <c r="L24" i="27" s="1"/>
  <c r="J24" i="27"/>
  <c r="H39" i="21"/>
  <c r="B15" i="160"/>
  <c r="C15" i="160"/>
  <c r="D15" i="160"/>
  <c r="J94" i="160"/>
  <c r="S9" i="261"/>
  <c r="Q49" i="261"/>
  <c r="F12" i="196"/>
  <c r="O24" i="237"/>
  <c r="K24" i="237"/>
  <c r="AQ13" i="237"/>
  <c r="H46" i="159"/>
  <c r="O9" i="261"/>
  <c r="H144" i="274"/>
  <c r="I144" i="274" s="1"/>
  <c r="M143" i="274"/>
  <c r="B138" i="274"/>
  <c r="M125" i="274"/>
  <c r="H109" i="274"/>
  <c r="Q104" i="274"/>
  <c r="M104" i="274"/>
  <c r="Q102" i="274"/>
  <c r="Q70" i="274"/>
  <c r="M70" i="274"/>
  <c r="H58" i="274"/>
  <c r="Q57" i="274"/>
  <c r="M57" i="274"/>
  <c r="Q41" i="274"/>
  <c r="M41" i="274"/>
  <c r="Q35" i="274"/>
  <c r="M13" i="274"/>
  <c r="M6" i="274"/>
  <c r="N58" i="274"/>
  <c r="N144" i="274"/>
  <c r="O144" i="274" s="1"/>
  <c r="U78" i="274"/>
  <c r="N24" i="285"/>
  <c r="J24" i="285"/>
  <c r="F24" i="285"/>
  <c r="N15" i="285"/>
  <c r="N6" i="285"/>
  <c r="J6" i="285"/>
  <c r="F6" i="285"/>
  <c r="P24" i="285"/>
  <c r="L24" i="285"/>
  <c r="H24" i="285"/>
  <c r="P6" i="285"/>
  <c r="L6" i="285"/>
  <c r="H6" i="285"/>
  <c r="J26" i="279"/>
  <c r="K58" i="274"/>
  <c r="D85" i="196"/>
  <c r="F85" i="196"/>
  <c r="E101" i="159"/>
  <c r="E50" i="159"/>
  <c r="H50" i="159" s="1"/>
  <c r="E41" i="159"/>
  <c r="C22" i="284"/>
  <c r="D44" i="278"/>
  <c r="J132" i="196"/>
  <c r="O104" i="274"/>
  <c r="O70" i="274"/>
  <c r="O41" i="274"/>
  <c r="O29" i="274"/>
  <c r="K6" i="274"/>
  <c r="H67" i="159"/>
  <c r="F46" i="159"/>
  <c r="F96" i="159"/>
  <c r="E22" i="159"/>
  <c r="J41" i="159"/>
  <c r="J46" i="159"/>
  <c r="J88" i="159"/>
  <c r="J40" i="159"/>
  <c r="J48" i="159"/>
  <c r="J67" i="159"/>
  <c r="J21" i="159"/>
  <c r="W70" i="274"/>
  <c r="W121" i="274"/>
  <c r="O70" i="160"/>
  <c r="K84" i="160"/>
  <c r="C7" i="268"/>
  <c r="Q22" i="308"/>
  <c r="U22" i="308"/>
  <c r="I23" i="308"/>
  <c r="K23" i="308"/>
  <c r="G29" i="308"/>
  <c r="I29" i="308"/>
  <c r="K29" i="308"/>
  <c r="M29" i="308"/>
  <c r="I36" i="308"/>
  <c r="I43" i="308"/>
  <c r="K43" i="308"/>
  <c r="I47" i="308"/>
  <c r="K47" i="308"/>
  <c r="I52" i="308"/>
  <c r="K52" i="308"/>
  <c r="G56" i="308"/>
  <c r="I56" i="308"/>
  <c r="K56" i="308"/>
  <c r="M56" i="308"/>
  <c r="I72" i="308"/>
  <c r="K72" i="308"/>
  <c r="I80" i="308"/>
  <c r="K80" i="308"/>
  <c r="G86" i="308"/>
  <c r="I86" i="308"/>
  <c r="K86" i="308"/>
  <c r="M86" i="308"/>
  <c r="I98" i="308"/>
  <c r="K98" i="308"/>
  <c r="K111" i="308"/>
  <c r="O22" i="308"/>
  <c r="S22" i="308"/>
  <c r="E26" i="268"/>
  <c r="C12" i="268"/>
  <c r="I103" i="196"/>
  <c r="L103" i="196" s="1"/>
  <c r="F49" i="196"/>
  <c r="H49" i="196"/>
  <c r="C103" i="196"/>
  <c r="I26" i="181"/>
  <c r="L26" i="181" s="1"/>
  <c r="W72" i="308"/>
  <c r="U72" i="308"/>
  <c r="S72" i="308"/>
  <c r="Q72" i="308"/>
  <c r="M72" i="308"/>
  <c r="O72" i="308"/>
  <c r="E87" i="308"/>
  <c r="G72" i="308"/>
  <c r="K36" i="308"/>
  <c r="O111" i="308"/>
  <c r="M111" i="308"/>
  <c r="I111" i="308"/>
  <c r="G111" i="308"/>
  <c r="W9" i="308"/>
  <c r="K9" i="308"/>
  <c r="M9" i="308"/>
  <c r="O9" i="308"/>
  <c r="Q9" i="308"/>
  <c r="S9" i="308"/>
  <c r="G9" i="308"/>
  <c r="V112" i="308"/>
  <c r="V87" i="308"/>
  <c r="V57" i="308"/>
  <c r="V30" i="308"/>
  <c r="W86" i="308"/>
  <c r="W56" i="308"/>
  <c r="F67" i="159"/>
  <c r="D40" i="159"/>
  <c r="D46" i="159"/>
  <c r="C26" i="27"/>
  <c r="D18" i="27"/>
  <c r="E26" i="27"/>
  <c r="F26" i="27" s="1"/>
  <c r="H18" i="27"/>
  <c r="J93" i="160"/>
  <c r="J70" i="160"/>
  <c r="D94" i="196"/>
  <c r="D33" i="196"/>
  <c r="Q7" i="239"/>
  <c r="O7" i="239"/>
  <c r="M107" i="160"/>
  <c r="N22" i="160"/>
  <c r="T22" i="160" s="1"/>
  <c r="J80" i="160"/>
  <c r="E75" i="160"/>
  <c r="E83" i="160"/>
  <c r="J44" i="183"/>
  <c r="Y17" i="160"/>
  <c r="Y53" i="160"/>
  <c r="Y77" i="160"/>
  <c r="Y91" i="160"/>
  <c r="Y93" i="160"/>
  <c r="Y105" i="160"/>
  <c r="T56" i="160"/>
  <c r="T97" i="160"/>
  <c r="I61" i="160"/>
  <c r="O77" i="160"/>
  <c r="O59" i="160"/>
  <c r="T116" i="160"/>
  <c r="T77" i="160"/>
  <c r="T82" i="160"/>
  <c r="T52" i="160"/>
  <c r="Y116" i="160"/>
  <c r="T105" i="160"/>
  <c r="T93" i="160"/>
  <c r="T94" i="160"/>
  <c r="S54" i="160"/>
  <c r="T34" i="160"/>
  <c r="Y94" i="183"/>
  <c r="Y107" i="183"/>
  <c r="O53" i="183"/>
  <c r="O101" i="183"/>
  <c r="X13" i="27"/>
  <c r="Y13" i="27"/>
  <c r="H26" i="27"/>
  <c r="B26" i="27"/>
  <c r="D24" i="27"/>
  <c r="G26" i="181"/>
  <c r="J26" i="181"/>
  <c r="E26" i="181"/>
  <c r="H26" i="181"/>
  <c r="F18" i="181"/>
  <c r="F26" i="181"/>
  <c r="N138" i="274"/>
  <c r="Q144" i="274"/>
  <c r="G144" i="274"/>
  <c r="K22" i="274"/>
  <c r="U29" i="274"/>
  <c r="U70" i="274"/>
  <c r="R110" i="274"/>
  <c r="W53" i="274"/>
  <c r="W29" i="274"/>
  <c r="T138" i="274"/>
  <c r="G137" i="274"/>
  <c r="K98" i="274"/>
  <c r="O96" i="274"/>
  <c r="K96" i="274"/>
  <c r="K70" i="274"/>
  <c r="G70" i="274"/>
  <c r="I53" i="274"/>
  <c r="Q25" i="274"/>
  <c r="G13" i="274"/>
  <c r="U43" i="274"/>
  <c r="P110" i="274"/>
  <c r="W49" i="274"/>
  <c r="Q13" i="274"/>
  <c r="O13" i="274"/>
  <c r="O57" i="274"/>
  <c r="P71" i="274"/>
  <c r="W15" i="274"/>
  <c r="Y6" i="274"/>
  <c r="U18" i="274"/>
  <c r="U16" i="274"/>
  <c r="Y29" i="274"/>
  <c r="Y49" i="274"/>
  <c r="Y70" i="274"/>
  <c r="Y121" i="274"/>
  <c r="AB110" i="274"/>
  <c r="X110" i="274"/>
  <c r="AA58" i="274"/>
  <c r="AC53" i="274"/>
  <c r="AC49" i="274"/>
  <c r="AA49" i="274"/>
  <c r="Z71" i="274"/>
  <c r="X71" i="274"/>
  <c r="AC29" i="274"/>
  <c r="AA29" i="274"/>
  <c r="AA22" i="274"/>
  <c r="AC144" i="274"/>
  <c r="Y144" i="274"/>
  <c r="Y109" i="274"/>
  <c r="AC70" i="274"/>
  <c r="AA70" i="274"/>
  <c r="Z36" i="274"/>
  <c r="X13" i="274"/>
  <c r="J55" i="159"/>
  <c r="J86" i="159"/>
  <c r="O49" i="261"/>
  <c r="Y43" i="308"/>
  <c r="W43" i="308"/>
  <c r="N57" i="308"/>
  <c r="S43" i="308"/>
  <c r="U43" i="308"/>
  <c r="J57" i="308"/>
  <c r="O43" i="308"/>
  <c r="Q43" i="308"/>
  <c r="M43" i="308"/>
  <c r="AC36" i="308"/>
  <c r="AB112" i="308"/>
  <c r="Z112" i="308"/>
  <c r="Y98" i="308"/>
  <c r="X112" i="308"/>
  <c r="AC98" i="308"/>
  <c r="AC80" i="308"/>
  <c r="AA80" i="308"/>
  <c r="AB87" i="308"/>
  <c r="Z87" i="308"/>
  <c r="AA72" i="308"/>
  <c r="X87" i="308"/>
  <c r="AC72" i="308"/>
  <c r="AA52" i="308"/>
  <c r="AC52" i="308"/>
  <c r="Y47" i="308"/>
  <c r="AA47" i="308"/>
  <c r="AC43" i="308"/>
  <c r="AA43" i="308"/>
  <c r="AB57" i="308"/>
  <c r="Z57" i="308"/>
  <c r="AC57" i="308" s="1"/>
  <c r="AA36" i="308"/>
  <c r="X57" i="308"/>
  <c r="AA29" i="308"/>
  <c r="Y23" i="308"/>
  <c r="AC23" i="308"/>
  <c r="AA18" i="308"/>
  <c r="AC18" i="308"/>
  <c r="AB30" i="308"/>
  <c r="AK30" i="308" s="1"/>
  <c r="Z30" i="308"/>
  <c r="AA9" i="308"/>
  <c r="AC9" i="308"/>
  <c r="X30" i="308"/>
  <c r="X113" i="308" s="1"/>
  <c r="AC111" i="308"/>
  <c r="AA111" i="308"/>
  <c r="Y111" i="308"/>
  <c r="AC86" i="308"/>
  <c r="AA86" i="308"/>
  <c r="Y86" i="308"/>
  <c r="AC56" i="308"/>
  <c r="AA56" i="308"/>
  <c r="Y56" i="308"/>
  <c r="AC29" i="308"/>
  <c r="J50" i="39"/>
  <c r="J102" i="196"/>
  <c r="D66" i="196"/>
  <c r="D43" i="196"/>
  <c r="B133" i="196"/>
  <c r="D58" i="196"/>
  <c r="F129" i="196"/>
  <c r="H25" i="196"/>
  <c r="H133" i="196"/>
  <c r="J58" i="196"/>
  <c r="J56" i="196"/>
  <c r="J33" i="196"/>
  <c r="J27" i="196"/>
  <c r="H102" i="196"/>
  <c r="H94" i="196"/>
  <c r="H66" i="196"/>
  <c r="H56" i="196"/>
  <c r="H51" i="196"/>
  <c r="H43" i="196"/>
  <c r="J41" i="196"/>
  <c r="H33" i="196"/>
  <c r="F41" i="196"/>
  <c r="F133" i="196"/>
  <c r="F113" i="196"/>
  <c r="H113" i="196"/>
  <c r="D133" i="196"/>
  <c r="F103" i="196"/>
  <c r="AI30" i="308" l="1"/>
  <c r="C123" i="184"/>
  <c r="X123" i="183"/>
  <c r="K123" i="184"/>
  <c r="Q123" i="184"/>
  <c r="W123" i="184"/>
  <c r="O107" i="183"/>
  <c r="M123" i="184"/>
  <c r="Y53" i="183"/>
  <c r="S103" i="183"/>
  <c r="Q24" i="183"/>
  <c r="J36" i="183"/>
  <c r="O75" i="183"/>
  <c r="O21" i="183"/>
  <c r="N33" i="309"/>
  <c r="S19" i="309"/>
  <c r="C138" i="274"/>
  <c r="AA121" i="274"/>
  <c r="V138" i="274"/>
  <c r="AC121" i="274"/>
  <c r="D113" i="159"/>
  <c r="T37" i="160"/>
  <c r="J37" i="160"/>
  <c r="T9" i="160"/>
  <c r="O111" i="160"/>
  <c r="I121" i="160"/>
  <c r="N121" i="160"/>
  <c r="O97" i="160"/>
  <c r="Q23" i="160"/>
  <c r="AD111" i="160"/>
  <c r="X121" i="160"/>
  <c r="J82" i="160"/>
  <c r="O31" i="160"/>
  <c r="N106" i="160"/>
  <c r="J60" i="160"/>
  <c r="C107" i="160"/>
  <c r="S106" i="160"/>
  <c r="Y111" i="160"/>
  <c r="S121" i="160"/>
  <c r="E101" i="160"/>
  <c r="F23" i="160"/>
  <c r="T43" i="160"/>
  <c r="X22" i="160"/>
  <c r="AD22" i="160" s="1"/>
  <c r="J56" i="160"/>
  <c r="X106" i="160"/>
  <c r="U106" i="161"/>
  <c r="E106" i="160"/>
  <c r="P106" i="161"/>
  <c r="L84" i="160"/>
  <c r="I83" i="160"/>
  <c r="F84" i="160"/>
  <c r="H84" i="160"/>
  <c r="D84" i="160"/>
  <c r="M84" i="160"/>
  <c r="B106" i="161"/>
  <c r="P121" i="161"/>
  <c r="U121" i="161"/>
  <c r="B121" i="161"/>
  <c r="Y34" i="160"/>
  <c r="F106" i="161"/>
  <c r="K121" i="161"/>
  <c r="V15" i="310"/>
  <c r="S49" i="261"/>
  <c r="M49" i="261"/>
  <c r="AB51" i="261"/>
  <c r="AK51" i="261" s="1"/>
  <c r="AI47" i="261"/>
  <c r="AG47" i="261"/>
  <c r="J47" i="261"/>
  <c r="J51" i="261" s="1"/>
  <c r="K9" i="261"/>
  <c r="B53" i="187"/>
  <c r="E127" i="196"/>
  <c r="B127" i="196"/>
  <c r="D127" i="196" s="1"/>
  <c r="G123" i="184"/>
  <c r="B123" i="184"/>
  <c r="F123" i="184"/>
  <c r="L123" i="184"/>
  <c r="P123" i="184"/>
  <c r="V123" i="184"/>
  <c r="D123" i="184"/>
  <c r="H123" i="184"/>
  <c r="R123" i="184"/>
  <c r="O22" i="183"/>
  <c r="O71" i="183"/>
  <c r="O42" i="183"/>
  <c r="J101" i="183"/>
  <c r="J79" i="183"/>
  <c r="J33" i="183"/>
  <c r="J106" i="183"/>
  <c r="J100" i="183"/>
  <c r="J94" i="183"/>
  <c r="J14" i="183"/>
  <c r="J9" i="183"/>
  <c r="J21" i="183"/>
  <c r="K85" i="183"/>
  <c r="K24" i="183"/>
  <c r="O58" i="183"/>
  <c r="O38" i="183"/>
  <c r="T120" i="183"/>
  <c r="T116" i="183"/>
  <c r="O52" i="183"/>
  <c r="J81" i="183"/>
  <c r="O119" i="183"/>
  <c r="I23" i="183"/>
  <c r="B109" i="183"/>
  <c r="E84" i="183"/>
  <c r="E69" i="183"/>
  <c r="J69" i="183" s="1"/>
  <c r="J52" i="183"/>
  <c r="O102" i="183"/>
  <c r="O99" i="183"/>
  <c r="O73" i="183"/>
  <c r="I54" i="183"/>
  <c r="T72" i="183"/>
  <c r="T81" i="183"/>
  <c r="T74" i="183"/>
  <c r="S69" i="183"/>
  <c r="S84" i="183"/>
  <c r="E123" i="183"/>
  <c r="L85" i="183"/>
  <c r="I84" i="183"/>
  <c r="T98" i="183"/>
  <c r="J22" i="183"/>
  <c r="H109" i="183"/>
  <c r="J95" i="183"/>
  <c r="M109" i="183"/>
  <c r="O98" i="183"/>
  <c r="T44" i="183"/>
  <c r="T64" i="183"/>
  <c r="N69" i="183"/>
  <c r="O79" i="183"/>
  <c r="N84" i="183"/>
  <c r="O84" i="183" s="1"/>
  <c r="T100" i="183"/>
  <c r="T19" i="183"/>
  <c r="X69" i="183"/>
  <c r="X84" i="183"/>
  <c r="AD84" i="183" s="1"/>
  <c r="X108" i="183"/>
  <c r="T114" i="183"/>
  <c r="N123" i="183"/>
  <c r="J118" i="183"/>
  <c r="I123" i="183"/>
  <c r="J114" i="183"/>
  <c r="J56" i="183"/>
  <c r="O11" i="183"/>
  <c r="J11" i="183"/>
  <c r="T117" i="183"/>
  <c r="O114" i="183"/>
  <c r="X40" i="183"/>
  <c r="Y114" i="183"/>
  <c r="O33" i="183"/>
  <c r="O9" i="183"/>
  <c r="J37" i="183"/>
  <c r="C84" i="184"/>
  <c r="B108" i="184"/>
  <c r="G84" i="184"/>
  <c r="L84" i="184"/>
  <c r="K108" i="184"/>
  <c r="P84" i="184"/>
  <c r="V84" i="184"/>
  <c r="D24" i="183"/>
  <c r="R84" i="184"/>
  <c r="B84" i="184"/>
  <c r="H84" i="184"/>
  <c r="K84" i="184"/>
  <c r="U84" i="184"/>
  <c r="D84" i="184"/>
  <c r="F84" i="184"/>
  <c r="M84" i="184"/>
  <c r="Q84" i="184"/>
  <c r="P108" i="184"/>
  <c r="W84" i="184"/>
  <c r="V108" i="184"/>
  <c r="B24" i="183"/>
  <c r="F108" i="184"/>
  <c r="L40" i="184"/>
  <c r="L45" i="184" s="1"/>
  <c r="T37" i="183"/>
  <c r="R108" i="184"/>
  <c r="C40" i="184"/>
  <c r="C45" i="184" s="1"/>
  <c r="T39" i="183"/>
  <c r="T59" i="183"/>
  <c r="T15" i="183"/>
  <c r="Q40" i="184"/>
  <c r="Q45" i="184" s="1"/>
  <c r="W40" i="184"/>
  <c r="W45" i="184" s="1"/>
  <c r="F56" i="29"/>
  <c r="G56" i="29" s="1"/>
  <c r="H56" i="29"/>
  <c r="R36" i="274"/>
  <c r="U13" i="274"/>
  <c r="S13" i="274"/>
  <c r="AI110" i="274"/>
  <c r="W144" i="274"/>
  <c r="E138" i="274"/>
  <c r="U35" i="274"/>
  <c r="W35" i="274"/>
  <c r="V110" i="274"/>
  <c r="AI13" i="274"/>
  <c r="AI43" i="274"/>
  <c r="AI109" i="274"/>
  <c r="AI121" i="274"/>
  <c r="AB36" i="274"/>
  <c r="AC109" i="274"/>
  <c r="Z138" i="274"/>
  <c r="Z145" i="274" s="1"/>
  <c r="Y53" i="274"/>
  <c r="U6" i="274"/>
  <c r="AB138" i="274"/>
  <c r="M25" i="274"/>
  <c r="W58" i="274"/>
  <c r="U49" i="274"/>
  <c r="K144" i="274"/>
  <c r="O78" i="274"/>
  <c r="U80" i="274"/>
  <c r="Q6" i="274"/>
  <c r="Q78" i="274"/>
  <c r="Q143" i="274"/>
  <c r="S102" i="274"/>
  <c r="S80" i="274"/>
  <c r="D71" i="274"/>
  <c r="F36" i="274"/>
  <c r="S17" i="274"/>
  <c r="O15" i="274"/>
  <c r="U45" i="274"/>
  <c r="L138" i="274"/>
  <c r="T36" i="274"/>
  <c r="AC137" i="274"/>
  <c r="O35" i="274"/>
  <c r="AI22" i="274"/>
  <c r="AI53" i="274"/>
  <c r="AI58" i="274"/>
  <c r="AI93" i="274"/>
  <c r="AI102" i="274"/>
  <c r="AB71" i="274"/>
  <c r="AI71" i="274" s="1"/>
  <c r="Z110" i="274"/>
  <c r="AA110" i="274" s="1"/>
  <c r="W17" i="274"/>
  <c r="K78" i="274"/>
  <c r="O98" i="274"/>
  <c r="O143" i="274"/>
  <c r="M35" i="274"/>
  <c r="S143" i="274"/>
  <c r="F138" i="274"/>
  <c r="G121" i="274"/>
  <c r="B71" i="274"/>
  <c r="K48" i="274"/>
  <c r="I43" i="274"/>
  <c r="U109" i="274"/>
  <c r="Y22" i="274"/>
  <c r="AI35" i="274"/>
  <c r="AI137" i="274"/>
  <c r="AA137" i="274"/>
  <c r="AI36" i="274"/>
  <c r="I102" i="159"/>
  <c r="J94" i="159"/>
  <c r="F22" i="159"/>
  <c r="G68" i="159"/>
  <c r="D21" i="159"/>
  <c r="B129" i="159"/>
  <c r="C68" i="159"/>
  <c r="F41" i="159"/>
  <c r="C35" i="159"/>
  <c r="E129" i="159"/>
  <c r="G102" i="159"/>
  <c r="J22" i="159"/>
  <c r="D26" i="159"/>
  <c r="B28" i="159"/>
  <c r="D28" i="159" s="1"/>
  <c r="H41" i="159"/>
  <c r="H121" i="161"/>
  <c r="C121" i="161"/>
  <c r="G121" i="161"/>
  <c r="Q121" i="161"/>
  <c r="V121" i="161"/>
  <c r="G106" i="161"/>
  <c r="M106" i="161"/>
  <c r="L121" i="161"/>
  <c r="D121" i="161"/>
  <c r="F121" i="161"/>
  <c r="M121" i="161"/>
  <c r="R121" i="161"/>
  <c r="W121" i="161"/>
  <c r="Y38" i="160"/>
  <c r="T114" i="160"/>
  <c r="Y118" i="160"/>
  <c r="T35" i="160"/>
  <c r="Y114" i="160"/>
  <c r="D106" i="161"/>
  <c r="H106" i="161"/>
  <c r="L106" i="161"/>
  <c r="O36" i="160"/>
  <c r="R106" i="161"/>
  <c r="W106" i="161"/>
  <c r="Y115" i="160"/>
  <c r="E121" i="160"/>
  <c r="C106" i="161"/>
  <c r="O38" i="160"/>
  <c r="T117" i="160"/>
  <c r="T7" i="160"/>
  <c r="T11" i="160"/>
  <c r="K106" i="161"/>
  <c r="J34" i="160"/>
  <c r="T36" i="160"/>
  <c r="Y119" i="160"/>
  <c r="Q106" i="161"/>
  <c r="V106" i="161"/>
  <c r="T38" i="160"/>
  <c r="J8" i="160"/>
  <c r="T32" i="160"/>
  <c r="B23" i="160"/>
  <c r="Y9" i="160"/>
  <c r="Y13" i="160"/>
  <c r="R83" i="161"/>
  <c r="J9" i="160"/>
  <c r="J83" i="160"/>
  <c r="H124" i="160"/>
  <c r="T57" i="160"/>
  <c r="O80" i="160"/>
  <c r="T70" i="160"/>
  <c r="O73" i="160"/>
  <c r="N101" i="160"/>
  <c r="N107" i="160" s="1"/>
  <c r="J51" i="160"/>
  <c r="J33" i="160"/>
  <c r="T31" i="160"/>
  <c r="T100" i="160"/>
  <c r="T14" i="160"/>
  <c r="K107" i="160"/>
  <c r="K124" i="160" s="1"/>
  <c r="P23" i="160"/>
  <c r="T91" i="160"/>
  <c r="Q107" i="160"/>
  <c r="N118" i="161"/>
  <c r="P84" i="160"/>
  <c r="I54" i="160"/>
  <c r="I22" i="160"/>
  <c r="O22" i="160" s="1"/>
  <c r="E61" i="160"/>
  <c r="J61" i="160" s="1"/>
  <c r="N61" i="160"/>
  <c r="O61" i="160" s="1"/>
  <c r="G23" i="160"/>
  <c r="J38" i="160"/>
  <c r="O100" i="160"/>
  <c r="J32" i="160"/>
  <c r="J77" i="160"/>
  <c r="T98" i="160"/>
  <c r="N83" i="160"/>
  <c r="N54" i="160"/>
  <c r="J71" i="160"/>
  <c r="J36" i="160"/>
  <c r="O74" i="160"/>
  <c r="D95" i="161"/>
  <c r="E98" i="161"/>
  <c r="E105" i="161"/>
  <c r="E41" i="161"/>
  <c r="E58" i="161"/>
  <c r="E91" i="161"/>
  <c r="E116" i="161"/>
  <c r="E15" i="160"/>
  <c r="E23" i="160" s="1"/>
  <c r="T12" i="160"/>
  <c r="D39" i="161"/>
  <c r="D44" i="161" s="1"/>
  <c r="U11" i="239"/>
  <c r="AF12" i="239"/>
  <c r="E11" i="239"/>
  <c r="AF5" i="239"/>
  <c r="K33" i="309"/>
  <c r="R19" i="309"/>
  <c r="O33" i="309"/>
  <c r="O34" i="309" s="1"/>
  <c r="V15" i="309"/>
  <c r="J33" i="309"/>
  <c r="H19" i="309"/>
  <c r="E19" i="309"/>
  <c r="U19" i="309" s="1"/>
  <c r="D19" i="309"/>
  <c r="D34" i="309" s="1"/>
  <c r="B33" i="309"/>
  <c r="C34" i="309"/>
  <c r="T9" i="309"/>
  <c r="T14" i="309" s="1"/>
  <c r="E53" i="29"/>
  <c r="E52" i="29"/>
  <c r="C56" i="29"/>
  <c r="E56" i="29" s="1"/>
  <c r="I53" i="29"/>
  <c r="K52" i="29"/>
  <c r="AE30" i="308"/>
  <c r="AG30" i="308"/>
  <c r="AE93" i="274"/>
  <c r="AC93" i="274"/>
  <c r="H85" i="196"/>
  <c r="G127" i="196"/>
  <c r="B103" i="196"/>
  <c r="D103" i="196" s="1"/>
  <c r="AA35" i="274"/>
  <c r="W102" i="274"/>
  <c r="G58" i="274"/>
  <c r="W93" i="274"/>
  <c r="I121" i="274"/>
  <c r="D6" i="278"/>
  <c r="Q125" i="274"/>
  <c r="E107" i="160"/>
  <c r="AP11" i="237"/>
  <c r="AQ11" i="237"/>
  <c r="T60" i="160"/>
  <c r="O60" i="160"/>
  <c r="J18" i="160"/>
  <c r="O52" i="160"/>
  <c r="J52" i="160"/>
  <c r="I13" i="274"/>
  <c r="S53" i="274"/>
  <c r="Y41" i="160"/>
  <c r="AE87" i="308"/>
  <c r="AG87" i="308"/>
  <c r="H20" i="196"/>
  <c r="J20" i="196"/>
  <c r="W43" i="274"/>
  <c r="Y43" i="274"/>
  <c r="G103" i="196"/>
  <c r="D52" i="278"/>
  <c r="L18" i="27"/>
  <c r="J18" i="27"/>
  <c r="I26" i="27"/>
  <c r="J111" i="160"/>
  <c r="Q48" i="261"/>
  <c r="O48" i="261"/>
  <c r="N51" i="261"/>
  <c r="H40" i="184"/>
  <c r="H45" i="184" s="1"/>
  <c r="U121" i="274"/>
  <c r="R71" i="274"/>
  <c r="Y58" i="274"/>
  <c r="S144" i="274"/>
  <c r="R145" i="274"/>
  <c r="U137" i="274"/>
  <c r="W137" i="274"/>
  <c r="Y137" i="274"/>
  <c r="T145" i="274"/>
  <c r="X36" i="274"/>
  <c r="X145" i="274" s="1"/>
  <c r="I125" i="274"/>
  <c r="H137" i="274"/>
  <c r="K125" i="274"/>
  <c r="AC102" i="274"/>
  <c r="AA102" i="274"/>
  <c r="AE6" i="274"/>
  <c r="V13" i="274"/>
  <c r="V36" i="274" s="1"/>
  <c r="AE36" i="274" s="1"/>
  <c r="W6" i="274"/>
  <c r="J126" i="196"/>
  <c r="I127" i="196"/>
  <c r="AC43" i="274"/>
  <c r="AC6" i="274"/>
  <c r="J54" i="160"/>
  <c r="J24" i="181"/>
  <c r="L24" i="181"/>
  <c r="B67" i="196"/>
  <c r="J113" i="196"/>
  <c r="AA87" i="308"/>
  <c r="AB113" i="308"/>
  <c r="AK113" i="308" s="1"/>
  <c r="AE112" i="308"/>
  <c r="AG112" i="308"/>
  <c r="AC35" i="274"/>
  <c r="AA43" i="274"/>
  <c r="AG110" i="274"/>
  <c r="Y93" i="274"/>
  <c r="Y35" i="274"/>
  <c r="AA6" i="274"/>
  <c r="E35" i="159"/>
  <c r="F35" i="159" s="1"/>
  <c r="D26" i="27"/>
  <c r="D113" i="196"/>
  <c r="C102" i="159"/>
  <c r="F102" i="159" s="1"/>
  <c r="I58" i="274"/>
  <c r="J99" i="160"/>
  <c r="D10" i="196"/>
  <c r="C34" i="196"/>
  <c r="F20" i="196"/>
  <c r="J57" i="183"/>
  <c r="D40" i="184"/>
  <c r="D45" i="184" s="1"/>
  <c r="C108" i="184"/>
  <c r="AN15" i="237"/>
  <c r="O41" i="160"/>
  <c r="G53" i="274"/>
  <c r="Q45" i="274"/>
  <c r="M45" i="274"/>
  <c r="J73" i="160"/>
  <c r="I75" i="160"/>
  <c r="H129" i="159"/>
  <c r="Q58" i="274"/>
  <c r="M58" i="274"/>
  <c r="J121" i="274"/>
  <c r="Q118" i="274"/>
  <c r="K118" i="274"/>
  <c r="S118" i="274"/>
  <c r="O118" i="274"/>
  <c r="Q92" i="274"/>
  <c r="M92" i="274"/>
  <c r="O92" i="274"/>
  <c r="S109" i="274"/>
  <c r="E9" i="161"/>
  <c r="D86" i="159"/>
  <c r="K40" i="184"/>
  <c r="K45" i="184" s="1"/>
  <c r="F94" i="196"/>
  <c r="S48" i="261"/>
  <c r="AA47" i="261"/>
  <c r="AD21" i="160"/>
  <c r="Y21" i="160"/>
  <c r="AG43" i="274"/>
  <c r="AG109" i="274"/>
  <c r="AG121" i="274"/>
  <c r="AE56" i="308"/>
  <c r="AG56" i="308"/>
  <c r="AG80" i="308"/>
  <c r="AE80" i="308"/>
  <c r="G47" i="196"/>
  <c r="J43" i="196"/>
  <c r="B84" i="160"/>
  <c r="B124" i="160" s="1"/>
  <c r="J18" i="181"/>
  <c r="L18" i="181"/>
  <c r="F85" i="183"/>
  <c r="D108" i="184"/>
  <c r="AN11" i="237"/>
  <c r="AJ11" i="237"/>
  <c r="M23" i="160"/>
  <c r="M124" i="160" s="1"/>
  <c r="D50" i="159"/>
  <c r="D34" i="159"/>
  <c r="G51" i="261"/>
  <c r="O106" i="183"/>
  <c r="G40" i="184"/>
  <c r="G45" i="184" s="1"/>
  <c r="H108" i="184"/>
  <c r="M40" i="184"/>
  <c r="M45" i="184" s="1"/>
  <c r="L108" i="184"/>
  <c r="D138" i="274"/>
  <c r="G138" i="274" s="1"/>
  <c r="D110" i="274"/>
  <c r="K104" i="274"/>
  <c r="I98" i="274"/>
  <c r="E71" i="274"/>
  <c r="M53" i="274"/>
  <c r="O48" i="274"/>
  <c r="K18" i="274"/>
  <c r="I6" i="274"/>
  <c r="J10" i="196"/>
  <c r="Y43" i="160"/>
  <c r="Y100" i="160"/>
  <c r="U144" i="274"/>
  <c r="AG57" i="308"/>
  <c r="AE57" i="308"/>
  <c r="AG138" i="274"/>
  <c r="F124" i="160"/>
  <c r="O106" i="160"/>
  <c r="E21" i="161"/>
  <c r="E94" i="161"/>
  <c r="E114" i="161"/>
  <c r="F102" i="196"/>
  <c r="F24" i="183"/>
  <c r="J102" i="183"/>
  <c r="B40" i="184"/>
  <c r="B45" i="184" s="1"/>
  <c r="E24" i="237"/>
  <c r="AL12" i="237"/>
  <c r="G80" i="187"/>
  <c r="J115" i="160"/>
  <c r="O43" i="160"/>
  <c r="O33" i="160"/>
  <c r="O12" i="160"/>
  <c r="O8" i="160"/>
  <c r="T99" i="160"/>
  <c r="O53" i="160"/>
  <c r="F113" i="159"/>
  <c r="D101" i="159"/>
  <c r="D94" i="159"/>
  <c r="K109" i="183"/>
  <c r="K126" i="183" s="1"/>
  <c r="F40" i="184"/>
  <c r="F45" i="184" s="1"/>
  <c r="G108" i="184"/>
  <c r="M108" i="184"/>
  <c r="I143" i="274"/>
  <c r="K41" i="274"/>
  <c r="C36" i="274"/>
  <c r="S6" i="274"/>
  <c r="H41" i="196"/>
  <c r="B35" i="300"/>
  <c r="Q111" i="308"/>
  <c r="D25" i="196"/>
  <c r="B27" i="196"/>
  <c r="N11" i="239"/>
  <c r="AF10" i="239" s="1"/>
  <c r="O5" i="239"/>
  <c r="Y14" i="160"/>
  <c r="Q84" i="160"/>
  <c r="Y97" i="160"/>
  <c r="S101" i="160"/>
  <c r="W13" i="181"/>
  <c r="Y13" i="181"/>
  <c r="D131" i="159"/>
  <c r="S15" i="160"/>
  <c r="S23" i="160" s="1"/>
  <c r="Y57" i="160"/>
  <c r="Y73" i="160"/>
  <c r="Y7" i="160"/>
  <c r="Y73" i="183"/>
  <c r="Y75" i="183"/>
  <c r="Y79" i="183"/>
  <c r="Y92" i="183"/>
  <c r="Y100" i="183"/>
  <c r="Y106" i="183"/>
  <c r="R40" i="184"/>
  <c r="R45" i="184" s="1"/>
  <c r="Q108" i="184"/>
  <c r="W108" i="184"/>
  <c r="J135" i="159"/>
  <c r="AG22" i="274"/>
  <c r="AG137" i="274"/>
  <c r="AE36" i="308"/>
  <c r="AG36" i="308"/>
  <c r="AG47" i="308"/>
  <c r="AE47" i="308"/>
  <c r="AE52" i="308"/>
  <c r="AG52" i="308"/>
  <c r="AG72" i="308"/>
  <c r="AE72" i="308"/>
  <c r="AG86" i="308"/>
  <c r="AE86" i="308"/>
  <c r="AG98" i="308"/>
  <c r="AE98" i="308"/>
  <c r="AE111" i="308"/>
  <c r="AG111" i="308"/>
  <c r="G80" i="308"/>
  <c r="S111" i="308"/>
  <c r="G36" i="308"/>
  <c r="M36" i="308"/>
  <c r="J34" i="159"/>
  <c r="O34" i="160"/>
  <c r="I33" i="161"/>
  <c r="U23" i="310"/>
  <c r="Y104" i="160"/>
  <c r="U40" i="184"/>
  <c r="U45" i="184" s="1"/>
  <c r="AG29" i="274"/>
  <c r="AG53" i="274"/>
  <c r="AG58" i="274"/>
  <c r="AG93" i="274"/>
  <c r="AG102" i="274"/>
  <c r="AG144" i="274"/>
  <c r="AE23" i="308"/>
  <c r="AG23" i="308"/>
  <c r="AE43" i="308"/>
  <c r="AG43" i="308"/>
  <c r="F25" i="196"/>
  <c r="E27" i="196"/>
  <c r="C25" i="296"/>
  <c r="C38" i="296" s="1"/>
  <c r="C45" i="296" s="1"/>
  <c r="C49" i="296" s="1"/>
  <c r="E30" i="308"/>
  <c r="F30" i="308"/>
  <c r="P57" i="308"/>
  <c r="M80" i="308"/>
  <c r="S80" i="308"/>
  <c r="C112" i="308"/>
  <c r="G112" i="308" s="1"/>
  <c r="H112" i="308"/>
  <c r="P112" i="308"/>
  <c r="Y10" i="160"/>
  <c r="S39" i="160"/>
  <c r="P107" i="160"/>
  <c r="P124" i="160" s="1"/>
  <c r="T106" i="160"/>
  <c r="V107" i="160"/>
  <c r="Y19" i="183"/>
  <c r="Y22" i="183"/>
  <c r="Y44" i="183"/>
  <c r="Y72" i="183"/>
  <c r="Y81" i="183"/>
  <c r="Y99" i="183"/>
  <c r="S108" i="183"/>
  <c r="P40" i="184"/>
  <c r="P45" i="184" s="1"/>
  <c r="V40" i="184"/>
  <c r="V45" i="184" s="1"/>
  <c r="U108" i="184"/>
  <c r="AG13" i="274"/>
  <c r="AG35" i="274"/>
  <c r="AE140" i="274"/>
  <c r="AG140" i="274"/>
  <c r="K105" i="187"/>
  <c r="AE9" i="308"/>
  <c r="AG9" i="308"/>
  <c r="AE18" i="308"/>
  <c r="AG18" i="308"/>
  <c r="AG29" i="308"/>
  <c r="AE29" i="308"/>
  <c r="J119" i="183"/>
  <c r="O121" i="183"/>
  <c r="O14" i="183"/>
  <c r="Y121" i="183"/>
  <c r="O118" i="183"/>
  <c r="Y116" i="183"/>
  <c r="Y120" i="183"/>
  <c r="W85" i="183"/>
  <c r="Q85" i="183"/>
  <c r="G85" i="183"/>
  <c r="T33" i="183"/>
  <c r="T61" i="183"/>
  <c r="T57" i="183"/>
  <c r="I40" i="183"/>
  <c r="I45" i="183" s="1"/>
  <c r="N40" i="183"/>
  <c r="E40" i="183"/>
  <c r="T12" i="183"/>
  <c r="S40" i="183"/>
  <c r="Y34" i="183"/>
  <c r="Y36" i="183"/>
  <c r="Y38" i="183"/>
  <c r="Y60" i="183"/>
  <c r="J15" i="183"/>
  <c r="J10" i="183"/>
  <c r="D109" i="183"/>
  <c r="H24" i="183"/>
  <c r="E76" i="183"/>
  <c r="L109" i="183"/>
  <c r="M85" i="183"/>
  <c r="M126" i="183" s="1"/>
  <c r="I108" i="183"/>
  <c r="T107" i="183"/>
  <c r="N108" i="183"/>
  <c r="E23" i="183"/>
  <c r="O117" i="183"/>
  <c r="J121" i="183"/>
  <c r="H85" i="183"/>
  <c r="J107" i="183"/>
  <c r="E108" i="183"/>
  <c r="J92" i="183"/>
  <c r="Y21" i="183"/>
  <c r="Y35" i="183"/>
  <c r="T83" i="183"/>
  <c r="T95" i="183"/>
  <c r="T102" i="183"/>
  <c r="O44" i="183"/>
  <c r="N54" i="183"/>
  <c r="N23" i="183"/>
  <c r="Y71" i="183"/>
  <c r="T79" i="183"/>
  <c r="O116" i="183"/>
  <c r="O120" i="183"/>
  <c r="O18" i="183"/>
  <c r="I16" i="183"/>
  <c r="Y32" i="183"/>
  <c r="E57" i="184"/>
  <c r="F69" i="184"/>
  <c r="L69" i="184"/>
  <c r="T56" i="183"/>
  <c r="T11" i="183"/>
  <c r="T36" i="183"/>
  <c r="J59" i="183"/>
  <c r="O60" i="183"/>
  <c r="T58" i="183"/>
  <c r="T14" i="183"/>
  <c r="T9" i="183"/>
  <c r="O37" i="183"/>
  <c r="O8" i="183"/>
  <c r="T7" i="183"/>
  <c r="E56" i="184"/>
  <c r="O61" i="183"/>
  <c r="O57" i="183"/>
  <c r="T8" i="183"/>
  <c r="Y33" i="183"/>
  <c r="Y37" i="183"/>
  <c r="O12" i="183"/>
  <c r="O34" i="183"/>
  <c r="I103" i="183"/>
  <c r="J58" i="183"/>
  <c r="N96" i="183"/>
  <c r="T92" i="183"/>
  <c r="R85" i="183"/>
  <c r="N103" i="183"/>
  <c r="O39" i="183"/>
  <c r="Y98" i="183"/>
  <c r="E54" i="183"/>
  <c r="O15" i="183"/>
  <c r="O59" i="183"/>
  <c r="N76" i="183"/>
  <c r="E103" i="183"/>
  <c r="O64" i="183"/>
  <c r="C109" i="183"/>
  <c r="C85" i="183"/>
  <c r="B85" i="183"/>
  <c r="J18" i="183"/>
  <c r="F109" i="183"/>
  <c r="G109" i="183"/>
  <c r="J83" i="183"/>
  <c r="J72" i="183"/>
  <c r="J61" i="183"/>
  <c r="J7" i="183"/>
  <c r="O92" i="183"/>
  <c r="T60" i="183"/>
  <c r="T53" i="183"/>
  <c r="J75" i="183"/>
  <c r="S76" i="183"/>
  <c r="Q109" i="183"/>
  <c r="W109" i="183"/>
  <c r="Y119" i="183"/>
  <c r="J38" i="183"/>
  <c r="J73" i="183"/>
  <c r="E96" i="183"/>
  <c r="J96" i="183" s="1"/>
  <c r="J12" i="183"/>
  <c r="O72" i="183"/>
  <c r="T32" i="183"/>
  <c r="T106" i="183"/>
  <c r="J19" i="183"/>
  <c r="Q69" i="184"/>
  <c r="I76" i="183"/>
  <c r="O95" i="183"/>
  <c r="J65" i="183"/>
  <c r="L24" i="183"/>
  <c r="O94" i="183"/>
  <c r="T65" i="183"/>
  <c r="T10" i="183"/>
  <c r="T75" i="183"/>
  <c r="O10" i="183"/>
  <c r="J35" i="183"/>
  <c r="O36" i="183"/>
  <c r="X23" i="183"/>
  <c r="AD23" i="183" s="1"/>
  <c r="Y39" i="183"/>
  <c r="U85" i="183"/>
  <c r="Y56" i="183"/>
  <c r="S96" i="183"/>
  <c r="P109" i="183"/>
  <c r="V109" i="183"/>
  <c r="Y117" i="183"/>
  <c r="O56" i="183"/>
  <c r="O7" i="183"/>
  <c r="N45" i="183"/>
  <c r="E62" i="183"/>
  <c r="O32" i="183"/>
  <c r="I62" i="183"/>
  <c r="N16" i="183"/>
  <c r="J39" i="183"/>
  <c r="J32" i="183"/>
  <c r="T38" i="183"/>
  <c r="Y58" i="183"/>
  <c r="N62" i="183"/>
  <c r="E16" i="183"/>
  <c r="J34" i="183"/>
  <c r="D69" i="184"/>
  <c r="J8" i="183"/>
  <c r="M96" i="184"/>
  <c r="T35" i="183"/>
  <c r="Y59" i="183"/>
  <c r="D16" i="278"/>
  <c r="E17" i="268"/>
  <c r="AG71" i="274"/>
  <c r="Y71" i="274"/>
  <c r="AA71" i="274"/>
  <c r="G53" i="29"/>
  <c r="I52" i="29"/>
  <c r="I56" i="29"/>
  <c r="G52" i="29"/>
  <c r="I35" i="159"/>
  <c r="L35" i="159" s="1"/>
  <c r="E68" i="159"/>
  <c r="H68" i="159" s="1"/>
  <c r="D52" i="159"/>
  <c r="F131" i="159"/>
  <c r="H128" i="159"/>
  <c r="H22" i="159"/>
  <c r="G35" i="159"/>
  <c r="D41" i="159"/>
  <c r="I129" i="159"/>
  <c r="J113" i="159"/>
  <c r="H135" i="159"/>
  <c r="F43" i="159"/>
  <c r="C135" i="159"/>
  <c r="F135" i="159" s="1"/>
  <c r="H43" i="159"/>
  <c r="J128" i="159"/>
  <c r="B35" i="159"/>
  <c r="D35" i="159" s="1"/>
  <c r="B102" i="159"/>
  <c r="D102" i="159" s="1"/>
  <c r="F50" i="159"/>
  <c r="H94" i="159"/>
  <c r="H28" i="159"/>
  <c r="Q5" i="239"/>
  <c r="K11" i="239"/>
  <c r="I11" i="239"/>
  <c r="S11" i="239"/>
  <c r="D54" i="161"/>
  <c r="N11" i="161"/>
  <c r="M95" i="161"/>
  <c r="R39" i="161"/>
  <c r="R44" i="161" s="1"/>
  <c r="Q83" i="161"/>
  <c r="S114" i="161"/>
  <c r="W39" i="161"/>
  <c r="W44" i="161" s="1"/>
  <c r="H39" i="161"/>
  <c r="H44" i="161" s="1"/>
  <c r="F68" i="161"/>
  <c r="F54" i="161"/>
  <c r="K54" i="161"/>
  <c r="N56" i="161"/>
  <c r="N59" i="161"/>
  <c r="L95" i="161"/>
  <c r="N100" i="161"/>
  <c r="I72" i="161"/>
  <c r="L75" i="161"/>
  <c r="I32" i="161"/>
  <c r="E39" i="160"/>
  <c r="E44" i="160" s="1"/>
  <c r="I39" i="160"/>
  <c r="AD32" i="160"/>
  <c r="Y32" i="160"/>
  <c r="AD36" i="160"/>
  <c r="Y36" i="160"/>
  <c r="T111" i="160"/>
  <c r="E20" i="161"/>
  <c r="B39" i="161"/>
  <c r="B44" i="161" s="1"/>
  <c r="E43" i="161"/>
  <c r="D83" i="161"/>
  <c r="E82" i="161"/>
  <c r="E99" i="161"/>
  <c r="E111" i="161"/>
  <c r="E115" i="161"/>
  <c r="E117" i="161"/>
  <c r="E119" i="161"/>
  <c r="O32" i="160"/>
  <c r="T119" i="160"/>
  <c r="F39" i="161"/>
  <c r="F44" i="161" s="1"/>
  <c r="I115" i="161"/>
  <c r="E13" i="161"/>
  <c r="I18" i="161"/>
  <c r="N12" i="161"/>
  <c r="L39" i="161"/>
  <c r="L44" i="161" s="1"/>
  <c r="E72" i="161"/>
  <c r="Y117" i="160"/>
  <c r="S8" i="161"/>
  <c r="Y11" i="160"/>
  <c r="C95" i="161"/>
  <c r="J31" i="160"/>
  <c r="J117" i="160"/>
  <c r="O37" i="160"/>
  <c r="G61" i="161"/>
  <c r="H54" i="161"/>
  <c r="P39" i="161"/>
  <c r="P44" i="161" s="1"/>
  <c r="U39" i="161"/>
  <c r="U44" i="161" s="1"/>
  <c r="J119" i="160"/>
  <c r="C39" i="161"/>
  <c r="C44" i="161" s="1"/>
  <c r="E60" i="161"/>
  <c r="E80" i="161"/>
  <c r="C83" i="161"/>
  <c r="B95" i="161"/>
  <c r="E100" i="161"/>
  <c r="E118" i="161"/>
  <c r="O11" i="160"/>
  <c r="O7" i="160"/>
  <c r="T118" i="160"/>
  <c r="M39" i="161"/>
  <c r="M44" i="161" s="1"/>
  <c r="L54" i="161"/>
  <c r="N52" i="161"/>
  <c r="K95" i="161"/>
  <c r="L101" i="161"/>
  <c r="N98" i="161"/>
  <c r="N114" i="161"/>
  <c r="D75" i="161"/>
  <c r="C75" i="161"/>
  <c r="H75" i="161"/>
  <c r="I70" i="161"/>
  <c r="AD31" i="160"/>
  <c r="X39" i="160"/>
  <c r="Q22" i="161"/>
  <c r="S18" i="161"/>
  <c r="S21" i="161"/>
  <c r="Q39" i="161"/>
  <c r="Q44" i="161" s="1"/>
  <c r="S32" i="161"/>
  <c r="S34" i="161"/>
  <c r="S38" i="161"/>
  <c r="S43" i="161"/>
  <c r="P54" i="161"/>
  <c r="R61" i="161"/>
  <c r="S58" i="161"/>
  <c r="S60" i="161"/>
  <c r="S77" i="161"/>
  <c r="S91" i="161"/>
  <c r="R95" i="161"/>
  <c r="P101" i="161"/>
  <c r="S98" i="161"/>
  <c r="R101" i="161"/>
  <c r="S105" i="161"/>
  <c r="S115" i="161"/>
  <c r="S119" i="161"/>
  <c r="U15" i="161"/>
  <c r="X17" i="161"/>
  <c r="AD17" i="161" s="1"/>
  <c r="X31" i="161"/>
  <c r="V39" i="161"/>
  <c r="V44" i="161" s="1"/>
  <c r="X53" i="161"/>
  <c r="AD53" i="161" s="1"/>
  <c r="X56" i="161"/>
  <c r="AD56" i="161" s="1"/>
  <c r="X67" i="161"/>
  <c r="AD67" i="161" s="1"/>
  <c r="X70" i="161"/>
  <c r="AD70" i="161" s="1"/>
  <c r="X91" i="161"/>
  <c r="AD91" i="161" s="1"/>
  <c r="X93" i="161"/>
  <c r="AD93" i="161" s="1"/>
  <c r="X97" i="161"/>
  <c r="AD97" i="161" s="1"/>
  <c r="X104" i="161"/>
  <c r="AD104" i="161" s="1"/>
  <c r="X105" i="161"/>
  <c r="S14" i="161"/>
  <c r="S10" i="161"/>
  <c r="S9" i="161"/>
  <c r="J14" i="160"/>
  <c r="J10" i="160"/>
  <c r="N39" i="160"/>
  <c r="T10" i="160"/>
  <c r="G39" i="161"/>
  <c r="G44" i="161" s="1"/>
  <c r="F83" i="161"/>
  <c r="H95" i="161"/>
  <c r="I118" i="161"/>
  <c r="O118" i="161" s="1"/>
  <c r="I11" i="161"/>
  <c r="I10" i="161"/>
  <c r="C15" i="161"/>
  <c r="B54" i="161"/>
  <c r="K15" i="161"/>
  <c r="N18" i="161"/>
  <c r="K39" i="161"/>
  <c r="K44" i="161" s="1"/>
  <c r="S53" i="161"/>
  <c r="Q54" i="161"/>
  <c r="Q75" i="161"/>
  <c r="S70" i="161"/>
  <c r="G75" i="161"/>
  <c r="N51" i="161"/>
  <c r="L22" i="161"/>
  <c r="I104" i="161"/>
  <c r="N41" i="161"/>
  <c r="K83" i="161"/>
  <c r="I71" i="161"/>
  <c r="N71" i="161"/>
  <c r="N36" i="161"/>
  <c r="E32" i="161"/>
  <c r="J32" i="161" s="1"/>
  <c r="B101" i="161"/>
  <c r="E97" i="161"/>
  <c r="F15" i="161"/>
  <c r="I7" i="161"/>
  <c r="C101" i="161"/>
  <c r="E31" i="161"/>
  <c r="E8" i="161"/>
  <c r="B22" i="161"/>
  <c r="E56" i="161"/>
  <c r="B61" i="161"/>
  <c r="D61" i="161"/>
  <c r="D101" i="161"/>
  <c r="I82" i="161"/>
  <c r="I57" i="161"/>
  <c r="I114" i="161"/>
  <c r="I14" i="161"/>
  <c r="I12" i="161"/>
  <c r="E12" i="161"/>
  <c r="I8" i="161"/>
  <c r="I52" i="161"/>
  <c r="G54" i="161"/>
  <c r="N7" i="161"/>
  <c r="N60" i="161"/>
  <c r="N80" i="161"/>
  <c r="I37" i="161"/>
  <c r="H15" i="161"/>
  <c r="M22" i="161"/>
  <c r="K22" i="161"/>
  <c r="K23" i="161" s="1"/>
  <c r="N21" i="161"/>
  <c r="R54" i="161"/>
  <c r="S63" i="161"/>
  <c r="P95" i="161"/>
  <c r="S99" i="161"/>
  <c r="S100" i="161"/>
  <c r="V83" i="161"/>
  <c r="S12" i="161"/>
  <c r="T12" i="161" s="1"/>
  <c r="Q15" i="161"/>
  <c r="P15" i="161"/>
  <c r="M68" i="161"/>
  <c r="E71" i="161"/>
  <c r="E37" i="161"/>
  <c r="I21" i="161"/>
  <c r="H83" i="161"/>
  <c r="I77" i="161"/>
  <c r="I60" i="161"/>
  <c r="I58" i="161"/>
  <c r="I56" i="161"/>
  <c r="H101" i="161"/>
  <c r="I98" i="161"/>
  <c r="I91" i="161"/>
  <c r="I119" i="161"/>
  <c r="I116" i="161"/>
  <c r="J116" i="161" s="1"/>
  <c r="G15" i="161"/>
  <c r="B15" i="161"/>
  <c r="I13" i="161"/>
  <c r="E11" i="161"/>
  <c r="E10" i="161"/>
  <c r="I9" i="161"/>
  <c r="E51" i="161"/>
  <c r="E52" i="161"/>
  <c r="I51" i="161"/>
  <c r="E18" i="161"/>
  <c r="F22" i="161"/>
  <c r="N13" i="161"/>
  <c r="N9" i="161"/>
  <c r="N8" i="161"/>
  <c r="N43" i="161"/>
  <c r="L61" i="161"/>
  <c r="M61" i="161"/>
  <c r="N77" i="161"/>
  <c r="N82" i="161"/>
  <c r="N91" i="161"/>
  <c r="N99" i="161"/>
  <c r="N104" i="161"/>
  <c r="N105" i="161"/>
  <c r="N115" i="161"/>
  <c r="N117" i="161"/>
  <c r="N119" i="161"/>
  <c r="E73" i="161"/>
  <c r="I73" i="161"/>
  <c r="F75" i="161"/>
  <c r="N73" i="161"/>
  <c r="N72" i="161"/>
  <c r="N70" i="161"/>
  <c r="E36" i="161"/>
  <c r="E35" i="161"/>
  <c r="I38" i="161"/>
  <c r="I35" i="161"/>
  <c r="N37" i="161"/>
  <c r="N35" i="161"/>
  <c r="N34" i="161"/>
  <c r="N33" i="161"/>
  <c r="S111" i="161"/>
  <c r="S31" i="161"/>
  <c r="S52" i="161"/>
  <c r="N31" i="161"/>
  <c r="N20" i="161"/>
  <c r="S104" i="161"/>
  <c r="S56" i="161"/>
  <c r="S17" i="161"/>
  <c r="M101" i="161"/>
  <c r="N111" i="161"/>
  <c r="N17" i="161"/>
  <c r="N93" i="161"/>
  <c r="E7" i="161"/>
  <c r="J12" i="160"/>
  <c r="C68" i="161"/>
  <c r="T8" i="160"/>
  <c r="N15" i="160"/>
  <c r="N23" i="160" s="1"/>
  <c r="E34" i="161"/>
  <c r="Y8" i="160"/>
  <c r="Y12" i="160"/>
  <c r="S36" i="161"/>
  <c r="P61" i="161"/>
  <c r="P83" i="161"/>
  <c r="X43" i="161"/>
  <c r="AD43" i="161" s="1"/>
  <c r="E63" i="161"/>
  <c r="S93" i="161"/>
  <c r="S97" i="161"/>
  <c r="L15" i="161"/>
  <c r="B83" i="161"/>
  <c r="M75" i="161"/>
  <c r="K75" i="161"/>
  <c r="J7" i="160"/>
  <c r="E38" i="161"/>
  <c r="C61" i="161"/>
  <c r="E59" i="161"/>
  <c r="E93" i="161"/>
  <c r="G22" i="161"/>
  <c r="I17" i="161"/>
  <c r="I43" i="161"/>
  <c r="G83" i="161"/>
  <c r="I80" i="161"/>
  <c r="H61" i="161"/>
  <c r="I105" i="161"/>
  <c r="I97" i="161"/>
  <c r="I117" i="161"/>
  <c r="I111" i="161"/>
  <c r="D15" i="161"/>
  <c r="E14" i="161"/>
  <c r="N14" i="161"/>
  <c r="N10" i="161"/>
  <c r="M15" i="161"/>
  <c r="E70" i="161"/>
  <c r="B75" i="161"/>
  <c r="E74" i="161"/>
  <c r="E53" i="161"/>
  <c r="J53" i="161" s="1"/>
  <c r="I36" i="161"/>
  <c r="N38" i="161"/>
  <c r="N32" i="161"/>
  <c r="O32" i="161" s="1"/>
  <c r="E17" i="161"/>
  <c r="O14" i="160"/>
  <c r="O10" i="160"/>
  <c r="R15" i="37"/>
  <c r="G15" i="37" s="1"/>
  <c r="H15" i="285"/>
  <c r="P15" i="285"/>
  <c r="F15" i="285"/>
  <c r="L15" i="285"/>
  <c r="J15" i="285"/>
  <c r="C16" i="284"/>
  <c r="U32" i="310"/>
  <c r="V21" i="310"/>
  <c r="T23" i="310"/>
  <c r="T28" i="310" s="1"/>
  <c r="U18" i="310"/>
  <c r="U9" i="310"/>
  <c r="U14" i="310" s="1"/>
  <c r="T23" i="309"/>
  <c r="U23" i="309"/>
  <c r="U28" i="309" s="1"/>
  <c r="Q34" i="309"/>
  <c r="T18" i="309"/>
  <c r="U18" i="309"/>
  <c r="U9" i="309"/>
  <c r="U14" i="309" s="1"/>
  <c r="I43" i="286"/>
  <c r="I71" i="286" s="1"/>
  <c r="R51" i="261"/>
  <c r="I51" i="261"/>
  <c r="AE47" i="261"/>
  <c r="V51" i="261"/>
  <c r="AE51" i="261" s="1"/>
  <c r="AE48" i="261"/>
  <c r="T48" i="261"/>
  <c r="W48" i="261" s="1"/>
  <c r="AC47" i="261"/>
  <c r="Y47" i="261"/>
  <c r="W47" i="261"/>
  <c r="U47" i="261"/>
  <c r="Q47" i="261"/>
  <c r="G47" i="261"/>
  <c r="I47" i="261"/>
  <c r="K50" i="39"/>
  <c r="I50" i="39"/>
  <c r="F105" i="187"/>
  <c r="H27" i="187"/>
  <c r="B80" i="187"/>
  <c r="I80" i="187"/>
  <c r="C27" i="187"/>
  <c r="J80" i="187"/>
  <c r="H80" i="187"/>
  <c r="E27" i="187"/>
  <c r="F53" i="187"/>
  <c r="I53" i="187"/>
  <c r="G53" i="187"/>
  <c r="H53" i="187"/>
  <c r="C53" i="187"/>
  <c r="J53" i="187"/>
  <c r="I27" i="187"/>
  <c r="K27" i="187"/>
  <c r="E53" i="187"/>
  <c r="J27" i="187"/>
  <c r="D105" i="187"/>
  <c r="E105" i="187"/>
  <c r="F80" i="187"/>
  <c r="C105" i="187"/>
  <c r="K53" i="187"/>
  <c r="B27" i="187"/>
  <c r="C80" i="187"/>
  <c r="K80" i="187"/>
  <c r="J105" i="187"/>
  <c r="B105" i="187"/>
  <c r="G105" i="187"/>
  <c r="F27" i="187"/>
  <c r="F50" i="39"/>
  <c r="J25" i="285"/>
  <c r="P25" i="285"/>
  <c r="H25" i="285"/>
  <c r="N25" i="285"/>
  <c r="F25" i="285"/>
  <c r="L25" i="285"/>
  <c r="D25" i="285"/>
  <c r="C32" i="284"/>
  <c r="L26" i="279"/>
  <c r="P26" i="279"/>
  <c r="H26" i="279"/>
  <c r="N26" i="279"/>
  <c r="F26" i="279"/>
  <c r="H18" i="279"/>
  <c r="N18" i="279"/>
  <c r="L18" i="279"/>
  <c r="P18" i="279"/>
  <c r="F18" i="279"/>
  <c r="J18" i="279"/>
  <c r="D34" i="278"/>
  <c r="M69" i="184"/>
  <c r="R69" i="184"/>
  <c r="U69" i="184"/>
  <c r="E22" i="184"/>
  <c r="I39" i="184"/>
  <c r="B69" i="184"/>
  <c r="H69" i="184"/>
  <c r="E35" i="184"/>
  <c r="I36" i="184"/>
  <c r="S7" i="184"/>
  <c r="S36" i="184"/>
  <c r="S56" i="184"/>
  <c r="S71" i="184"/>
  <c r="X52" i="184"/>
  <c r="AD52" i="184" s="1"/>
  <c r="X81" i="184"/>
  <c r="AD81" i="184" s="1"/>
  <c r="R54" i="184"/>
  <c r="S11" i="184"/>
  <c r="S42" i="184"/>
  <c r="S75" i="184"/>
  <c r="S92" i="184"/>
  <c r="X64" i="184"/>
  <c r="V69" i="184"/>
  <c r="X114" i="184"/>
  <c r="C69" i="184"/>
  <c r="G69" i="184"/>
  <c r="K69" i="184"/>
  <c r="P69" i="184"/>
  <c r="W69" i="184"/>
  <c r="E59" i="184"/>
  <c r="E120" i="184"/>
  <c r="I9" i="184"/>
  <c r="I19" i="184"/>
  <c r="N38" i="184"/>
  <c r="N52" i="184"/>
  <c r="N58" i="184"/>
  <c r="N99" i="184"/>
  <c r="N35" i="184"/>
  <c r="S14" i="184"/>
  <c r="S21" i="184"/>
  <c r="S38" i="184"/>
  <c r="S44" i="184"/>
  <c r="Q54" i="184"/>
  <c r="S73" i="184"/>
  <c r="S101" i="184"/>
  <c r="X42" i="184"/>
  <c r="AD42" i="184" s="1"/>
  <c r="X106" i="184"/>
  <c r="E39" i="184"/>
  <c r="E65" i="184"/>
  <c r="E75" i="184"/>
  <c r="D96" i="184"/>
  <c r="E121" i="184"/>
  <c r="E15" i="184"/>
  <c r="E10" i="184"/>
  <c r="D23" i="184"/>
  <c r="E33" i="184"/>
  <c r="E42" i="184"/>
  <c r="E44" i="184"/>
  <c r="D62" i="184"/>
  <c r="C62" i="184"/>
  <c r="E61" i="184"/>
  <c r="D76" i="184"/>
  <c r="E81" i="184"/>
  <c r="E100" i="184"/>
  <c r="E107" i="184"/>
  <c r="E114" i="184"/>
  <c r="E118" i="184"/>
  <c r="I15" i="184"/>
  <c r="H96" i="184"/>
  <c r="I92" i="184"/>
  <c r="S116" i="184"/>
  <c r="E14" i="184"/>
  <c r="E9" i="184"/>
  <c r="E8" i="184"/>
  <c r="D54" i="184"/>
  <c r="E73" i="184"/>
  <c r="E102" i="184"/>
  <c r="E116" i="184"/>
  <c r="I34" i="184"/>
  <c r="I59" i="184"/>
  <c r="I52" i="184"/>
  <c r="F54" i="184"/>
  <c r="L54" i="184"/>
  <c r="F23" i="184"/>
  <c r="I83" i="184"/>
  <c r="I71" i="184"/>
  <c r="I60" i="184"/>
  <c r="H62" i="184"/>
  <c r="I99" i="184"/>
  <c r="N10" i="184"/>
  <c r="N15" i="184"/>
  <c r="N39" i="184"/>
  <c r="N59" i="184"/>
  <c r="N92" i="184"/>
  <c r="K103" i="184"/>
  <c r="N106" i="184"/>
  <c r="N117" i="184"/>
  <c r="N121" i="184"/>
  <c r="S74" i="184"/>
  <c r="S83" i="184"/>
  <c r="P103" i="184"/>
  <c r="R103" i="184"/>
  <c r="S102" i="184"/>
  <c r="X98" i="184"/>
  <c r="AD98" i="184" s="1"/>
  <c r="V23" i="184"/>
  <c r="I53" i="184"/>
  <c r="I65" i="184"/>
  <c r="N32" i="184"/>
  <c r="N65" i="184"/>
  <c r="P54" i="184"/>
  <c r="S53" i="184"/>
  <c r="Q103" i="184"/>
  <c r="S99" i="184"/>
  <c r="I56" i="184"/>
  <c r="E7" i="184"/>
  <c r="C16" i="184"/>
  <c r="E99" i="184"/>
  <c r="B103" i="184"/>
  <c r="I10" i="184"/>
  <c r="I38" i="184"/>
  <c r="I42" i="184"/>
  <c r="I118" i="184"/>
  <c r="K16" i="184"/>
  <c r="L103" i="184"/>
  <c r="I37" i="184"/>
  <c r="I35" i="184"/>
  <c r="S19" i="184"/>
  <c r="X7" i="184"/>
  <c r="AD7" i="184" s="1"/>
  <c r="X18" i="184"/>
  <c r="AD18" i="184" s="1"/>
  <c r="X19" i="184"/>
  <c r="AD19" i="184" s="1"/>
  <c r="X53" i="184"/>
  <c r="AD53" i="184" s="1"/>
  <c r="V62" i="184"/>
  <c r="X65" i="184"/>
  <c r="V76" i="184"/>
  <c r="X74" i="184"/>
  <c r="AD74" i="184" s="1"/>
  <c r="V103" i="184"/>
  <c r="X107" i="184"/>
  <c r="P23" i="184"/>
  <c r="E32" i="184"/>
  <c r="C54" i="184"/>
  <c r="E52" i="184"/>
  <c r="E98" i="184"/>
  <c r="C103" i="184"/>
  <c r="X116" i="184"/>
  <c r="AD116" i="184" s="1"/>
  <c r="I14" i="184"/>
  <c r="I8" i="184"/>
  <c r="I7" i="184"/>
  <c r="I21" i="184"/>
  <c r="I33" i="184"/>
  <c r="I81" i="184"/>
  <c r="H76" i="184"/>
  <c r="I64" i="184"/>
  <c r="I61" i="184"/>
  <c r="G62" i="184"/>
  <c r="I57" i="184"/>
  <c r="G54" i="184"/>
  <c r="I106" i="184"/>
  <c r="G103" i="184"/>
  <c r="I100" i="184"/>
  <c r="I95" i="184"/>
  <c r="F96" i="184"/>
  <c r="I121" i="184"/>
  <c r="I120" i="184"/>
  <c r="I119" i="184"/>
  <c r="E19" i="184"/>
  <c r="N7" i="184"/>
  <c r="N8" i="184"/>
  <c r="M16" i="184"/>
  <c r="N11" i="184"/>
  <c r="N12" i="184"/>
  <c r="N14" i="184"/>
  <c r="K23" i="184"/>
  <c r="N22" i="184"/>
  <c r="N33" i="184"/>
  <c r="N42" i="184"/>
  <c r="N44" i="184"/>
  <c r="M54" i="184"/>
  <c r="N56" i="184"/>
  <c r="L62" i="184"/>
  <c r="N60" i="184"/>
  <c r="N61" i="184"/>
  <c r="N64" i="184"/>
  <c r="K76" i="184"/>
  <c r="L76" i="184"/>
  <c r="N81" i="184"/>
  <c r="N83" i="184"/>
  <c r="L96" i="184"/>
  <c r="M103" i="184"/>
  <c r="N100" i="184"/>
  <c r="N101" i="184"/>
  <c r="N102" i="184"/>
  <c r="N118" i="184"/>
  <c r="N119" i="184"/>
  <c r="E37" i="184"/>
  <c r="N37" i="184"/>
  <c r="E74" i="184"/>
  <c r="N74" i="184"/>
  <c r="I74" i="184"/>
  <c r="S106" i="184"/>
  <c r="E38" i="184"/>
  <c r="X79" i="184"/>
  <c r="I44" i="184"/>
  <c r="I117" i="184"/>
  <c r="F16" i="184"/>
  <c r="F62" i="184"/>
  <c r="N71" i="184"/>
  <c r="S107" i="184"/>
  <c r="X99" i="184"/>
  <c r="AD99" i="184" s="1"/>
  <c r="E95" i="184"/>
  <c r="B23" i="184"/>
  <c r="H23" i="184"/>
  <c r="G96" i="184"/>
  <c r="E12" i="184"/>
  <c r="B16" i="184"/>
  <c r="E34" i="184"/>
  <c r="E60" i="184"/>
  <c r="B76" i="184"/>
  <c r="E119" i="184"/>
  <c r="K62" i="184"/>
  <c r="B54" i="184"/>
  <c r="E53" i="184"/>
  <c r="E94" i="184"/>
  <c r="C96" i="184"/>
  <c r="E106" i="184"/>
  <c r="G23" i="184"/>
  <c r="I18" i="184"/>
  <c r="I32" i="184"/>
  <c r="I73" i="184"/>
  <c r="G76" i="184"/>
  <c r="F76" i="184"/>
  <c r="H103" i="184"/>
  <c r="I114" i="184"/>
  <c r="L23" i="184"/>
  <c r="N21" i="184"/>
  <c r="N34" i="184"/>
  <c r="M76" i="184"/>
  <c r="N73" i="184"/>
  <c r="N79" i="184"/>
  <c r="K96" i="184"/>
  <c r="N94" i="184"/>
  <c r="N114" i="184"/>
  <c r="S114" i="184"/>
  <c r="E79" i="184"/>
  <c r="I94" i="184"/>
  <c r="S98" i="184"/>
  <c r="S65" i="184"/>
  <c r="X71" i="184"/>
  <c r="AD71" i="184" s="1"/>
  <c r="N116" i="184"/>
  <c r="G16" i="184"/>
  <c r="I75" i="184"/>
  <c r="S79" i="184"/>
  <c r="S94" i="184"/>
  <c r="S100" i="184"/>
  <c r="H16" i="184"/>
  <c r="I22" i="184"/>
  <c r="I79" i="184"/>
  <c r="H54" i="184"/>
  <c r="I107" i="184"/>
  <c r="F103" i="184"/>
  <c r="N9" i="184"/>
  <c r="N120" i="184"/>
  <c r="S9" i="184"/>
  <c r="S34" i="184"/>
  <c r="S52" i="184"/>
  <c r="R76" i="184"/>
  <c r="S81" i="184"/>
  <c r="S95" i="184"/>
  <c r="X83" i="184"/>
  <c r="AD83" i="184" s="1"/>
  <c r="X95" i="184"/>
  <c r="AD95" i="184" s="1"/>
  <c r="E11" i="184"/>
  <c r="E64" i="184"/>
  <c r="E83" i="184"/>
  <c r="I12" i="184"/>
  <c r="I58" i="184"/>
  <c r="I102" i="184"/>
  <c r="I101" i="184"/>
  <c r="I98" i="184"/>
  <c r="I116" i="184"/>
  <c r="N53" i="184"/>
  <c r="K54" i="184"/>
  <c r="M62" i="184"/>
  <c r="N19" i="184"/>
  <c r="X32" i="184"/>
  <c r="X56" i="184"/>
  <c r="AD56" i="184" s="1"/>
  <c r="V96" i="184"/>
  <c r="X94" i="184"/>
  <c r="AD94" i="184" s="1"/>
  <c r="X121" i="184"/>
  <c r="AD121" i="184" s="1"/>
  <c r="N75" i="184"/>
  <c r="S15" i="184"/>
  <c r="Q23" i="184"/>
  <c r="S22" i="184"/>
  <c r="Q96" i="184"/>
  <c r="S120" i="184"/>
  <c r="W16" i="184"/>
  <c r="X9" i="184"/>
  <c r="AD9" i="184" s="1"/>
  <c r="W23" i="184"/>
  <c r="X33" i="184"/>
  <c r="AD33" i="184" s="1"/>
  <c r="X37" i="184"/>
  <c r="AD37" i="184" s="1"/>
  <c r="X44" i="184"/>
  <c r="AD44" i="184" s="1"/>
  <c r="V54" i="184"/>
  <c r="X57" i="184"/>
  <c r="AD57" i="184" s="1"/>
  <c r="X61" i="184"/>
  <c r="AD61" i="184" s="1"/>
  <c r="Z113" i="308"/>
  <c r="J117" i="183"/>
  <c r="D16" i="184"/>
  <c r="C23" i="184"/>
  <c r="E18" i="184"/>
  <c r="E58" i="184"/>
  <c r="B62" i="184"/>
  <c r="C76" i="184"/>
  <c r="E71" i="184"/>
  <c r="E101" i="184"/>
  <c r="D103" i="184"/>
  <c r="E117" i="184"/>
  <c r="O83" i="160"/>
  <c r="D85" i="183"/>
  <c r="AC87" i="308"/>
  <c r="H101" i="159"/>
  <c r="E102" i="159"/>
  <c r="H102" i="159" s="1"/>
  <c r="U58" i="274"/>
  <c r="S58" i="274"/>
  <c r="E21" i="184"/>
  <c r="K109" i="274"/>
  <c r="I109" i="274"/>
  <c r="O109" i="274"/>
  <c r="Q109" i="274"/>
  <c r="O116" i="160"/>
  <c r="J116" i="160"/>
  <c r="J121" i="160"/>
  <c r="O104" i="160"/>
  <c r="J104" i="160"/>
  <c r="O98" i="160"/>
  <c r="J98" i="160"/>
  <c r="I101" i="160"/>
  <c r="O91" i="160"/>
  <c r="J91" i="160"/>
  <c r="J67" i="160"/>
  <c r="O67" i="160"/>
  <c r="O13" i="160"/>
  <c r="I15" i="160"/>
  <c r="H22" i="161"/>
  <c r="I20" i="161"/>
  <c r="I31" i="161"/>
  <c r="H68" i="161"/>
  <c r="I63" i="161"/>
  <c r="F61" i="161"/>
  <c r="G101" i="161"/>
  <c r="I100" i="161"/>
  <c r="F101" i="161"/>
  <c r="I99" i="161"/>
  <c r="I94" i="161"/>
  <c r="G95" i="161"/>
  <c r="F95" i="161"/>
  <c r="I93" i="161"/>
  <c r="M54" i="161"/>
  <c r="N53" i="161"/>
  <c r="N57" i="161"/>
  <c r="K61" i="161"/>
  <c r="K68" i="161"/>
  <c r="N63" i="161"/>
  <c r="K101" i="161"/>
  <c r="N97" i="161"/>
  <c r="N116" i="161"/>
  <c r="J106" i="160"/>
  <c r="M78" i="274"/>
  <c r="H93" i="274"/>
  <c r="H110" i="274" s="1"/>
  <c r="D80" i="187"/>
  <c r="E80" i="187"/>
  <c r="F13" i="159"/>
  <c r="C129" i="159"/>
  <c r="D128" i="159"/>
  <c r="K29" i="274"/>
  <c r="M29" i="274"/>
  <c r="I25" i="274"/>
  <c r="K25" i="274"/>
  <c r="O25" i="274"/>
  <c r="L22" i="274"/>
  <c r="M18" i="274"/>
  <c r="U92" i="274"/>
  <c r="S92" i="274"/>
  <c r="W18" i="274"/>
  <c r="O18" i="274"/>
  <c r="Q18" i="274"/>
  <c r="S47" i="308"/>
  <c r="N107" i="184"/>
  <c r="M23" i="184"/>
  <c r="J43" i="274"/>
  <c r="O40" i="274"/>
  <c r="Q40" i="274"/>
  <c r="K40" i="274"/>
  <c r="S40" i="274"/>
  <c r="J93" i="274"/>
  <c r="S78" i="274"/>
  <c r="J137" i="274"/>
  <c r="O128" i="274"/>
  <c r="Q128" i="274"/>
  <c r="K128" i="274"/>
  <c r="S128" i="274"/>
  <c r="P36" i="274"/>
  <c r="Q29" i="274"/>
  <c r="S29" i="274"/>
  <c r="S35" i="274"/>
  <c r="N18" i="184"/>
  <c r="N57" i="184"/>
  <c r="N95" i="184"/>
  <c r="D23" i="160"/>
  <c r="D124" i="160" s="1"/>
  <c r="J15" i="33"/>
  <c r="D53" i="187"/>
  <c r="D27" i="187"/>
  <c r="D50" i="39"/>
  <c r="D55" i="159"/>
  <c r="G96" i="274"/>
  <c r="F102" i="274"/>
  <c r="I102" i="274" s="1"/>
  <c r="I96" i="274"/>
  <c r="M96" i="274"/>
  <c r="I57" i="274"/>
  <c r="K57" i="274"/>
  <c r="K13" i="274"/>
  <c r="W16" i="274"/>
  <c r="Q16" i="274"/>
  <c r="N22" i="274"/>
  <c r="S16" i="274"/>
  <c r="C23" i="160"/>
  <c r="C124" i="160" s="1"/>
  <c r="AN13" i="237"/>
  <c r="AP13" i="237"/>
  <c r="J58" i="160"/>
  <c r="O58" i="160"/>
  <c r="I92" i="274"/>
  <c r="K92" i="274"/>
  <c r="C71" i="274"/>
  <c r="K53" i="274"/>
  <c r="F49" i="274"/>
  <c r="F71" i="274" s="1"/>
  <c r="G45" i="274"/>
  <c r="O45" i="274"/>
  <c r="I45" i="274"/>
  <c r="K45" i="274"/>
  <c r="G11" i="239"/>
  <c r="J13" i="160"/>
  <c r="C22" i="161"/>
  <c r="E57" i="161"/>
  <c r="D68" i="161"/>
  <c r="E104" i="161"/>
  <c r="J60" i="183"/>
  <c r="J98" i="183"/>
  <c r="R18" i="237"/>
  <c r="AL13" i="237"/>
  <c r="I24" i="237"/>
  <c r="O119" i="160"/>
  <c r="O105" i="160"/>
  <c r="T63" i="160"/>
  <c r="N68" i="160"/>
  <c r="V13" i="27"/>
  <c r="O65" i="183"/>
  <c r="C110" i="274"/>
  <c r="G98" i="274"/>
  <c r="O17" i="274"/>
  <c r="S15" i="274"/>
  <c r="H49" i="274"/>
  <c r="J36" i="274"/>
  <c r="L93" i="274"/>
  <c r="G84" i="160"/>
  <c r="M23" i="308"/>
  <c r="O29" i="308"/>
  <c r="M52" i="308"/>
  <c r="J17" i="160"/>
  <c r="D22" i="161"/>
  <c r="E33" i="161"/>
  <c r="J64" i="183"/>
  <c r="G27" i="187"/>
  <c r="T121" i="183"/>
  <c r="N98" i="184"/>
  <c r="D36" i="274"/>
  <c r="G22" i="274"/>
  <c r="I18" i="308"/>
  <c r="Q18" i="308"/>
  <c r="B30" i="308"/>
  <c r="G23" i="308"/>
  <c r="F112" i="308"/>
  <c r="M98" i="308"/>
  <c r="I9" i="308"/>
  <c r="T112" i="308"/>
  <c r="AA112" i="308" s="1"/>
  <c r="U111" i="308"/>
  <c r="W111" i="308"/>
  <c r="S36" i="308"/>
  <c r="Q36" i="308"/>
  <c r="O36" i="308"/>
  <c r="W36" i="308"/>
  <c r="F43" i="196"/>
  <c r="C47" i="196"/>
  <c r="J11" i="160"/>
  <c r="B68" i="161"/>
  <c r="B96" i="184"/>
  <c r="M24" i="237"/>
  <c r="AJ15" i="237" s="1"/>
  <c r="G24" i="237"/>
  <c r="O63" i="160"/>
  <c r="I68" i="160"/>
  <c r="O9" i="160"/>
  <c r="F55" i="159"/>
  <c r="F34" i="159"/>
  <c r="E110" i="274"/>
  <c r="O53" i="274"/>
  <c r="K35" i="274"/>
  <c r="P138" i="274"/>
  <c r="P145" i="274" s="1"/>
  <c r="Q52" i="308"/>
  <c r="Q56" i="308"/>
  <c r="C87" i="308"/>
  <c r="Q86" i="308"/>
  <c r="J94" i="196"/>
  <c r="F15" i="302"/>
  <c r="K18" i="308"/>
  <c r="S18" i="308"/>
  <c r="P30" i="308"/>
  <c r="H30" i="308"/>
  <c r="G43" i="308"/>
  <c r="G47" i="308"/>
  <c r="U47" i="308"/>
  <c r="S52" i="308"/>
  <c r="S56" i="308"/>
  <c r="U80" i="308"/>
  <c r="S86" i="308"/>
  <c r="W18" i="308"/>
  <c r="W47" i="308"/>
  <c r="W80" i="308"/>
  <c r="B112" i="308"/>
  <c r="X13" i="181"/>
  <c r="D57" i="159"/>
  <c r="B67" i="159"/>
  <c r="B68" i="159" s="1"/>
  <c r="I68" i="159"/>
  <c r="L50" i="159"/>
  <c r="M18" i="308"/>
  <c r="U18" i="308"/>
  <c r="C30" i="308"/>
  <c r="J30" i="308"/>
  <c r="S29" i="308"/>
  <c r="C57" i="308"/>
  <c r="G57" i="308" s="1"/>
  <c r="R57" i="308"/>
  <c r="O47" i="308"/>
  <c r="G52" i="308"/>
  <c r="W52" i="308"/>
  <c r="U56" i="308"/>
  <c r="O80" i="308"/>
  <c r="U86" i="308"/>
  <c r="W98" i="308"/>
  <c r="U9" i="308"/>
  <c r="D26" i="181"/>
  <c r="K34" i="309"/>
  <c r="S34" i="309"/>
  <c r="J35" i="160"/>
  <c r="G33" i="299"/>
  <c r="G18" i="308"/>
  <c r="O18" i="308"/>
  <c r="D30" i="308"/>
  <c r="D113" i="308" s="1"/>
  <c r="T30" i="308"/>
  <c r="AC30" i="308" s="1"/>
  <c r="H57" i="308"/>
  <c r="Q47" i="308"/>
  <c r="O52" i="308"/>
  <c r="F57" i="308"/>
  <c r="O56" i="308"/>
  <c r="H87" i="308"/>
  <c r="K87" i="308" s="1"/>
  <c r="P87" i="308"/>
  <c r="U87" i="308" s="1"/>
  <c r="Q80" i="308"/>
  <c r="O86" i="308"/>
  <c r="G98" i="308"/>
  <c r="E112" i="308"/>
  <c r="L112" i="308"/>
  <c r="Q112" i="308" s="1"/>
  <c r="U98" i="308"/>
  <c r="Y63" i="160"/>
  <c r="S68" i="160"/>
  <c r="R84" i="160"/>
  <c r="R124" i="160" s="1"/>
  <c r="AD63" i="160"/>
  <c r="X68" i="160"/>
  <c r="AD68" i="160" s="1"/>
  <c r="X54" i="183"/>
  <c r="AD53" i="183"/>
  <c r="X62" i="183"/>
  <c r="AD62" i="183" s="1"/>
  <c r="AD56" i="183"/>
  <c r="AD92" i="183"/>
  <c r="S12" i="184"/>
  <c r="AE22" i="274"/>
  <c r="AE137" i="274"/>
  <c r="R68" i="161"/>
  <c r="W68" i="161"/>
  <c r="S13" i="161"/>
  <c r="Y7" i="183"/>
  <c r="Y9" i="183"/>
  <c r="Y11" i="183"/>
  <c r="Y14" i="183"/>
  <c r="P24" i="183"/>
  <c r="Y42" i="183"/>
  <c r="Y52" i="183"/>
  <c r="P85" i="183"/>
  <c r="V85" i="183"/>
  <c r="Y57" i="183"/>
  <c r="AD64" i="183"/>
  <c r="X76" i="183"/>
  <c r="AD71" i="183"/>
  <c r="Y102" i="183"/>
  <c r="AD107" i="183"/>
  <c r="AD114" i="183"/>
  <c r="AE29" i="274"/>
  <c r="AE53" i="274"/>
  <c r="AE58" i="274"/>
  <c r="AE102" i="274"/>
  <c r="AE144" i="274"/>
  <c r="S75" i="160"/>
  <c r="T75" i="160" s="1"/>
  <c r="X16" i="183"/>
  <c r="AD16" i="183" s="1"/>
  <c r="AD7" i="183"/>
  <c r="Y83" i="183"/>
  <c r="X96" i="183"/>
  <c r="AD94" i="183"/>
  <c r="Y101" i="183"/>
  <c r="P76" i="184"/>
  <c r="U16" i="184"/>
  <c r="X11" i="184"/>
  <c r="AD11" i="184" s="1"/>
  <c r="X22" i="184"/>
  <c r="AD22" i="184" s="1"/>
  <c r="X35" i="184"/>
  <c r="AD35" i="184" s="1"/>
  <c r="X39" i="184"/>
  <c r="AD39" i="184" s="1"/>
  <c r="X59" i="184"/>
  <c r="AD59" i="184" s="1"/>
  <c r="AE35" i="274"/>
  <c r="J53" i="29"/>
  <c r="M52" i="29"/>
  <c r="S61" i="160"/>
  <c r="T61" i="160" s="1"/>
  <c r="S83" i="160"/>
  <c r="T83" i="160" s="1"/>
  <c r="W23" i="160"/>
  <c r="P68" i="161"/>
  <c r="U68" i="161"/>
  <c r="S7" i="161"/>
  <c r="E68" i="160"/>
  <c r="Y8" i="183"/>
  <c r="Y10" i="183"/>
  <c r="Y12" i="183"/>
  <c r="Y15" i="183"/>
  <c r="R24" i="183"/>
  <c r="S23" i="183"/>
  <c r="AD32" i="183"/>
  <c r="S62" i="183"/>
  <c r="Y61" i="183"/>
  <c r="Y64" i="183"/>
  <c r="Y74" i="183"/>
  <c r="AD79" i="183"/>
  <c r="Y95" i="183"/>
  <c r="X103" i="183"/>
  <c r="Y118" i="183"/>
  <c r="AE43" i="274"/>
  <c r="AE109" i="274"/>
  <c r="AE121" i="274"/>
  <c r="E36" i="184"/>
  <c r="N36" i="184"/>
  <c r="X118" i="184"/>
  <c r="AD118" i="184" s="1"/>
  <c r="X120" i="184"/>
  <c r="E92" i="184"/>
  <c r="W24" i="183"/>
  <c r="V24" i="183"/>
  <c r="U24" i="183"/>
  <c r="P16" i="184"/>
  <c r="R16" i="184"/>
  <c r="S37" i="184"/>
  <c r="S39" i="184"/>
  <c r="Q62" i="184"/>
  <c r="S57" i="184"/>
  <c r="S59" i="184"/>
  <c r="S61" i="184"/>
  <c r="V16" i="184"/>
  <c r="X8" i="184"/>
  <c r="AD8" i="184" s="1"/>
  <c r="X10" i="184"/>
  <c r="AD10" i="184" s="1"/>
  <c r="X12" i="184"/>
  <c r="X15" i="184"/>
  <c r="X21" i="184"/>
  <c r="X34" i="184"/>
  <c r="AD34" i="184" s="1"/>
  <c r="X36" i="184"/>
  <c r="AD36" i="184" s="1"/>
  <c r="X38" i="184"/>
  <c r="AD38" i="184" s="1"/>
  <c r="U76" i="184"/>
  <c r="U96" i="184"/>
  <c r="W103" i="184"/>
  <c r="X100" i="184"/>
  <c r="X102" i="184"/>
  <c r="J47" i="196"/>
  <c r="G67" i="196"/>
  <c r="H58" i="196"/>
  <c r="H127" i="196"/>
  <c r="F127" i="196"/>
  <c r="F47" i="196"/>
  <c r="H47" i="196"/>
  <c r="E67" i="196"/>
  <c r="I34" i="196"/>
  <c r="L34" i="196" s="1"/>
  <c r="L127" i="196"/>
  <c r="L58" i="196"/>
  <c r="J66" i="196"/>
  <c r="K33" i="310"/>
  <c r="J33" i="310"/>
  <c r="K19" i="310"/>
  <c r="J19" i="310"/>
  <c r="T9" i="310"/>
  <c r="T14" i="310" s="1"/>
  <c r="Q33" i="310"/>
  <c r="P33" i="310"/>
  <c r="Q19" i="310"/>
  <c r="P19" i="310"/>
  <c r="O33" i="310"/>
  <c r="N33" i="310"/>
  <c r="O19" i="310"/>
  <c r="N19" i="310"/>
  <c r="C33" i="310"/>
  <c r="B33" i="310"/>
  <c r="V22" i="310"/>
  <c r="C19" i="310"/>
  <c r="B19" i="310"/>
  <c r="E33" i="310"/>
  <c r="D33" i="310"/>
  <c r="E19" i="310"/>
  <c r="D19" i="310"/>
  <c r="I33" i="310"/>
  <c r="H19" i="310"/>
  <c r="I19" i="310"/>
  <c r="H33" i="310"/>
  <c r="F33" i="310"/>
  <c r="G33" i="310"/>
  <c r="G19" i="310"/>
  <c r="F19" i="310"/>
  <c r="V31" i="310"/>
  <c r="V30" i="310"/>
  <c r="T32" i="310"/>
  <c r="V27" i="310"/>
  <c r="V25" i="310"/>
  <c r="V26" i="310"/>
  <c r="V17" i="310"/>
  <c r="V16" i="310"/>
  <c r="M19" i="310"/>
  <c r="M34" i="310" s="1"/>
  <c r="T18" i="310"/>
  <c r="V13" i="310"/>
  <c r="V12" i="310"/>
  <c r="V11" i="310"/>
  <c r="V10" i="310"/>
  <c r="V7" i="310"/>
  <c r="AE110" i="274"/>
  <c r="AA93" i="274"/>
  <c r="Y110" i="274"/>
  <c r="AC110" i="274"/>
  <c r="N110" i="274"/>
  <c r="W110" i="274" s="1"/>
  <c r="M93" i="274"/>
  <c r="O93" i="274"/>
  <c r="G93" i="274"/>
  <c r="B110" i="274"/>
  <c r="I70" i="274"/>
  <c r="AC71" i="274"/>
  <c r="AE71" i="274"/>
  <c r="J102" i="159"/>
  <c r="L102" i="159"/>
  <c r="D15" i="122"/>
  <c r="E13" i="122" s="1"/>
  <c r="V29" i="310"/>
  <c r="V24" i="310"/>
  <c r="L34" i="310"/>
  <c r="V8" i="310"/>
  <c r="U32" i="309"/>
  <c r="I33" i="309"/>
  <c r="H33" i="309"/>
  <c r="G33" i="309"/>
  <c r="G34" i="309" s="1"/>
  <c r="F33" i="309"/>
  <c r="V8" i="309"/>
  <c r="V27" i="309"/>
  <c r="V25" i="309"/>
  <c r="V26" i="309"/>
  <c r="M33" i="309"/>
  <c r="M34" i="309" s="1"/>
  <c r="V30" i="309"/>
  <c r="V31" i="309"/>
  <c r="T32" i="309"/>
  <c r="V21" i="309"/>
  <c r="V17" i="309"/>
  <c r="V16" i="309"/>
  <c r="V13" i="309"/>
  <c r="V11" i="309"/>
  <c r="V12" i="309"/>
  <c r="V29" i="309"/>
  <c r="V24" i="309"/>
  <c r="L34" i="309"/>
  <c r="P34" i="309"/>
  <c r="V22" i="309"/>
  <c r="V10" i="309"/>
  <c r="V7" i="309"/>
  <c r="N74" i="161"/>
  <c r="Q68" i="161"/>
  <c r="V68" i="161"/>
  <c r="G68" i="161"/>
  <c r="L68" i="161"/>
  <c r="N67" i="161"/>
  <c r="W84" i="160"/>
  <c r="V84" i="160"/>
  <c r="L124" i="160"/>
  <c r="G124" i="160"/>
  <c r="I67" i="161"/>
  <c r="S11" i="161"/>
  <c r="R15" i="161"/>
  <c r="X7" i="161"/>
  <c r="AD7" i="161" s="1"/>
  <c r="W15" i="161"/>
  <c r="X9" i="161"/>
  <c r="AD9" i="161" s="1"/>
  <c r="X11" i="161"/>
  <c r="AD11" i="161" s="1"/>
  <c r="X13" i="161"/>
  <c r="AD13" i="161" s="1"/>
  <c r="V61" i="161"/>
  <c r="X57" i="161"/>
  <c r="AD57" i="161" s="1"/>
  <c r="U75" i="161"/>
  <c r="W75" i="161"/>
  <c r="X72" i="161"/>
  <c r="AD72" i="161" s="1"/>
  <c r="V95" i="161"/>
  <c r="X94" i="161"/>
  <c r="AD94" i="161" s="1"/>
  <c r="V101" i="161"/>
  <c r="X98" i="161"/>
  <c r="AD98" i="161" s="1"/>
  <c r="X116" i="161"/>
  <c r="AD116" i="161" s="1"/>
  <c r="X118" i="161"/>
  <c r="AD118" i="161" s="1"/>
  <c r="S71" i="161"/>
  <c r="T95" i="160"/>
  <c r="X61" i="160"/>
  <c r="AD56" i="160"/>
  <c r="X83" i="160"/>
  <c r="AD83" i="160" s="1"/>
  <c r="AD77" i="160"/>
  <c r="X15" i="160"/>
  <c r="AD7" i="160"/>
  <c r="X54" i="160"/>
  <c r="Y54" i="160" s="1"/>
  <c r="AD53" i="160"/>
  <c r="AD67" i="160"/>
  <c r="X95" i="160"/>
  <c r="AD93" i="160"/>
  <c r="X101" i="160"/>
  <c r="AD97" i="160"/>
  <c r="AD105" i="160"/>
  <c r="I41" i="161"/>
  <c r="C54" i="161"/>
  <c r="U23" i="160"/>
  <c r="U124" i="160" s="1"/>
  <c r="X75" i="160"/>
  <c r="AD75" i="160" s="1"/>
  <c r="AD121" i="160"/>
  <c r="P22" i="161"/>
  <c r="R22" i="161"/>
  <c r="S20" i="161"/>
  <c r="S33" i="161"/>
  <c r="Q61" i="161"/>
  <c r="S57" i="161"/>
  <c r="P75" i="161"/>
  <c r="R75" i="161"/>
  <c r="S73" i="161"/>
  <c r="S82" i="161"/>
  <c r="V15" i="161"/>
  <c r="X8" i="161"/>
  <c r="AD8" i="161" s="1"/>
  <c r="X10" i="161"/>
  <c r="AD10" i="161" s="1"/>
  <c r="X12" i="161"/>
  <c r="AD12" i="161" s="1"/>
  <c r="X14" i="161"/>
  <c r="AD14" i="161" s="1"/>
  <c r="V22" i="161"/>
  <c r="X18" i="161"/>
  <c r="AD18" i="161" s="1"/>
  <c r="X21" i="161"/>
  <c r="AD21" i="161" s="1"/>
  <c r="X32" i="161"/>
  <c r="AD32" i="161" s="1"/>
  <c r="X34" i="161"/>
  <c r="AD34" i="161" s="1"/>
  <c r="X36" i="161"/>
  <c r="AD36" i="161" s="1"/>
  <c r="X38" i="161"/>
  <c r="AD38" i="161" s="1"/>
  <c r="U61" i="161"/>
  <c r="W61" i="161"/>
  <c r="N58" i="161"/>
  <c r="L83" i="161"/>
  <c r="X52" i="161"/>
  <c r="X58" i="161"/>
  <c r="AD58" i="161" s="1"/>
  <c r="X60" i="161"/>
  <c r="AD60" i="161" s="1"/>
  <c r="V75" i="161"/>
  <c r="U83" i="161"/>
  <c r="X82" i="161"/>
  <c r="AD82" i="161" s="1"/>
  <c r="U95" i="161"/>
  <c r="X99" i="161"/>
  <c r="AD99" i="161" s="1"/>
  <c r="X114" i="161"/>
  <c r="AD114" i="161" s="1"/>
  <c r="E67" i="161"/>
  <c r="I74" i="161"/>
  <c r="S80" i="161"/>
  <c r="Q101" i="161"/>
  <c r="S118" i="161"/>
  <c r="T118" i="161" s="1"/>
  <c r="U22" i="161"/>
  <c r="W22" i="161"/>
  <c r="X20" i="161"/>
  <c r="AD20" i="161" s="1"/>
  <c r="X33" i="161"/>
  <c r="AD33" i="161" s="1"/>
  <c r="X35" i="161"/>
  <c r="AD35" i="161" s="1"/>
  <c r="X37" i="161"/>
  <c r="AD37" i="161" s="1"/>
  <c r="I59" i="161"/>
  <c r="I34" i="161"/>
  <c r="S59" i="161"/>
  <c r="S67" i="161"/>
  <c r="S74" i="161"/>
  <c r="Q95" i="161"/>
  <c r="S94" i="161"/>
  <c r="S117" i="161"/>
  <c r="N94" i="161"/>
  <c r="X41" i="161"/>
  <c r="AD41" i="161" s="1"/>
  <c r="X59" i="161"/>
  <c r="AD59" i="161" s="1"/>
  <c r="X71" i="161"/>
  <c r="X73" i="161"/>
  <c r="X80" i="161"/>
  <c r="AD80" i="161" s="1"/>
  <c r="W95" i="161"/>
  <c r="U101" i="161"/>
  <c r="W101" i="161"/>
  <c r="X100" i="161"/>
  <c r="AD100" i="161" s="1"/>
  <c r="X115" i="161"/>
  <c r="X119" i="161"/>
  <c r="Q16" i="184"/>
  <c r="S8" i="184"/>
  <c r="S10" i="184"/>
  <c r="S18" i="184"/>
  <c r="R23" i="184"/>
  <c r="S32" i="184"/>
  <c r="S33" i="184"/>
  <c r="S35" i="184"/>
  <c r="P62" i="184"/>
  <c r="R62" i="184"/>
  <c r="S58" i="184"/>
  <c r="Q76" i="184"/>
  <c r="P96" i="184"/>
  <c r="R96" i="184"/>
  <c r="S117" i="184"/>
  <c r="S119" i="184"/>
  <c r="S121" i="184"/>
  <c r="X14" i="184"/>
  <c r="AD14" i="184" s="1"/>
  <c r="U23" i="184"/>
  <c r="U54" i="184"/>
  <c r="U62" i="184"/>
  <c r="W62" i="184"/>
  <c r="X58" i="184"/>
  <c r="AD58" i="184" s="1"/>
  <c r="X60" i="184"/>
  <c r="AD60" i="184" s="1"/>
  <c r="W76" i="184"/>
  <c r="X75" i="184"/>
  <c r="W96" i="184"/>
  <c r="U103" i="184"/>
  <c r="X101" i="184"/>
  <c r="AD101" i="184" s="1"/>
  <c r="X117" i="184"/>
  <c r="AD117" i="184" s="1"/>
  <c r="C27" i="268"/>
  <c r="E27" i="268"/>
  <c r="E20" i="268"/>
  <c r="E22" i="268" s="1"/>
  <c r="E10" i="268"/>
  <c r="E12" i="268" s="1"/>
  <c r="E5" i="268"/>
  <c r="E7" i="268" s="1"/>
  <c r="C48" i="284"/>
  <c r="AQ12" i="237"/>
  <c r="S24" i="237"/>
  <c r="AP12" i="237"/>
  <c r="S112" i="308"/>
  <c r="U112" i="308"/>
  <c r="T113" i="308"/>
  <c r="J113" i="308"/>
  <c r="T54" i="160"/>
  <c r="V113" i="308"/>
  <c r="S87" i="308"/>
  <c r="O112" i="308"/>
  <c r="AL15" i="237"/>
  <c r="M112" i="308"/>
  <c r="P113" i="308"/>
  <c r="M11" i="239"/>
  <c r="L30" i="308"/>
  <c r="Q29" i="308"/>
  <c r="O98" i="308"/>
  <c r="Q98" i="308"/>
  <c r="S98" i="308"/>
  <c r="W29" i="308"/>
  <c r="N34" i="309"/>
  <c r="R34" i="309"/>
  <c r="R34" i="310"/>
  <c r="S34" i="310"/>
  <c r="F101" i="159"/>
  <c r="O58" i="274"/>
  <c r="N71" i="274"/>
  <c r="E77" i="161"/>
  <c r="AJ13" i="237"/>
  <c r="I95" i="160"/>
  <c r="M83" i="161"/>
  <c r="F94" i="159"/>
  <c r="F128" i="159"/>
  <c r="I11" i="184"/>
  <c r="L16" i="184"/>
  <c r="G109" i="274"/>
  <c r="I35" i="274"/>
  <c r="U143" i="274"/>
  <c r="R30" i="308"/>
  <c r="Y30" i="308" s="1"/>
  <c r="U29" i="308"/>
  <c r="U52" i="308"/>
  <c r="Y18" i="308"/>
  <c r="AA23" i="308"/>
  <c r="AC47" i="308"/>
  <c r="AA98" i="308"/>
  <c r="Y29" i="308"/>
  <c r="O11" i="239"/>
  <c r="Y80" i="308"/>
  <c r="Y9" i="308"/>
  <c r="Y36" i="308"/>
  <c r="Y52" i="308"/>
  <c r="Y72" i="308"/>
  <c r="X51" i="161"/>
  <c r="V54" i="161"/>
  <c r="X63" i="161"/>
  <c r="S16" i="183"/>
  <c r="Y18" i="183"/>
  <c r="S54" i="183"/>
  <c r="S60" i="184"/>
  <c r="S64" i="184"/>
  <c r="S118" i="184"/>
  <c r="S35" i="161"/>
  <c r="S37" i="161"/>
  <c r="S41" i="161"/>
  <c r="S51" i="161"/>
  <c r="S72" i="161"/>
  <c r="S116" i="161"/>
  <c r="W54" i="161"/>
  <c r="X74" i="161"/>
  <c r="X77" i="161"/>
  <c r="W83" i="161"/>
  <c r="X117" i="161"/>
  <c r="AD117" i="161" s="1"/>
  <c r="W54" i="184"/>
  <c r="X73" i="184"/>
  <c r="AD73" i="184" s="1"/>
  <c r="X119" i="184"/>
  <c r="AD119" i="184" s="1"/>
  <c r="U54" i="161"/>
  <c r="X111" i="161"/>
  <c r="X92" i="184"/>
  <c r="AD92" i="184" s="1"/>
  <c r="AI113" i="308" l="1"/>
  <c r="O76" i="183"/>
  <c r="J84" i="183"/>
  <c r="I123" i="184"/>
  <c r="B34" i="309"/>
  <c r="J34" i="309"/>
  <c r="I34" i="309"/>
  <c r="F34" i="309"/>
  <c r="AA138" i="274"/>
  <c r="AI138" i="274"/>
  <c r="AK138" i="274"/>
  <c r="I84" i="160"/>
  <c r="Y22" i="160"/>
  <c r="N106" i="161"/>
  <c r="Q124" i="160"/>
  <c r="T19" i="309"/>
  <c r="V19" i="309" s="1"/>
  <c r="V32" i="310"/>
  <c r="V18" i="310"/>
  <c r="Q51" i="261"/>
  <c r="O47" i="261"/>
  <c r="S51" i="261"/>
  <c r="M51" i="261"/>
  <c r="K51" i="261"/>
  <c r="O51" i="261"/>
  <c r="S47" i="261"/>
  <c r="AG51" i="261"/>
  <c r="AI51" i="261"/>
  <c r="K47" i="261"/>
  <c r="M47" i="261"/>
  <c r="S123" i="184"/>
  <c r="E123" i="184"/>
  <c r="N123" i="184"/>
  <c r="AD114" i="184"/>
  <c r="X123" i="184"/>
  <c r="I109" i="183"/>
  <c r="O54" i="183"/>
  <c r="J39" i="184"/>
  <c r="B126" i="183"/>
  <c r="O23" i="183"/>
  <c r="L126" i="183"/>
  <c r="E109" i="183"/>
  <c r="J109" i="183" s="1"/>
  <c r="J54" i="183"/>
  <c r="I24" i="183"/>
  <c r="J23" i="183"/>
  <c r="S109" i="183"/>
  <c r="T108" i="183"/>
  <c r="I84" i="184"/>
  <c r="S84" i="184"/>
  <c r="E108" i="184"/>
  <c r="N84" i="184"/>
  <c r="AD79" i="184"/>
  <c r="X84" i="184"/>
  <c r="AD84" i="184" s="1"/>
  <c r="E84" i="184"/>
  <c r="U126" i="183"/>
  <c r="R126" i="183"/>
  <c r="I40" i="184"/>
  <c r="I45" i="184" s="1"/>
  <c r="T11" i="184"/>
  <c r="T75" i="184"/>
  <c r="N108" i="184"/>
  <c r="AC138" i="274"/>
  <c r="AB145" i="274"/>
  <c r="AE138" i="274"/>
  <c r="AG36" i="274"/>
  <c r="AC36" i="274"/>
  <c r="K36" i="274"/>
  <c r="E136" i="159"/>
  <c r="E121" i="161"/>
  <c r="I121" i="161"/>
  <c r="N121" i="161"/>
  <c r="AD111" i="161"/>
  <c r="X121" i="161"/>
  <c r="AD121" i="161" s="1"/>
  <c r="J59" i="161"/>
  <c r="S121" i="161"/>
  <c r="O57" i="161"/>
  <c r="H23" i="161"/>
  <c r="J57" i="161"/>
  <c r="J94" i="161"/>
  <c r="T77" i="161"/>
  <c r="S106" i="161"/>
  <c r="T7" i="161"/>
  <c r="I106" i="161"/>
  <c r="J7" i="161"/>
  <c r="J13" i="161"/>
  <c r="J71" i="161"/>
  <c r="J9" i="161"/>
  <c r="E106" i="161"/>
  <c r="AD105" i="161"/>
  <c r="X106" i="161"/>
  <c r="E95" i="161"/>
  <c r="Y70" i="161"/>
  <c r="T9" i="161"/>
  <c r="T23" i="160"/>
  <c r="B23" i="161"/>
  <c r="J56" i="161"/>
  <c r="J114" i="161"/>
  <c r="T56" i="161"/>
  <c r="C23" i="161"/>
  <c r="O33" i="161"/>
  <c r="O70" i="161"/>
  <c r="T91" i="161"/>
  <c r="J11" i="161"/>
  <c r="J98" i="161"/>
  <c r="O37" i="161"/>
  <c r="T18" i="161"/>
  <c r="I68" i="161"/>
  <c r="J58" i="161"/>
  <c r="T100" i="161"/>
  <c r="U23" i="161"/>
  <c r="Y12" i="161"/>
  <c r="V124" i="160"/>
  <c r="J33" i="161"/>
  <c r="O68" i="160"/>
  <c r="T104" i="161"/>
  <c r="O52" i="161"/>
  <c r="E101" i="161"/>
  <c r="T121" i="160"/>
  <c r="J43" i="161"/>
  <c r="J39" i="160"/>
  <c r="O54" i="160"/>
  <c r="J22" i="160"/>
  <c r="J91" i="161"/>
  <c r="J105" i="161"/>
  <c r="B107" i="161"/>
  <c r="Y58" i="161"/>
  <c r="F107" i="161"/>
  <c r="T98" i="161"/>
  <c r="T82" i="161"/>
  <c r="D23" i="161"/>
  <c r="T114" i="161"/>
  <c r="X68" i="161"/>
  <c r="Y67" i="161"/>
  <c r="T99" i="161"/>
  <c r="J21" i="161"/>
  <c r="O8" i="161"/>
  <c r="Q11" i="239"/>
  <c r="H34" i="309"/>
  <c r="E34" i="309"/>
  <c r="V14" i="309"/>
  <c r="V18" i="309"/>
  <c r="V9" i="309"/>
  <c r="B106" i="187"/>
  <c r="AA36" i="274"/>
  <c r="V145" i="274"/>
  <c r="AE145" i="274" s="1"/>
  <c r="I112" i="308"/>
  <c r="W124" i="160"/>
  <c r="F113" i="308"/>
  <c r="Y36" i="274"/>
  <c r="Y56" i="161"/>
  <c r="O17" i="161"/>
  <c r="J16" i="183"/>
  <c r="E84" i="160"/>
  <c r="E124" i="160" s="1"/>
  <c r="J68" i="160"/>
  <c r="Y106" i="184"/>
  <c r="S108" i="184"/>
  <c r="Y39" i="160"/>
  <c r="S44" i="160"/>
  <c r="U28" i="310"/>
  <c r="U33" i="310" s="1"/>
  <c r="V23" i="310"/>
  <c r="T101" i="160"/>
  <c r="S107" i="160"/>
  <c r="T107" i="160" s="1"/>
  <c r="T28" i="309"/>
  <c r="V28" i="309" s="1"/>
  <c r="V23" i="309"/>
  <c r="E15" i="37"/>
  <c r="K15" i="37"/>
  <c r="I15" i="37"/>
  <c r="Q15" i="37"/>
  <c r="Y105" i="161"/>
  <c r="H35" i="159"/>
  <c r="G136" i="159"/>
  <c r="J35" i="159"/>
  <c r="J108" i="183"/>
  <c r="O108" i="183"/>
  <c r="J103" i="196"/>
  <c r="H103" i="196"/>
  <c r="S40" i="184"/>
  <c r="T63" i="161"/>
  <c r="N69" i="184"/>
  <c r="E40" i="184"/>
  <c r="AD106" i="184"/>
  <c r="X108" i="184"/>
  <c r="AD108" i="184" s="1"/>
  <c r="G23" i="161"/>
  <c r="J60" i="161"/>
  <c r="T60" i="161"/>
  <c r="J10" i="161"/>
  <c r="H126" i="183"/>
  <c r="F27" i="196"/>
  <c r="H27" i="196"/>
  <c r="E34" i="196"/>
  <c r="O121" i="274"/>
  <c r="K121" i="274"/>
  <c r="M121" i="274"/>
  <c r="S121" i="274"/>
  <c r="O75" i="160"/>
  <c r="J75" i="160"/>
  <c r="W13" i="274"/>
  <c r="AA13" i="274"/>
  <c r="H138" i="274"/>
  <c r="I138" i="274" s="1"/>
  <c r="I137" i="274"/>
  <c r="Q121" i="274"/>
  <c r="L26" i="27"/>
  <c r="J26" i="27"/>
  <c r="K112" i="308"/>
  <c r="O58" i="161"/>
  <c r="I93" i="274"/>
  <c r="G34" i="310"/>
  <c r="H34" i="310"/>
  <c r="O34" i="310"/>
  <c r="K34" i="310"/>
  <c r="AE13" i="274"/>
  <c r="P126" i="183"/>
  <c r="B113" i="308"/>
  <c r="E145" i="274"/>
  <c r="AD32" i="184"/>
  <c r="X40" i="184"/>
  <c r="I108" i="184"/>
  <c r="T38" i="161"/>
  <c r="J97" i="161"/>
  <c r="T15" i="160"/>
  <c r="M107" i="161"/>
  <c r="O72" i="161"/>
  <c r="T105" i="161"/>
  <c r="T43" i="161"/>
  <c r="J51" i="161"/>
  <c r="Q23" i="161"/>
  <c r="G126" i="183"/>
  <c r="T117" i="161"/>
  <c r="G134" i="196"/>
  <c r="J100" i="161"/>
  <c r="N40" i="184"/>
  <c r="N45" i="184" s="1"/>
  <c r="T52" i="161"/>
  <c r="O115" i="161"/>
  <c r="J52" i="161"/>
  <c r="T51" i="161"/>
  <c r="AC13" i="274"/>
  <c r="S84" i="160"/>
  <c r="N68" i="161"/>
  <c r="N34" i="310"/>
  <c r="W126" i="183"/>
  <c r="E113" i="308"/>
  <c r="D126" i="183"/>
  <c r="O9" i="184"/>
  <c r="J52" i="184"/>
  <c r="J36" i="161"/>
  <c r="T119" i="161"/>
  <c r="T8" i="161"/>
  <c r="O9" i="161"/>
  <c r="J119" i="161"/>
  <c r="O56" i="161"/>
  <c r="P107" i="161"/>
  <c r="O21" i="161"/>
  <c r="J12" i="161"/>
  <c r="O82" i="161"/>
  <c r="J8" i="161"/>
  <c r="AD106" i="161"/>
  <c r="D107" i="161"/>
  <c r="J72" i="161"/>
  <c r="D135" i="159"/>
  <c r="F126" i="183"/>
  <c r="D27" i="196"/>
  <c r="B34" i="196"/>
  <c r="AG113" i="308"/>
  <c r="AE113" i="308"/>
  <c r="Y13" i="274"/>
  <c r="J127" i="196"/>
  <c r="S69" i="184"/>
  <c r="T123" i="183"/>
  <c r="J57" i="184"/>
  <c r="Q126" i="183"/>
  <c r="N96" i="184"/>
  <c r="E24" i="183"/>
  <c r="J24" i="183" s="1"/>
  <c r="J22" i="184"/>
  <c r="J35" i="184"/>
  <c r="O123" i="183"/>
  <c r="C126" i="183"/>
  <c r="T38" i="184"/>
  <c r="T74" i="184"/>
  <c r="E69" i="184"/>
  <c r="J76" i="183"/>
  <c r="Y23" i="183"/>
  <c r="T81" i="184"/>
  <c r="T101" i="184"/>
  <c r="T56" i="184"/>
  <c r="T7" i="184"/>
  <c r="O59" i="184"/>
  <c r="T76" i="183"/>
  <c r="J103" i="183"/>
  <c r="O103" i="183"/>
  <c r="V126" i="183"/>
  <c r="J71" i="184"/>
  <c r="J116" i="184"/>
  <c r="O58" i="184"/>
  <c r="M109" i="184"/>
  <c r="J9" i="184"/>
  <c r="I85" i="183"/>
  <c r="I126" i="183" s="1"/>
  <c r="N109" i="183"/>
  <c r="O109" i="183" s="1"/>
  <c r="T103" i="183"/>
  <c r="T96" i="183"/>
  <c r="O96" i="183"/>
  <c r="O106" i="184"/>
  <c r="O39" i="184"/>
  <c r="O16" i="183"/>
  <c r="N24" i="183"/>
  <c r="O24" i="183" s="1"/>
  <c r="F24" i="184"/>
  <c r="AD123" i="184"/>
  <c r="O62" i="183"/>
  <c r="O40" i="183"/>
  <c r="J36" i="184"/>
  <c r="M24" i="184"/>
  <c r="Y114" i="184"/>
  <c r="Y107" i="184"/>
  <c r="J121" i="184"/>
  <c r="O99" i="184"/>
  <c r="J10" i="184"/>
  <c r="T42" i="184"/>
  <c r="J62" i="183"/>
  <c r="E85" i="183"/>
  <c r="O45" i="183"/>
  <c r="AG145" i="274"/>
  <c r="C145" i="274"/>
  <c r="L129" i="159"/>
  <c r="J129" i="159"/>
  <c r="F68" i="159"/>
  <c r="N22" i="161"/>
  <c r="O35" i="161"/>
  <c r="O73" i="161"/>
  <c r="T116" i="161"/>
  <c r="O10" i="161"/>
  <c r="Y10" i="161"/>
  <c r="T73" i="161"/>
  <c r="R23" i="161"/>
  <c r="T10" i="161"/>
  <c r="J117" i="161"/>
  <c r="T36" i="161"/>
  <c r="F23" i="161"/>
  <c r="H107" i="161"/>
  <c r="J37" i="161"/>
  <c r="Y99" i="161"/>
  <c r="O7" i="161"/>
  <c r="Y53" i="161"/>
  <c r="O11" i="161"/>
  <c r="Y14" i="161"/>
  <c r="R107" i="161"/>
  <c r="Y91" i="161"/>
  <c r="T21" i="161"/>
  <c r="J118" i="161"/>
  <c r="O18" i="161"/>
  <c r="J115" i="161"/>
  <c r="O119" i="161"/>
  <c r="E54" i="161"/>
  <c r="T59" i="161"/>
  <c r="W23" i="161"/>
  <c r="U107" i="161"/>
  <c r="E15" i="161"/>
  <c r="V107" i="161"/>
  <c r="T11" i="161"/>
  <c r="N83" i="161"/>
  <c r="I39" i="161"/>
  <c r="I44" i="161" s="1"/>
  <c r="N39" i="161"/>
  <c r="N44" i="161" s="1"/>
  <c r="T34" i="161"/>
  <c r="E39" i="161"/>
  <c r="E44" i="161" s="1"/>
  <c r="O12" i="161"/>
  <c r="J67" i="161"/>
  <c r="J18" i="161"/>
  <c r="E61" i="161"/>
  <c r="O41" i="161"/>
  <c r="T71" i="161"/>
  <c r="K107" i="161"/>
  <c r="J14" i="161"/>
  <c r="C107" i="161"/>
  <c r="O114" i="161"/>
  <c r="O39" i="160"/>
  <c r="I44" i="160"/>
  <c r="J44" i="160" s="1"/>
  <c r="T13" i="161"/>
  <c r="F84" i="161"/>
  <c r="J73" i="161"/>
  <c r="O13" i="161"/>
  <c r="Y59" i="161"/>
  <c r="Y17" i="161"/>
  <c r="L107" i="161"/>
  <c r="J93" i="161"/>
  <c r="T53" i="161"/>
  <c r="I83" i="161"/>
  <c r="J38" i="161"/>
  <c r="Y93" i="161"/>
  <c r="S39" i="161"/>
  <c r="S44" i="161" s="1"/>
  <c r="O51" i="161"/>
  <c r="N44" i="160"/>
  <c r="T39" i="160"/>
  <c r="AD31" i="161"/>
  <c r="X39" i="161"/>
  <c r="U84" i="161"/>
  <c r="Y41" i="161"/>
  <c r="S83" i="161"/>
  <c r="C84" i="161"/>
  <c r="O31" i="161"/>
  <c r="O80" i="161"/>
  <c r="G84" i="161"/>
  <c r="O98" i="161"/>
  <c r="J82" i="161"/>
  <c r="Y51" i="161"/>
  <c r="X83" i="161"/>
  <c r="AD83" i="161" s="1"/>
  <c r="T67" i="161"/>
  <c r="O60" i="161"/>
  <c r="Y9" i="161"/>
  <c r="R84" i="161"/>
  <c r="T33" i="161"/>
  <c r="P23" i="161"/>
  <c r="O100" i="161"/>
  <c r="O117" i="161"/>
  <c r="M23" i="161"/>
  <c r="O43" i="161"/>
  <c r="L23" i="161"/>
  <c r="T93" i="161"/>
  <c r="T32" i="161"/>
  <c r="J35" i="161"/>
  <c r="O77" i="161"/>
  <c r="T115" i="161"/>
  <c r="T20" i="161"/>
  <c r="Y21" i="161"/>
  <c r="Q84" i="161"/>
  <c r="N75" i="161"/>
  <c r="D84" i="161"/>
  <c r="T70" i="161"/>
  <c r="S95" i="161"/>
  <c r="M84" i="161"/>
  <c r="Y34" i="161"/>
  <c r="O34" i="161"/>
  <c r="I15" i="161"/>
  <c r="O116" i="161"/>
  <c r="O20" i="161"/>
  <c r="S101" i="161"/>
  <c r="O36" i="161"/>
  <c r="Y43" i="161"/>
  <c r="I54" i="161"/>
  <c r="O91" i="161"/>
  <c r="O71" i="161"/>
  <c r="O104" i="161"/>
  <c r="J70" i="161"/>
  <c r="E75" i="161"/>
  <c r="Y80" i="161"/>
  <c r="Y38" i="161"/>
  <c r="T80" i="161"/>
  <c r="Y13" i="161"/>
  <c r="L84" i="161"/>
  <c r="Y104" i="161"/>
  <c r="G107" i="161"/>
  <c r="H84" i="161"/>
  <c r="O14" i="161"/>
  <c r="T14" i="161"/>
  <c r="J80" i="161"/>
  <c r="O38" i="161"/>
  <c r="T17" i="161"/>
  <c r="T31" i="161"/>
  <c r="Y31" i="161"/>
  <c r="N15" i="161"/>
  <c r="Y97" i="161"/>
  <c r="X101" i="161"/>
  <c r="AD101" i="161" s="1"/>
  <c r="Y18" i="161"/>
  <c r="J31" i="161"/>
  <c r="Y57" i="161"/>
  <c r="S22" i="161"/>
  <c r="O93" i="161"/>
  <c r="B84" i="161"/>
  <c r="K84" i="161"/>
  <c r="I95" i="161"/>
  <c r="J17" i="161"/>
  <c r="E22" i="161"/>
  <c r="O105" i="161"/>
  <c r="O111" i="161"/>
  <c r="T111" i="161"/>
  <c r="J111" i="161"/>
  <c r="C15" i="37"/>
  <c r="M15" i="37"/>
  <c r="S15" i="37" s="1"/>
  <c r="O15" i="37"/>
  <c r="J34" i="310"/>
  <c r="T33" i="310"/>
  <c r="F34" i="310"/>
  <c r="P34" i="310"/>
  <c r="T33" i="309"/>
  <c r="Q34" i="310"/>
  <c r="Y48" i="261"/>
  <c r="T51" i="261"/>
  <c r="AC48" i="261"/>
  <c r="AA48" i="261"/>
  <c r="U48" i="261"/>
  <c r="H106" i="187"/>
  <c r="I106" i="187"/>
  <c r="F106" i="187"/>
  <c r="J106" i="187"/>
  <c r="G106" i="187"/>
  <c r="C106" i="187"/>
  <c r="E106" i="187"/>
  <c r="K106" i="187"/>
  <c r="D106" i="187"/>
  <c r="O35" i="184"/>
  <c r="T118" i="184"/>
  <c r="J38" i="184"/>
  <c r="J120" i="184"/>
  <c r="J100" i="184"/>
  <c r="J42" i="184"/>
  <c r="P109" i="184"/>
  <c r="T61" i="184"/>
  <c r="G85" i="184"/>
  <c r="J99" i="184"/>
  <c r="AD107" i="184"/>
  <c r="O52" i="184"/>
  <c r="O15" i="184"/>
  <c r="O60" i="184"/>
  <c r="Q24" i="184"/>
  <c r="E62" i="184"/>
  <c r="N54" i="184"/>
  <c r="J102" i="184"/>
  <c r="T73" i="184"/>
  <c r="J12" i="184"/>
  <c r="T100" i="184"/>
  <c r="O38" i="184"/>
  <c r="T99" i="184"/>
  <c r="J59" i="184"/>
  <c r="V24" i="184"/>
  <c r="J117" i="184"/>
  <c r="T52" i="184"/>
  <c r="T116" i="184"/>
  <c r="I69" i="184"/>
  <c r="J33" i="184"/>
  <c r="J15" i="184"/>
  <c r="AD64" i="184"/>
  <c r="X69" i="184"/>
  <c r="AD69" i="184" s="1"/>
  <c r="N103" i="184"/>
  <c r="N62" i="184"/>
  <c r="J19" i="184"/>
  <c r="I54" i="184"/>
  <c r="O54" i="184" s="1"/>
  <c r="Y37" i="184"/>
  <c r="J92" i="184"/>
  <c r="T22" i="184"/>
  <c r="J75" i="184"/>
  <c r="J114" i="184"/>
  <c r="O117" i="184"/>
  <c r="T44" i="184"/>
  <c r="O61" i="184"/>
  <c r="J81" i="184"/>
  <c r="J14" i="184"/>
  <c r="G109" i="184"/>
  <c r="R109" i="184"/>
  <c r="E23" i="184"/>
  <c r="Q109" i="184"/>
  <c r="Y94" i="184"/>
  <c r="O53" i="184"/>
  <c r="S76" i="184"/>
  <c r="T32" i="184"/>
  <c r="Y42" i="184"/>
  <c r="T102" i="184"/>
  <c r="J118" i="184"/>
  <c r="O10" i="184"/>
  <c r="H85" i="184"/>
  <c r="Y9" i="184"/>
  <c r="O64" i="184"/>
  <c r="Y81" i="184"/>
  <c r="O81" i="184"/>
  <c r="J61" i="184"/>
  <c r="K85" i="184"/>
  <c r="J60" i="184"/>
  <c r="B24" i="184"/>
  <c r="O71" i="184"/>
  <c r="O118" i="184"/>
  <c r="J7" i="184"/>
  <c r="T65" i="184"/>
  <c r="O121" i="184"/>
  <c r="O92" i="184"/>
  <c r="Y7" i="184"/>
  <c r="O22" i="184"/>
  <c r="D85" i="184"/>
  <c r="Y95" i="184"/>
  <c r="O56" i="184"/>
  <c r="O34" i="184"/>
  <c r="H109" i="184"/>
  <c r="O33" i="184"/>
  <c r="J34" i="184"/>
  <c r="T53" i="184"/>
  <c r="X96" i="184"/>
  <c r="AD96" i="184" s="1"/>
  <c r="D109" i="184"/>
  <c r="D24" i="184"/>
  <c r="O94" i="184"/>
  <c r="O44" i="184"/>
  <c r="O14" i="184"/>
  <c r="P85" i="184"/>
  <c r="O79" i="184"/>
  <c r="T83" i="184"/>
  <c r="O8" i="184"/>
  <c r="I62" i="184"/>
  <c r="T9" i="184"/>
  <c r="U24" i="184"/>
  <c r="R24" i="184"/>
  <c r="J64" i="184"/>
  <c r="O101" i="184"/>
  <c r="O42" i="184"/>
  <c r="S103" i="184"/>
  <c r="T14" i="184"/>
  <c r="O32" i="184"/>
  <c r="J119" i="184"/>
  <c r="J95" i="184"/>
  <c r="J74" i="184"/>
  <c r="T92" i="184"/>
  <c r="O75" i="184"/>
  <c r="T39" i="184"/>
  <c r="Y22" i="184"/>
  <c r="B109" i="184"/>
  <c r="T15" i="184"/>
  <c r="J83" i="184"/>
  <c r="I96" i="184"/>
  <c r="AD65" i="184"/>
  <c r="L85" i="184"/>
  <c r="F85" i="184"/>
  <c r="O37" i="184"/>
  <c r="K24" i="184"/>
  <c r="J106" i="184"/>
  <c r="Y19" i="184"/>
  <c r="Y74" i="184"/>
  <c r="J107" i="184"/>
  <c r="O83" i="184"/>
  <c r="T64" i="184"/>
  <c r="Y35" i="184"/>
  <c r="N16" i="184"/>
  <c r="V109" i="184"/>
  <c r="U109" i="184"/>
  <c r="J56" i="184"/>
  <c r="J101" i="184"/>
  <c r="Y65" i="184"/>
  <c r="O74" i="184"/>
  <c r="O21" i="184"/>
  <c r="C109" i="184"/>
  <c r="H24" i="184"/>
  <c r="J8" i="184"/>
  <c r="O100" i="184"/>
  <c r="L109" i="184"/>
  <c r="Y53" i="184"/>
  <c r="Y116" i="184"/>
  <c r="B85" i="184"/>
  <c r="Y44" i="184"/>
  <c r="E16" i="184"/>
  <c r="O65" i="184"/>
  <c r="T106" i="184"/>
  <c r="J32" i="184"/>
  <c r="L24" i="184"/>
  <c r="T119" i="184"/>
  <c r="R85" i="184"/>
  <c r="P24" i="184"/>
  <c r="T12" i="184"/>
  <c r="O7" i="184"/>
  <c r="C85" i="184"/>
  <c r="C24" i="184"/>
  <c r="M85" i="184"/>
  <c r="I103" i="184"/>
  <c r="O12" i="184"/>
  <c r="T120" i="184"/>
  <c r="Y79" i="184"/>
  <c r="X54" i="184"/>
  <c r="AD54" i="184" s="1"/>
  <c r="J65" i="184"/>
  <c r="J44" i="184"/>
  <c r="J37" i="184"/>
  <c r="O119" i="184"/>
  <c r="S23" i="184"/>
  <c r="Y11" i="184"/>
  <c r="J21" i="184"/>
  <c r="W24" i="184"/>
  <c r="T19" i="184"/>
  <c r="O19" i="184"/>
  <c r="J79" i="184"/>
  <c r="O73" i="184"/>
  <c r="J73" i="184"/>
  <c r="E103" i="184"/>
  <c r="Y18" i="184"/>
  <c r="O98" i="184"/>
  <c r="S54" i="184"/>
  <c r="Y36" i="184"/>
  <c r="Y39" i="184"/>
  <c r="T21" i="184"/>
  <c r="T98" i="184"/>
  <c r="K109" i="184"/>
  <c r="J18" i="184"/>
  <c r="O116" i="184"/>
  <c r="I23" i="184"/>
  <c r="T94" i="184"/>
  <c r="S96" i="184"/>
  <c r="F109" i="184"/>
  <c r="T79" i="184"/>
  <c r="O114" i="184"/>
  <c r="G24" i="184"/>
  <c r="Y83" i="184"/>
  <c r="J53" i="184"/>
  <c r="E54" i="184"/>
  <c r="N76" i="184"/>
  <c r="Y56" i="184"/>
  <c r="T71" i="184"/>
  <c r="Y98" i="184"/>
  <c r="Y34" i="184"/>
  <c r="V85" i="184"/>
  <c r="O57" i="184"/>
  <c r="Y52" i="184"/>
  <c r="J98" i="184"/>
  <c r="O18" i="184"/>
  <c r="J58" i="184"/>
  <c r="O120" i="184"/>
  <c r="T34" i="184"/>
  <c r="I76" i="184"/>
  <c r="T114" i="184"/>
  <c r="E96" i="184"/>
  <c r="J94" i="184"/>
  <c r="Y99" i="184"/>
  <c r="Y71" i="184"/>
  <c r="O102" i="184"/>
  <c r="M87" i="308"/>
  <c r="H113" i="308"/>
  <c r="Y118" i="184"/>
  <c r="S62" i="184"/>
  <c r="V84" i="161"/>
  <c r="Q87" i="308"/>
  <c r="T37" i="184"/>
  <c r="Y11" i="161"/>
  <c r="X95" i="161"/>
  <c r="AD95" i="161" s="1"/>
  <c r="T19" i="310"/>
  <c r="Y102" i="184"/>
  <c r="AD102" i="184"/>
  <c r="X23" i="184"/>
  <c r="AD23" i="184" s="1"/>
  <c r="AD21" i="184"/>
  <c r="AD76" i="183"/>
  <c r="Y76" i="183"/>
  <c r="M57" i="308"/>
  <c r="K57" i="308"/>
  <c r="I57" i="308"/>
  <c r="U138" i="274"/>
  <c r="W138" i="274"/>
  <c r="U22" i="274"/>
  <c r="S22" i="274"/>
  <c r="O22" i="274"/>
  <c r="Q22" i="274"/>
  <c r="W22" i="274"/>
  <c r="N36" i="274"/>
  <c r="F110" i="274"/>
  <c r="G110" i="274" s="1"/>
  <c r="M102" i="274"/>
  <c r="O102" i="274"/>
  <c r="K102" i="274"/>
  <c r="G102" i="274"/>
  <c r="M137" i="274"/>
  <c r="Q137" i="274"/>
  <c r="J138" i="274"/>
  <c r="O137" i="274"/>
  <c r="S137" i="274"/>
  <c r="K137" i="274"/>
  <c r="M22" i="274"/>
  <c r="L36" i="274"/>
  <c r="M36" i="274" s="1"/>
  <c r="O107" i="184"/>
  <c r="O15" i="160"/>
  <c r="I23" i="160"/>
  <c r="J15" i="160"/>
  <c r="T23" i="183"/>
  <c r="Y112" i="308"/>
  <c r="T107" i="184"/>
  <c r="Q57" i="308"/>
  <c r="W85" i="184"/>
  <c r="X24" i="183"/>
  <c r="AD24" i="183" s="1"/>
  <c r="I87" i="308"/>
  <c r="J41" i="161"/>
  <c r="Y38" i="184"/>
  <c r="S15" i="161"/>
  <c r="U19" i="310"/>
  <c r="I34" i="310"/>
  <c r="E34" i="310"/>
  <c r="Y100" i="184"/>
  <c r="AD100" i="184"/>
  <c r="Y15" i="184"/>
  <c r="AD15" i="184"/>
  <c r="Y62" i="183"/>
  <c r="T62" i="183"/>
  <c r="J56" i="29"/>
  <c r="M53" i="29"/>
  <c r="K53" i="29"/>
  <c r="Y84" i="183"/>
  <c r="AD108" i="183"/>
  <c r="Y108" i="183"/>
  <c r="K30" i="308"/>
  <c r="C113" i="308"/>
  <c r="G30" i="308"/>
  <c r="D145" i="274"/>
  <c r="I36" i="274"/>
  <c r="G36" i="274"/>
  <c r="Q93" i="274"/>
  <c r="U93" i="274"/>
  <c r="S93" i="274"/>
  <c r="L110" i="274"/>
  <c r="S110" i="274" s="1"/>
  <c r="G71" i="274"/>
  <c r="T95" i="184"/>
  <c r="O95" i="184"/>
  <c r="N101" i="161"/>
  <c r="O97" i="161"/>
  <c r="O99" i="161"/>
  <c r="I101" i="161"/>
  <c r="I22" i="161"/>
  <c r="N23" i="184"/>
  <c r="O121" i="160"/>
  <c r="E76" i="184"/>
  <c r="T84" i="183"/>
  <c r="AD40" i="183"/>
  <c r="X45" i="183"/>
  <c r="AD45" i="183" s="1"/>
  <c r="AD96" i="183"/>
  <c r="Y96" i="183"/>
  <c r="AD123" i="183"/>
  <c r="Y123" i="183"/>
  <c r="Y14" i="184"/>
  <c r="Y94" i="161"/>
  <c r="O87" i="308"/>
  <c r="Y75" i="184"/>
  <c r="AD75" i="184"/>
  <c r="Q85" i="184"/>
  <c r="Y7" i="161"/>
  <c r="Y12" i="184"/>
  <c r="AD12" i="184"/>
  <c r="Y120" i="184"/>
  <c r="AD120" i="184"/>
  <c r="AD103" i="183"/>
  <c r="Y103" i="183"/>
  <c r="AD69" i="183"/>
  <c r="Y69" i="183"/>
  <c r="X109" i="183"/>
  <c r="AD109" i="183" s="1"/>
  <c r="X85" i="183"/>
  <c r="AD85" i="183" s="1"/>
  <c r="AD54" i="183"/>
  <c r="U57" i="308"/>
  <c r="W57" i="308"/>
  <c r="S57" i="308"/>
  <c r="AA57" i="308"/>
  <c r="L68" i="159"/>
  <c r="J68" i="159"/>
  <c r="I30" i="308"/>
  <c r="E45" i="183"/>
  <c r="J40" i="183"/>
  <c r="D47" i="196"/>
  <c r="C67" i="196"/>
  <c r="K93" i="274"/>
  <c r="J110" i="274"/>
  <c r="O63" i="161"/>
  <c r="J63" i="161"/>
  <c r="O101" i="160"/>
  <c r="J101" i="160"/>
  <c r="J20" i="161"/>
  <c r="G87" i="308"/>
  <c r="J123" i="183"/>
  <c r="AC112" i="308"/>
  <c r="Y57" i="308"/>
  <c r="Y87" i="308"/>
  <c r="D67" i="159"/>
  <c r="I49" i="274"/>
  <c r="Q49" i="274"/>
  <c r="M49" i="274"/>
  <c r="O49" i="274"/>
  <c r="K49" i="274"/>
  <c r="H71" i="274"/>
  <c r="N85" i="183"/>
  <c r="O69" i="183"/>
  <c r="T69" i="183"/>
  <c r="J104" i="161"/>
  <c r="G49" i="274"/>
  <c r="W112" i="308"/>
  <c r="M43" i="274"/>
  <c r="J71" i="274"/>
  <c r="S71" i="274" s="1"/>
  <c r="O43" i="274"/>
  <c r="K43" i="274"/>
  <c r="S43" i="274"/>
  <c r="Q43" i="274"/>
  <c r="F129" i="159"/>
  <c r="D129" i="159"/>
  <c r="C136" i="159"/>
  <c r="F136" i="159" s="1"/>
  <c r="O53" i="161"/>
  <c r="N54" i="161"/>
  <c r="J99" i="161"/>
  <c r="W87" i="308"/>
  <c r="T97" i="161"/>
  <c r="Y138" i="274"/>
  <c r="O57" i="308"/>
  <c r="I136" i="159"/>
  <c r="T36" i="184"/>
  <c r="O36" i="184"/>
  <c r="W109" i="184"/>
  <c r="X76" i="184"/>
  <c r="AD76" i="184" s="1"/>
  <c r="X103" i="184"/>
  <c r="X16" i="184"/>
  <c r="Y21" i="184"/>
  <c r="U85" i="184"/>
  <c r="Y61" i="184"/>
  <c r="T57" i="184"/>
  <c r="Y57" i="184"/>
  <c r="X62" i="184"/>
  <c r="T59" i="184"/>
  <c r="Y59" i="184"/>
  <c r="J34" i="196"/>
  <c r="L66" i="196"/>
  <c r="I67" i="196"/>
  <c r="F67" i="196"/>
  <c r="H67" i="196"/>
  <c r="V14" i="310"/>
  <c r="V9" i="310"/>
  <c r="C34" i="310"/>
  <c r="B34" i="310"/>
  <c r="D34" i="310"/>
  <c r="U110" i="274"/>
  <c r="B145" i="274"/>
  <c r="E5" i="122"/>
  <c r="E14" i="122"/>
  <c r="E7" i="122"/>
  <c r="E10" i="122"/>
  <c r="E8" i="122"/>
  <c r="E6" i="122"/>
  <c r="E11" i="122"/>
  <c r="E9" i="122"/>
  <c r="E12" i="122"/>
  <c r="V32" i="309"/>
  <c r="U33" i="309"/>
  <c r="Y100" i="161"/>
  <c r="I61" i="161"/>
  <c r="X61" i="161"/>
  <c r="AD61" i="161" s="1"/>
  <c r="Q107" i="161"/>
  <c r="Y37" i="161"/>
  <c r="T57" i="161"/>
  <c r="O59" i="161"/>
  <c r="Y118" i="161"/>
  <c r="T74" i="161"/>
  <c r="S61" i="161"/>
  <c r="X22" i="161"/>
  <c r="Y36" i="161"/>
  <c r="Y83" i="160"/>
  <c r="Y60" i="161"/>
  <c r="V23" i="161"/>
  <c r="E68" i="161"/>
  <c r="S68" i="161"/>
  <c r="T68" i="160"/>
  <c r="N84" i="160"/>
  <c r="O67" i="161"/>
  <c r="Y82" i="161"/>
  <c r="Y32" i="161"/>
  <c r="Y8" i="161"/>
  <c r="Y98" i="161"/>
  <c r="P84" i="161"/>
  <c r="AD39" i="160"/>
  <c r="X44" i="160"/>
  <c r="AD61" i="160"/>
  <c r="Y61" i="160"/>
  <c r="Y20" i="161"/>
  <c r="X15" i="161"/>
  <c r="Y75" i="160"/>
  <c r="Y121" i="160"/>
  <c r="Y68" i="160"/>
  <c r="AD106" i="160"/>
  <c r="Y106" i="160"/>
  <c r="Y101" i="160"/>
  <c r="AD101" i="160"/>
  <c r="AD95" i="160"/>
  <c r="X107" i="160"/>
  <c r="X84" i="160"/>
  <c r="AD84" i="160" s="1"/>
  <c r="AD54" i="160"/>
  <c r="AD15" i="160"/>
  <c r="Y15" i="160"/>
  <c r="X23" i="160"/>
  <c r="Y95" i="160"/>
  <c r="X75" i="161"/>
  <c r="AD75" i="161" s="1"/>
  <c r="AD74" i="161"/>
  <c r="Y63" i="161"/>
  <c r="AD63" i="161"/>
  <c r="X54" i="161"/>
  <c r="AD54" i="161" s="1"/>
  <c r="AD51" i="161"/>
  <c r="Y115" i="161"/>
  <c r="AD115" i="161"/>
  <c r="Y71" i="161"/>
  <c r="AD71" i="161"/>
  <c r="Y33" i="161"/>
  <c r="Y77" i="161"/>
  <c r="AD77" i="161"/>
  <c r="Y119" i="161"/>
  <c r="AD119" i="161"/>
  <c r="Y73" i="161"/>
  <c r="AD73" i="161"/>
  <c r="J74" i="161"/>
  <c r="O74" i="161"/>
  <c r="I75" i="161"/>
  <c r="AD52" i="161"/>
  <c r="Y52" i="161"/>
  <c r="N61" i="161"/>
  <c r="T58" i="161"/>
  <c r="W84" i="161"/>
  <c r="Y117" i="161"/>
  <c r="Y114" i="161"/>
  <c r="T121" i="184"/>
  <c r="Y121" i="184"/>
  <c r="Y58" i="184"/>
  <c r="T58" i="184"/>
  <c r="T33" i="184"/>
  <c r="Y33" i="184"/>
  <c r="T10" i="184"/>
  <c r="Y10" i="184"/>
  <c r="T60" i="184"/>
  <c r="Y117" i="184"/>
  <c r="T18" i="184"/>
  <c r="T117" i="184"/>
  <c r="J34" i="161"/>
  <c r="Y32" i="184"/>
  <c r="Y8" i="184"/>
  <c r="S16" i="184"/>
  <c r="N95" i="161"/>
  <c r="T94" i="161"/>
  <c r="O94" i="161"/>
  <c r="W107" i="161"/>
  <c r="T35" i="184"/>
  <c r="T8" i="184"/>
  <c r="Y101" i="184"/>
  <c r="T54" i="183"/>
  <c r="S85" i="183"/>
  <c r="Y54" i="183"/>
  <c r="S23" i="308"/>
  <c r="O23" i="308"/>
  <c r="U23" i="308"/>
  <c r="Q23" i="308"/>
  <c r="N30" i="308"/>
  <c r="U30" i="308" s="1"/>
  <c r="N145" i="274"/>
  <c r="U71" i="274"/>
  <c r="W71" i="274"/>
  <c r="M30" i="308"/>
  <c r="L113" i="308"/>
  <c r="M113" i="308" s="1"/>
  <c r="T11" i="237"/>
  <c r="T21" i="237"/>
  <c r="T8" i="237"/>
  <c r="T16" i="237"/>
  <c r="T9" i="237"/>
  <c r="AP15" i="237"/>
  <c r="T6" i="237"/>
  <c r="AQ15" i="237"/>
  <c r="T23" i="237"/>
  <c r="T7" i="237"/>
  <c r="T15" i="237"/>
  <c r="T24" i="237"/>
  <c r="T13" i="237"/>
  <c r="T20" i="237"/>
  <c r="T12" i="237"/>
  <c r="T22" i="237"/>
  <c r="T10" i="237"/>
  <c r="T17" i="237"/>
  <c r="Y60" i="184"/>
  <c r="Y74" i="161"/>
  <c r="W23" i="308"/>
  <c r="Y73" i="184"/>
  <c r="Y64" i="184"/>
  <c r="T18" i="237"/>
  <c r="AC145" i="274"/>
  <c r="Y119" i="184"/>
  <c r="T40" i="183"/>
  <c r="Y40" i="183"/>
  <c r="Y116" i="161"/>
  <c r="T72" i="161"/>
  <c r="S75" i="161"/>
  <c r="Y72" i="161"/>
  <c r="T41" i="161"/>
  <c r="Y35" i="161"/>
  <c r="T35" i="161"/>
  <c r="T16" i="183"/>
  <c r="Y16" i="183"/>
  <c r="S24" i="183"/>
  <c r="AA30" i="308"/>
  <c r="S30" i="308"/>
  <c r="O11" i="184"/>
  <c r="I16" i="184"/>
  <c r="J11" i="184"/>
  <c r="I107" i="160"/>
  <c r="O95" i="160"/>
  <c r="J95" i="160"/>
  <c r="E83" i="161"/>
  <c r="J77" i="161"/>
  <c r="S45" i="183"/>
  <c r="T37" i="161"/>
  <c r="S54" i="161"/>
  <c r="R113" i="308"/>
  <c r="W30" i="308"/>
  <c r="AC113" i="308"/>
  <c r="Y111" i="161"/>
  <c r="Y92" i="184"/>
  <c r="U34" i="309" l="1"/>
  <c r="T34" i="309"/>
  <c r="Y145" i="274"/>
  <c r="AA145" i="274"/>
  <c r="AI145" i="274"/>
  <c r="AK145" i="274"/>
  <c r="J84" i="160"/>
  <c r="Y84" i="160"/>
  <c r="V28" i="310"/>
  <c r="N109" i="184"/>
  <c r="J69" i="184"/>
  <c r="O96" i="184"/>
  <c r="O108" i="184"/>
  <c r="J108" i="184"/>
  <c r="K110" i="274"/>
  <c r="U36" i="274"/>
  <c r="Q36" i="274"/>
  <c r="H136" i="159"/>
  <c r="J95" i="161"/>
  <c r="O106" i="161"/>
  <c r="R124" i="161"/>
  <c r="O68" i="161"/>
  <c r="Y15" i="161"/>
  <c r="C124" i="161"/>
  <c r="Y101" i="161"/>
  <c r="T101" i="161"/>
  <c r="B124" i="161"/>
  <c r="X107" i="161"/>
  <c r="AD107" i="161" s="1"/>
  <c r="T84" i="160"/>
  <c r="J15" i="161"/>
  <c r="E23" i="161"/>
  <c r="M124" i="161"/>
  <c r="U124" i="161"/>
  <c r="I107" i="161"/>
  <c r="O83" i="161"/>
  <c r="J106" i="161"/>
  <c r="S23" i="161"/>
  <c r="F124" i="161"/>
  <c r="G113" i="308"/>
  <c r="K113" i="308"/>
  <c r="T68" i="161"/>
  <c r="H124" i="161"/>
  <c r="H34" i="196"/>
  <c r="E134" i="196"/>
  <c r="H134" i="196" s="1"/>
  <c r="F34" i="196"/>
  <c r="Y106" i="161"/>
  <c r="S36" i="274"/>
  <c r="J54" i="184"/>
  <c r="T106" i="161"/>
  <c r="G124" i="161"/>
  <c r="T83" i="161"/>
  <c r="T44" i="160"/>
  <c r="L124" i="161"/>
  <c r="J61" i="161"/>
  <c r="S124" i="160"/>
  <c r="Y95" i="161"/>
  <c r="I113" i="308"/>
  <c r="D124" i="161"/>
  <c r="D34" i="196"/>
  <c r="B134" i="196"/>
  <c r="O84" i="184"/>
  <c r="J40" i="184"/>
  <c r="Y109" i="183"/>
  <c r="X126" i="183"/>
  <c r="J85" i="183"/>
  <c r="J84" i="184"/>
  <c r="T109" i="183"/>
  <c r="G126" i="184"/>
  <c r="Y108" i="184"/>
  <c r="N126" i="183"/>
  <c r="T62" i="184"/>
  <c r="M126" i="184"/>
  <c r="O71" i="274"/>
  <c r="Q71" i="274"/>
  <c r="T121" i="161"/>
  <c r="J39" i="161"/>
  <c r="W124" i="161"/>
  <c r="T22" i="161"/>
  <c r="O121" i="161"/>
  <c r="V124" i="161"/>
  <c r="P124" i="161"/>
  <c r="Y61" i="161"/>
  <c r="O44" i="160"/>
  <c r="X84" i="161"/>
  <c r="AD84" i="161" s="1"/>
  <c r="N124" i="160"/>
  <c r="K124" i="161"/>
  <c r="I84" i="161"/>
  <c r="J121" i="161"/>
  <c r="T95" i="161"/>
  <c r="O61" i="161"/>
  <c r="S107" i="161"/>
  <c r="J54" i="161"/>
  <c r="J44" i="161"/>
  <c r="O39" i="161"/>
  <c r="Y83" i="161"/>
  <c r="Q124" i="161"/>
  <c r="O54" i="161"/>
  <c r="O44" i="161"/>
  <c r="N23" i="161"/>
  <c r="O15" i="161"/>
  <c r="T61" i="161"/>
  <c r="N84" i="161"/>
  <c r="T15" i="161"/>
  <c r="V33" i="310"/>
  <c r="V19" i="310"/>
  <c r="U34" i="310"/>
  <c r="V33" i="309"/>
  <c r="AC51" i="261"/>
  <c r="Y51" i="261"/>
  <c r="W51" i="261"/>
  <c r="U51" i="261"/>
  <c r="AA51" i="261"/>
  <c r="T76" i="184"/>
  <c r="J23" i="184"/>
  <c r="E24" i="184"/>
  <c r="O62" i="184"/>
  <c r="F126" i="184"/>
  <c r="J123" i="184"/>
  <c r="B126" i="184"/>
  <c r="O76" i="184"/>
  <c r="H126" i="184"/>
  <c r="R126" i="184"/>
  <c r="Y62" i="184"/>
  <c r="J62" i="184"/>
  <c r="T103" i="184"/>
  <c r="I109" i="184"/>
  <c r="P126" i="184"/>
  <c r="D126" i="184"/>
  <c r="I85" i="184"/>
  <c r="J96" i="184"/>
  <c r="K126" i="184"/>
  <c r="Q126" i="184"/>
  <c r="O69" i="184"/>
  <c r="C126" i="184"/>
  <c r="V126" i="184"/>
  <c r="O103" i="184"/>
  <c r="U126" i="184"/>
  <c r="W126" i="184"/>
  <c r="T108" i="184"/>
  <c r="S85" i="184"/>
  <c r="J103" i="184"/>
  <c r="L126" i="184"/>
  <c r="O23" i="184"/>
  <c r="E109" i="184"/>
  <c r="O40" i="184"/>
  <c r="T123" i="184"/>
  <c r="N24" i="184"/>
  <c r="N85" i="184"/>
  <c r="Y23" i="184"/>
  <c r="Y123" i="184"/>
  <c r="T84" i="184"/>
  <c r="Y76" i="184"/>
  <c r="E45" i="184"/>
  <c r="Y84" i="184"/>
  <c r="O123" i="184"/>
  <c r="S109" i="184"/>
  <c r="Y96" i="184"/>
  <c r="T54" i="184"/>
  <c r="Y54" i="184"/>
  <c r="T96" i="184"/>
  <c r="X85" i="184"/>
  <c r="AD85" i="184" s="1"/>
  <c r="AD62" i="184"/>
  <c r="K71" i="274"/>
  <c r="M71" i="274"/>
  <c r="I71" i="274"/>
  <c r="H145" i="274"/>
  <c r="D68" i="159"/>
  <c r="B136" i="159"/>
  <c r="D136" i="159" s="1"/>
  <c r="C134" i="196"/>
  <c r="D67" i="196"/>
  <c r="O110" i="274"/>
  <c r="M110" i="274"/>
  <c r="L145" i="274"/>
  <c r="U145" i="274" s="1"/>
  <c r="M56" i="29"/>
  <c r="K56" i="29"/>
  <c r="J23" i="160"/>
  <c r="O23" i="160"/>
  <c r="J145" i="274"/>
  <c r="S145" i="274" s="1"/>
  <c r="K138" i="274"/>
  <c r="M138" i="274"/>
  <c r="O138" i="274"/>
  <c r="W36" i="274"/>
  <c r="O36" i="274"/>
  <c r="S138" i="274"/>
  <c r="Q110" i="274"/>
  <c r="E107" i="161"/>
  <c r="S126" i="183"/>
  <c r="T34" i="310"/>
  <c r="X24" i="184"/>
  <c r="AD24" i="184" s="1"/>
  <c r="AD16" i="184"/>
  <c r="O85" i="183"/>
  <c r="T23" i="184"/>
  <c r="Y103" i="184"/>
  <c r="AD103" i="184"/>
  <c r="L136" i="159"/>
  <c r="J136" i="159"/>
  <c r="J22" i="161"/>
  <c r="I23" i="161"/>
  <c r="O22" i="161"/>
  <c r="X45" i="184"/>
  <c r="AD45" i="184" s="1"/>
  <c r="AD40" i="184"/>
  <c r="J45" i="183"/>
  <c r="E126" i="183"/>
  <c r="J76" i="184"/>
  <c r="E85" i="184"/>
  <c r="J101" i="161"/>
  <c r="O101" i="161"/>
  <c r="I110" i="274"/>
  <c r="F145" i="274"/>
  <c r="G145" i="274" s="1"/>
  <c r="Q138" i="274"/>
  <c r="X109" i="184"/>
  <c r="L67" i="196"/>
  <c r="J67" i="196"/>
  <c r="I134" i="196"/>
  <c r="E15" i="122"/>
  <c r="AD22" i="161"/>
  <c r="Y22" i="161"/>
  <c r="O84" i="160"/>
  <c r="J68" i="161"/>
  <c r="AD23" i="160"/>
  <c r="Y23" i="160"/>
  <c r="AD15" i="161"/>
  <c r="X23" i="161"/>
  <c r="AD107" i="160"/>
  <c r="X124" i="160"/>
  <c r="AD39" i="161"/>
  <c r="X44" i="161"/>
  <c r="AD44" i="161" s="1"/>
  <c r="AD44" i="160"/>
  <c r="Y44" i="160"/>
  <c r="Y107" i="160"/>
  <c r="O75" i="161"/>
  <c r="J75" i="161"/>
  <c r="Y68" i="161"/>
  <c r="AD68" i="161"/>
  <c r="T16" i="184"/>
  <c r="Y16" i="184"/>
  <c r="S24" i="184"/>
  <c r="N107" i="161"/>
  <c r="O95" i="161"/>
  <c r="S45" i="184"/>
  <c r="T40" i="184"/>
  <c r="Y40" i="184"/>
  <c r="T44" i="161"/>
  <c r="T45" i="183"/>
  <c r="Y45" i="183"/>
  <c r="J83" i="161"/>
  <c r="E84" i="161"/>
  <c r="Y24" i="183"/>
  <c r="T24" i="183"/>
  <c r="Y113" i="308"/>
  <c r="AA113" i="308"/>
  <c r="T54" i="161"/>
  <c r="Y54" i="161"/>
  <c r="S84" i="161"/>
  <c r="O45" i="184"/>
  <c r="O107" i="160"/>
  <c r="J107" i="160"/>
  <c r="I124" i="160"/>
  <c r="O16" i="184"/>
  <c r="I24" i="184"/>
  <c r="J16" i="184"/>
  <c r="T39" i="161"/>
  <c r="Y39" i="161"/>
  <c r="T75" i="161"/>
  <c r="Y75" i="161"/>
  <c r="T69" i="184"/>
  <c r="Y69" i="184"/>
  <c r="W145" i="274"/>
  <c r="O30" i="308"/>
  <c r="N113" i="308"/>
  <c r="S113" i="308" s="1"/>
  <c r="Q30" i="308"/>
  <c r="Y85" i="183"/>
  <c r="T85" i="183"/>
  <c r="Y107" i="161"/>
  <c r="Y121" i="161"/>
  <c r="V34" i="309" l="1"/>
  <c r="W16" i="309" s="1"/>
  <c r="J84" i="161"/>
  <c r="V34" i="310"/>
  <c r="W7" i="310" s="1"/>
  <c r="O126" i="183"/>
  <c r="J126" i="183"/>
  <c r="AD126" i="183"/>
  <c r="T109" i="184"/>
  <c r="O109" i="184"/>
  <c r="J107" i="161"/>
  <c r="T23" i="161"/>
  <c r="T107" i="161"/>
  <c r="O84" i="161"/>
  <c r="T124" i="160"/>
  <c r="S124" i="161"/>
  <c r="I124" i="161"/>
  <c r="O24" i="184"/>
  <c r="J109" i="184"/>
  <c r="Y126" i="183"/>
  <c r="T126" i="183"/>
  <c r="N126" i="184"/>
  <c r="Q145" i="274"/>
  <c r="O145" i="274"/>
  <c r="Y85" i="184"/>
  <c r="J85" i="184"/>
  <c r="O85" i="184"/>
  <c r="E126" i="184"/>
  <c r="J45" i="184"/>
  <c r="T85" i="184"/>
  <c r="X126" i="184"/>
  <c r="AD126" i="184" s="1"/>
  <c r="M145" i="274"/>
  <c r="D134" i="196"/>
  <c r="F134" i="196"/>
  <c r="S126" i="184"/>
  <c r="J23" i="161"/>
  <c r="O23" i="161"/>
  <c r="K145" i="274"/>
  <c r="Y109" i="184"/>
  <c r="AD109" i="184"/>
  <c r="I145" i="274"/>
  <c r="L134" i="196"/>
  <c r="J134" i="196"/>
  <c r="E124" i="161"/>
  <c r="X124" i="161"/>
  <c r="AD124" i="161" s="1"/>
  <c r="Y44" i="161"/>
  <c r="AD124" i="160"/>
  <c r="Y124" i="160"/>
  <c r="AD23" i="161"/>
  <c r="Y23" i="161"/>
  <c r="T24" i="184"/>
  <c r="Y24" i="184"/>
  <c r="Y45" i="184"/>
  <c r="T45" i="184"/>
  <c r="O107" i="161"/>
  <c r="N124" i="161"/>
  <c r="O113" i="308"/>
  <c r="U113" i="308"/>
  <c r="Q113" i="308"/>
  <c r="J124" i="160"/>
  <c r="O124" i="160"/>
  <c r="I126" i="184"/>
  <c r="J24" i="184"/>
  <c r="W113" i="308"/>
  <c r="T84" i="161"/>
  <c r="Y84" i="161"/>
  <c r="Y126" i="184" l="1"/>
  <c r="W9" i="309"/>
  <c r="W24" i="309"/>
  <c r="W28" i="309"/>
  <c r="W19" i="309"/>
  <c r="W10" i="309"/>
  <c r="W14" i="309"/>
  <c r="W7" i="309"/>
  <c r="W23" i="309"/>
  <c r="W21" i="309"/>
  <c r="W18" i="309"/>
  <c r="W26" i="309"/>
  <c r="W32" i="309"/>
  <c r="W17" i="309"/>
  <c r="W8" i="309"/>
  <c r="W25" i="309"/>
  <c r="W29" i="309"/>
  <c r="W22" i="309"/>
  <c r="W15" i="309"/>
  <c r="W33" i="309"/>
  <c r="W30" i="309"/>
  <c r="W31" i="309"/>
  <c r="W13" i="309"/>
  <c r="W27" i="309"/>
  <c r="W12" i="309"/>
  <c r="W11" i="309"/>
  <c r="W16" i="310"/>
  <c r="W21" i="310"/>
  <c r="W27" i="310"/>
  <c r="W10" i="310"/>
  <c r="W33" i="310"/>
  <c r="W28" i="310"/>
  <c r="W17" i="310"/>
  <c r="W23" i="310"/>
  <c r="W13" i="310"/>
  <c r="W12" i="310"/>
  <c r="W31" i="310"/>
  <c r="W11" i="310"/>
  <c r="W19" i="310"/>
  <c r="W15" i="310"/>
  <c r="W29" i="310"/>
  <c r="W14" i="310"/>
  <c r="W26" i="310"/>
  <c r="W8" i="310"/>
  <c r="W22" i="310"/>
  <c r="W30" i="310"/>
  <c r="W24" i="310"/>
  <c r="W9" i="310"/>
  <c r="W25" i="310"/>
  <c r="W18" i="310"/>
  <c r="W32" i="310"/>
  <c r="J124" i="161"/>
  <c r="Y124" i="161"/>
  <c r="T124" i="161"/>
  <c r="J126" i="184"/>
  <c r="T126" i="184"/>
  <c r="O126" i="184"/>
  <c r="O124" i="161"/>
  <c r="W34" i="310" l="1"/>
  <c r="W34" i="309"/>
</calcChain>
</file>

<file path=xl/comments1.xml><?xml version="1.0" encoding="utf-8"?>
<comments xmlns="http://schemas.openxmlformats.org/spreadsheetml/2006/main">
  <authors>
    <author>Mac Kirkpatrick</author>
  </authors>
  <commentList>
    <comment ref="A38" authorId="0" shapeId="0">
      <text>
        <r>
          <rPr>
            <b/>
            <sz val="9"/>
            <color indexed="81"/>
            <rFont val="Tahoma"/>
            <family val="2"/>
          </rPr>
          <t>Mac Kirkpatrick:</t>
        </r>
        <r>
          <rPr>
            <sz val="9"/>
            <color indexed="81"/>
            <rFont val="Tahoma"/>
            <family val="2"/>
          </rPr>
          <t xml:space="preserve">
Wren High School was in Greenville County.  It moved to Anderson County. (mk, 5/25/15)</t>
        </r>
      </text>
    </comment>
    <comment ref="A236" authorId="0" shapeId="0">
      <text>
        <r>
          <rPr>
            <b/>
            <sz val="9"/>
            <color indexed="81"/>
            <rFont val="Tahoma"/>
            <family val="2"/>
          </rPr>
          <t>Mac Kirkpatrick:</t>
        </r>
        <r>
          <rPr>
            <sz val="9"/>
            <color indexed="81"/>
            <rFont val="Tahoma"/>
            <family val="2"/>
          </rPr>
          <t xml:space="preserve">
Wren High School was in Greenville County.  It moved to Anderson County. (mk, 5/25/15)</t>
        </r>
      </text>
    </comment>
  </commentList>
</comments>
</file>

<file path=xl/comments10.xml><?xml version="1.0" encoding="utf-8"?>
<comments xmlns="http://schemas.openxmlformats.org/spreadsheetml/2006/main">
  <authors>
    <author>mkirkpat</author>
    <author>A satisfied Microsoft Office user</author>
  </authors>
  <commentList>
    <comment ref="A16" authorId="0" shapeId="0">
      <text>
        <r>
          <rPr>
            <b/>
            <sz val="8"/>
            <color indexed="81"/>
            <rFont val="Tahoma"/>
            <family val="2"/>
          </rPr>
          <t xml:space="preserve">Mac Kirkpatrick: </t>
        </r>
        <r>
          <rPr>
            <sz val="8"/>
            <color indexed="81"/>
            <rFont val="Tahoma"/>
            <family val="2"/>
          </rPr>
          <t xml:space="preserve">The Electronic Art Minor was first offered in the 1991-1992 Academic Year.
</t>
        </r>
      </text>
    </comment>
    <comment ref="A18" authorId="0" shapeId="0">
      <text>
        <r>
          <rPr>
            <sz val="8"/>
            <color indexed="81"/>
            <rFont val="Tahoma"/>
            <family val="2"/>
          </rPr>
          <t>Mac Kirkpatrick: The Applied Emphasis Minor was approved by the CHE in January of 1999.</t>
        </r>
        <r>
          <rPr>
            <sz val="8"/>
            <color indexed="81"/>
            <rFont val="Tahoma"/>
            <family val="2"/>
          </rPr>
          <t xml:space="preserve">
</t>
        </r>
      </text>
    </comment>
    <comment ref="A28" authorId="1" shapeId="0">
      <text>
        <r>
          <rPr>
            <b/>
            <sz val="8"/>
            <color indexed="8"/>
            <rFont val="Tahoma"/>
            <family val="2"/>
          </rPr>
          <t>Mac Kirkpatrick:</t>
        </r>
        <r>
          <rPr>
            <sz val="8"/>
            <color indexed="8"/>
            <rFont val="Tahoma"/>
            <family val="2"/>
          </rPr>
          <t xml:space="preserve">  Since the Catalog states that we have a Mass Media minor rather than a Journalism minor all students from the latter have been put in the former minor for the Fall 1991, 1992 and 1993. </t>
        </r>
      </text>
    </comment>
    <comment ref="A34" authorId="1" shapeId="0">
      <text>
        <r>
          <rPr>
            <sz val="8"/>
            <color indexed="8"/>
            <rFont val="Tahoma"/>
            <family val="2"/>
          </rPr>
          <t>Philosophy-Religion minor deleted by Faculty Senate action in Fall 1996.</t>
        </r>
      </text>
    </comment>
  </commentList>
</comments>
</file>

<file path=xl/comments11.xml><?xml version="1.0" encoding="utf-8"?>
<comments xmlns="http://schemas.openxmlformats.org/spreadsheetml/2006/main">
  <authors>
    <author>mkirkpat</author>
    <author>A satisfied Microsoft Office user</author>
  </authors>
  <commentList>
    <comment ref="A16" authorId="0" shapeId="0">
      <text>
        <r>
          <rPr>
            <b/>
            <sz val="8"/>
            <color indexed="81"/>
            <rFont val="Tahoma"/>
            <family val="2"/>
          </rPr>
          <t xml:space="preserve">Mac Kirkpatrick: </t>
        </r>
        <r>
          <rPr>
            <sz val="8"/>
            <color indexed="81"/>
            <rFont val="Tahoma"/>
            <family val="2"/>
          </rPr>
          <t xml:space="preserve">The Electronic Art Minor was first offered in the 1991-1992 Academic Year.
</t>
        </r>
      </text>
    </comment>
    <comment ref="A18" authorId="0" shapeId="0">
      <text>
        <r>
          <rPr>
            <sz val="8"/>
            <color indexed="81"/>
            <rFont val="Tahoma"/>
            <family val="2"/>
          </rPr>
          <t>Mac Kirkpatrick: The Applied Emphasis Minor was approved by the CHE in January of 1999.</t>
        </r>
        <r>
          <rPr>
            <sz val="8"/>
            <color indexed="81"/>
            <rFont val="Tahoma"/>
            <family val="2"/>
          </rPr>
          <t xml:space="preserve">
</t>
        </r>
      </text>
    </comment>
    <comment ref="B23" authorId="1" shapeId="0">
      <text>
        <r>
          <rPr>
            <sz val="8"/>
            <color indexed="81"/>
            <rFont val="Tahoma"/>
            <family val="2"/>
          </rPr>
          <t xml:space="preserve">Since the Catalog states that we have a Mass Media minor rather than a Journalism minor all students from the latter have been put in the former minor for the Fall 1991, 1992 and 1993. </t>
        </r>
      </text>
    </comment>
    <comment ref="A29" authorId="1" shapeId="0">
      <text>
        <r>
          <rPr>
            <b/>
            <sz val="8"/>
            <color indexed="8"/>
            <rFont val="Tahoma"/>
            <family val="2"/>
          </rPr>
          <t>Mac Kirkpatrick:</t>
        </r>
        <r>
          <rPr>
            <sz val="8"/>
            <color indexed="8"/>
            <rFont val="Tahoma"/>
            <family val="2"/>
          </rPr>
          <t xml:space="preserve">  Since the Catalog states that we have a Mass Media minor rather than a Journalism minor all students from the latter have been put in the former minor for the Fall 1991, 1992 and 1993. </t>
        </r>
      </text>
    </comment>
    <comment ref="B29" authorId="1" shapeId="0">
      <text>
        <r>
          <rPr>
            <sz val="8"/>
            <color indexed="81"/>
            <rFont val="Tahoma"/>
            <family val="2"/>
          </rPr>
          <t>Philosophy-Religion minor deleted by Faculty Senate action in Fall 1996.</t>
        </r>
      </text>
    </comment>
    <comment ref="A35" authorId="1" shapeId="0">
      <text>
        <r>
          <rPr>
            <sz val="8"/>
            <color indexed="8"/>
            <rFont val="Tahoma"/>
            <family val="2"/>
          </rPr>
          <t>Philosophy-Religion minor deleted by Faculty Senate action in Fall 1996.</t>
        </r>
      </text>
    </comment>
  </commentList>
</comments>
</file>

<file path=xl/comments12.xml><?xml version="1.0" encoding="utf-8"?>
<comments xmlns="http://schemas.openxmlformats.org/spreadsheetml/2006/main">
  <authors>
    <author>mkirkpatrick</author>
  </authors>
  <commentList>
    <comment ref="A1" authorId="0" shapeId="0">
      <text>
        <r>
          <rPr>
            <b/>
            <sz val="8"/>
            <color indexed="81"/>
            <rFont val="Tahoma"/>
            <family val="2"/>
          </rPr>
          <t xml:space="preserve">Mac Kirkpatrick: 
</t>
        </r>
        <r>
          <rPr>
            <sz val="8"/>
            <color indexed="81"/>
            <rFont val="Tahoma"/>
            <family val="2"/>
          </rPr>
          <t xml:space="preserve">These 4 year averages are from 
1996-1999 (3/22/06).
</t>
        </r>
      </text>
    </comment>
  </commentList>
</comments>
</file>

<file path=xl/comments2.xml><?xml version="1.0" encoding="utf-8"?>
<comments xmlns="http://schemas.openxmlformats.org/spreadsheetml/2006/main">
  <authors>
    <author>Mac Kirkpatrick</author>
  </authors>
  <commentList>
    <comment ref="A35" authorId="0" shapeId="0">
      <text>
        <r>
          <rPr>
            <b/>
            <sz val="9"/>
            <color indexed="81"/>
            <rFont val="Tahoma"/>
            <family val="2"/>
          </rPr>
          <t>Mac Kirkpatrick:</t>
        </r>
        <r>
          <rPr>
            <sz val="9"/>
            <color indexed="81"/>
            <rFont val="Tahoma"/>
            <family val="2"/>
          </rPr>
          <t xml:space="preserve">
USC Beaufort was approved to move from 2‐ to 4‐year status in June 2002.</t>
        </r>
      </text>
    </comment>
  </commentList>
</comments>
</file>

<file path=xl/comments3.xml><?xml version="1.0" encoding="utf-8"?>
<comments xmlns="http://schemas.openxmlformats.org/spreadsheetml/2006/main">
  <authors>
    <author>mkirkpat</author>
    <author>mkirkpatrick</author>
    <author>Mac Kirkpatrick</author>
  </authors>
  <commentList>
    <comment ref="A49" authorId="0" shapeId="0">
      <text>
        <r>
          <rPr>
            <b/>
            <sz val="8"/>
            <color indexed="81"/>
            <rFont val="Tahoma"/>
            <family val="2"/>
          </rPr>
          <t xml:space="preserve">Mac Kirkpatrick: </t>
        </r>
        <r>
          <rPr>
            <sz val="8"/>
            <color indexed="81"/>
            <rFont val="Tahoma"/>
            <family val="2"/>
          </rPr>
          <t xml:space="preserve">The Pre-Law concentration for History was approved 
by the CHEF in March 1999. </t>
        </r>
      </text>
    </comment>
    <comment ref="A53" authorId="1" shapeId="0">
      <text>
        <r>
          <rPr>
            <b/>
            <sz val="8"/>
            <color indexed="81"/>
            <rFont val="Tahoma"/>
            <family val="2"/>
          </rPr>
          <t xml:space="preserve">Mac Kirkpatrick:  The Speech and Theatre emphasis was discontinued as of May 22, 2003 (12/5/03). </t>
        </r>
        <r>
          <rPr>
            <sz val="8"/>
            <color indexed="81"/>
            <rFont val="Tahoma"/>
            <family val="2"/>
          </rPr>
          <t xml:space="preserve">
</t>
        </r>
      </text>
    </comment>
    <comment ref="A88" authorId="1" shapeId="0">
      <text>
        <r>
          <rPr>
            <b/>
            <sz val="8"/>
            <color indexed="81"/>
            <rFont val="Tahoma"/>
            <family val="2"/>
          </rPr>
          <t>Mac Kirkpatrick:  This program name was changed from Sports Medicine/Athletic Training to Athletic Training. Approved by the CHE in November 2002 (9/2/03).</t>
        </r>
      </text>
    </comment>
    <comment ref="K98"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98"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O98"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Q98"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K100"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100"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O100"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Q100"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A108" authorId="2" shapeId="0">
      <text>
        <r>
          <rPr>
            <b/>
            <sz val="9"/>
            <color indexed="81"/>
            <rFont val="Tahoma"/>
            <family val="2"/>
          </rPr>
          <t>Mac Kirkpatrick:</t>
        </r>
        <r>
          <rPr>
            <sz val="9"/>
            <color indexed="81"/>
            <rFont val="Tahoma"/>
            <family val="2"/>
          </rPr>
          <t xml:space="preserve">
New emphasis starting in 2015-2016 academic year.</t>
        </r>
      </text>
    </comment>
    <comment ref="A112" authorId="1" shapeId="0">
      <text>
        <r>
          <rPr>
            <b/>
            <sz val="8"/>
            <color indexed="81"/>
            <rFont val="Tahoma"/>
            <family val="2"/>
          </rPr>
          <t>Mac Kirkpatrick:  This is a new certificate for 12 hours offered for the first time in Fall 2003 (12/5/03) mk.</t>
        </r>
      </text>
    </comment>
    <comment ref="K116"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116"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O116"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Q116"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A119" authorId="0" shapeId="0">
      <text>
        <r>
          <rPr>
            <b/>
            <sz val="8"/>
            <color indexed="81"/>
            <rFont val="Tahoma"/>
            <family val="2"/>
          </rPr>
          <t xml:space="preserve">Mac Kirkpatrick: </t>
        </r>
        <r>
          <rPr>
            <sz val="8"/>
            <color indexed="81"/>
            <rFont val="Tahoma"/>
            <family val="2"/>
          </rPr>
          <t>The Pre-Law concentration for Political Science was approved by the CHE in March 1999.</t>
        </r>
        <r>
          <rPr>
            <sz val="8"/>
            <color indexed="81"/>
            <rFont val="Tahoma"/>
            <family val="2"/>
          </rPr>
          <t xml:space="preserve">
</t>
        </r>
      </text>
    </comment>
    <comment ref="K120"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120"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O120"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Q120"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K122"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122"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O122"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Q122"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K125"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125"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O125"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Q125"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K127"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127"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O127"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Q127"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List>
</comments>
</file>

<file path=xl/comments4.xml><?xml version="1.0" encoding="utf-8"?>
<comments xmlns="http://schemas.openxmlformats.org/spreadsheetml/2006/main">
  <authors>
    <author>mkirkpatrick</author>
    <author>mkirkpat</author>
    <author>Mac Kirkpatrick</author>
  </authors>
  <commentList>
    <comment ref="A26" authorId="0" shapeId="0">
      <text>
        <r>
          <rPr>
            <b/>
            <sz val="8"/>
            <color indexed="81"/>
            <rFont val="Tahoma"/>
            <family val="2"/>
          </rPr>
          <t>These students are now considered undeclared majors and are reported below (mk 9/3/2012).</t>
        </r>
      </text>
    </comment>
    <comment ref="J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L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N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P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R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T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V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X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Z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B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D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F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H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J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52" authorId="1" shapeId="0">
      <text>
        <r>
          <rPr>
            <b/>
            <sz val="8"/>
            <color indexed="81"/>
            <rFont val="Tahoma"/>
            <family val="2"/>
          </rPr>
          <t xml:space="preserve">Mac Kirkpatrick: </t>
        </r>
        <r>
          <rPr>
            <sz val="8"/>
            <color indexed="81"/>
            <rFont val="Tahoma"/>
            <family val="2"/>
          </rPr>
          <t xml:space="preserve">The Pre-Law concentration for History was approved 
by the CHEF in March 1999. </t>
        </r>
      </text>
    </comment>
    <comment ref="A56" authorId="0" shapeId="0">
      <text>
        <r>
          <rPr>
            <b/>
            <sz val="8"/>
            <color indexed="81"/>
            <rFont val="Tahoma"/>
            <family val="2"/>
          </rPr>
          <t xml:space="preserve">Mac Kirkpatrick:  The Speech and Theatre emphasis was discontinued as of May 22, 2003 (12/5/03). </t>
        </r>
        <r>
          <rPr>
            <sz val="8"/>
            <color indexed="81"/>
            <rFont val="Tahoma"/>
            <family val="2"/>
          </rPr>
          <t xml:space="preserve">
</t>
        </r>
      </text>
    </comment>
    <comment ref="A83" authorId="0" shapeId="0">
      <text>
        <r>
          <rPr>
            <b/>
            <sz val="12"/>
            <color indexed="81"/>
            <rFont val="Tahoma"/>
            <family val="2"/>
          </rPr>
          <t>This is to be offered at the University Center beginning Summer 2008 semester. (MK 12/14/07)</t>
        </r>
        <r>
          <rPr>
            <sz val="8"/>
            <color indexed="81"/>
            <rFont val="Tahoma"/>
            <family val="2"/>
          </rPr>
          <t xml:space="preserve">
</t>
        </r>
      </text>
    </comment>
    <comment ref="A95" authorId="0" shapeId="0">
      <text>
        <r>
          <rPr>
            <b/>
            <sz val="8"/>
            <color indexed="81"/>
            <rFont val="Tahoma"/>
            <family val="2"/>
          </rPr>
          <t>Mac Kirkpatrick:  This program name was changed from Sports Medicine/Athletic Training to Athletic Training. Approved by the CHE in November 2002 (9/2/03).</t>
        </r>
      </text>
    </comment>
    <comment ref="A116" authorId="2" shapeId="0">
      <text>
        <r>
          <rPr>
            <b/>
            <sz val="9"/>
            <color indexed="81"/>
            <rFont val="Tahoma"/>
            <family val="2"/>
          </rPr>
          <t>Mac Kirkpatrick:</t>
        </r>
        <r>
          <rPr>
            <sz val="9"/>
            <color indexed="81"/>
            <rFont val="Tahoma"/>
            <family val="2"/>
          </rPr>
          <t xml:space="preserve">
New emphasis starting in 2015-2016 academic year.</t>
        </r>
      </text>
    </comment>
    <comment ref="A120" authorId="0" shapeId="0">
      <text>
        <r>
          <rPr>
            <b/>
            <sz val="8"/>
            <color indexed="81"/>
            <rFont val="Tahoma"/>
            <family val="2"/>
          </rPr>
          <t>Mac Kirkpatrick:  This is a new certificate for 12 hours offered for the first time in Fall 2003 (12/5/03) mk.</t>
        </r>
      </text>
    </comment>
    <comment ref="A127" authorId="1" shapeId="0">
      <text>
        <r>
          <rPr>
            <b/>
            <sz val="8"/>
            <color indexed="81"/>
            <rFont val="Tahoma"/>
            <family val="2"/>
          </rPr>
          <t xml:space="preserve">Mac Kirkpatrick: </t>
        </r>
        <r>
          <rPr>
            <sz val="8"/>
            <color indexed="81"/>
            <rFont val="Tahoma"/>
            <family val="2"/>
          </rPr>
          <t>The Pre-Law concentration for Political Science was approved by the CHE in March 1999.</t>
        </r>
        <r>
          <rPr>
            <sz val="8"/>
            <color indexed="81"/>
            <rFont val="Tahoma"/>
            <family val="2"/>
          </rPr>
          <t xml:space="preserve">
</t>
        </r>
      </text>
    </comment>
  </commentList>
</comments>
</file>

<file path=xl/comments5.xml><?xml version="1.0" encoding="utf-8"?>
<comments xmlns="http://schemas.openxmlformats.org/spreadsheetml/2006/main">
  <authors>
    <author>A satisfied Microsoft Office user</author>
  </authors>
  <commentList>
    <comment ref="B32" authorId="0" shapeId="0">
      <text>
        <r>
          <rPr>
            <sz val="8"/>
            <color indexed="8"/>
            <rFont val="Tahoma"/>
            <family val="2"/>
          </rPr>
          <t xml:space="preserve">Since the Catalog states that we have a Mass Media minor rather than a Journalism minor all students from the latter have been put in the former minor for the Fall 1991, 1992 and 1993. </t>
        </r>
      </text>
    </comment>
    <comment ref="B38" authorId="0" shapeId="0">
      <text>
        <r>
          <rPr>
            <sz val="8"/>
            <color indexed="8"/>
            <rFont val="Tahoma"/>
            <family val="2"/>
          </rPr>
          <t>Philosophy-Religion minor deleted by Faculty Senate action in Fall 1996.</t>
        </r>
      </text>
    </comment>
    <comment ref="B46" authorId="0" shapeId="0">
      <text>
        <r>
          <rPr>
            <sz val="8"/>
            <color indexed="8"/>
            <rFont val="Tahoma"/>
            <family val="2"/>
          </rPr>
          <t>The Special Education minor no longer exists (it was deleted in 1994).</t>
        </r>
      </text>
    </comment>
  </commentList>
</comments>
</file>

<file path=xl/comments6.xml><?xml version="1.0" encoding="utf-8"?>
<comments xmlns="http://schemas.openxmlformats.org/spreadsheetml/2006/main">
  <authors>
    <author>mkirkpatrick</author>
    <author>mkirkpat</author>
  </authors>
  <commentList>
    <comment ref="B25"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C25"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E25"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G25"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I25"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K25"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50" authorId="1" shapeId="0">
      <text>
        <r>
          <rPr>
            <b/>
            <sz val="8"/>
            <color indexed="81"/>
            <rFont val="Tahoma"/>
            <family val="2"/>
          </rPr>
          <t xml:space="preserve">Mac Kirkpatrick: </t>
        </r>
        <r>
          <rPr>
            <sz val="8"/>
            <color indexed="81"/>
            <rFont val="Tahoma"/>
            <family val="2"/>
          </rPr>
          <t xml:space="preserve">The Pre-Law concentration for History was approved 
by the CHEF in March 1999. </t>
        </r>
      </text>
    </comment>
    <comment ref="A73" authorId="0" shapeId="0">
      <text>
        <r>
          <rPr>
            <b/>
            <sz val="8"/>
            <color indexed="81"/>
            <rFont val="Tahoma"/>
            <family val="2"/>
          </rPr>
          <t>The M.Ed. In Montessori Education was approved by the CHE starting the Spring 2008 semester. (MK 7/2/08)</t>
        </r>
        <r>
          <rPr>
            <sz val="8"/>
            <color indexed="81"/>
            <rFont val="Tahoma"/>
            <family val="2"/>
          </rPr>
          <t xml:space="preserve">
</t>
        </r>
      </text>
    </comment>
    <comment ref="A74" authorId="0" shapeId="0">
      <text>
        <r>
          <rPr>
            <b/>
            <sz val="8"/>
            <color indexed="81"/>
            <rFont val="Tahoma"/>
            <family val="2"/>
          </rPr>
          <t>The M.Ed. In Montessori Education was approved by the CHE starting the Spring 2008 semester. (MK 7/2/08)</t>
        </r>
        <r>
          <rPr>
            <sz val="8"/>
            <color indexed="81"/>
            <rFont val="Tahoma"/>
            <family val="2"/>
          </rPr>
          <t xml:space="preserve">
</t>
        </r>
      </text>
    </comment>
    <comment ref="A75" authorId="0" shapeId="0">
      <text>
        <r>
          <rPr>
            <b/>
            <sz val="8"/>
            <color indexed="81"/>
            <rFont val="Tahoma"/>
            <family val="2"/>
          </rPr>
          <t>The M.Ed. In Montessori Education was approved by the CHE starting the Spring 2008 semester. (MK 7/2/08)</t>
        </r>
        <r>
          <rPr>
            <sz val="8"/>
            <color indexed="81"/>
            <rFont val="Tahoma"/>
            <family val="2"/>
          </rPr>
          <t xml:space="preserve">
</t>
        </r>
      </text>
    </comment>
    <comment ref="A87" authorId="0" shapeId="0">
      <text>
        <r>
          <rPr>
            <b/>
            <sz val="8"/>
            <color indexed="81"/>
            <rFont val="Tahoma"/>
            <family val="2"/>
          </rPr>
          <t>Mac Kirkpatrick:  This program name was changed from Sports Medicine/Athletic Training to Athletic Training. Approved by the CHE in November 2002 (9/2/03).</t>
        </r>
      </text>
    </comment>
    <comment ref="A112" authorId="0" shapeId="0">
      <text>
        <r>
          <rPr>
            <b/>
            <sz val="8"/>
            <color indexed="81"/>
            <rFont val="Tahoma"/>
            <family val="2"/>
          </rPr>
          <t>Mac Kirkpatrick:  This is a new certificate for 12 hours offered for the first time in Fall 2003 (12/5/03) mk.</t>
        </r>
      </text>
    </comment>
    <comment ref="A117" authorId="1" shapeId="0">
      <text>
        <r>
          <rPr>
            <b/>
            <sz val="8"/>
            <color indexed="81"/>
            <rFont val="Tahoma"/>
            <family val="2"/>
          </rPr>
          <t xml:space="preserve">Mac Kirkpatrick: </t>
        </r>
        <r>
          <rPr>
            <sz val="8"/>
            <color indexed="81"/>
            <rFont val="Tahoma"/>
            <family val="2"/>
          </rPr>
          <t>The Pre-Law concentration for Political Science was approved by the CHE in March 1999.</t>
        </r>
        <r>
          <rPr>
            <sz val="8"/>
            <color indexed="81"/>
            <rFont val="Tahoma"/>
            <family val="2"/>
          </rPr>
          <t xml:space="preserve">
</t>
        </r>
      </text>
    </comment>
  </commentList>
</comments>
</file>

<file path=xl/comments7.xml><?xml version="1.0" encoding="utf-8"?>
<comments xmlns="http://schemas.openxmlformats.org/spreadsheetml/2006/main">
  <authors>
    <author>mkirkpatrick</author>
    <author>mkirkpat</author>
  </authors>
  <commentList>
    <comment ref="C23"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E23"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46" authorId="1" shapeId="0">
      <text>
        <r>
          <rPr>
            <b/>
            <sz val="8"/>
            <color indexed="81"/>
            <rFont val="Tahoma"/>
            <family val="2"/>
          </rPr>
          <t xml:space="preserve">Mac Kirkpatrick: </t>
        </r>
        <r>
          <rPr>
            <sz val="8"/>
            <color indexed="81"/>
            <rFont val="Tahoma"/>
            <family val="2"/>
          </rPr>
          <t xml:space="preserve">The Pre-Law concentration for History was approved 
by the CHEF in March 1999. </t>
        </r>
      </text>
    </comment>
    <comment ref="A51" authorId="0" shapeId="0">
      <text>
        <r>
          <rPr>
            <b/>
            <sz val="8"/>
            <color indexed="81"/>
            <rFont val="Tahoma"/>
            <family val="2"/>
          </rPr>
          <t xml:space="preserve">Mac Kirkpatrick:  The Speech and Theatre emphasis was discontinued as of May 22, 2003 (12/5/03). </t>
        </r>
        <r>
          <rPr>
            <sz val="8"/>
            <color indexed="81"/>
            <rFont val="Tahoma"/>
            <family val="2"/>
          </rPr>
          <t xml:space="preserve">
</t>
        </r>
      </text>
    </comment>
    <comment ref="A85" authorId="0" shapeId="0">
      <text>
        <r>
          <rPr>
            <b/>
            <sz val="8"/>
            <color indexed="81"/>
            <rFont val="Tahoma"/>
            <family val="2"/>
          </rPr>
          <t>Mac Kirkpatrick:  This program name was changed from Sports Medicine/Athletic Training to Athletic Training. Approved by the CHE in November 2002 (9/2/03).</t>
        </r>
      </text>
    </comment>
    <comment ref="A111" authorId="0" shapeId="0">
      <text>
        <r>
          <rPr>
            <b/>
            <sz val="8"/>
            <color indexed="81"/>
            <rFont val="Tahoma"/>
            <family val="2"/>
          </rPr>
          <t>Mac Kirkpatrick:  This is a new certificate for 12 hours offered for the first time in Fall 2003 (12/5/03) mk.</t>
        </r>
      </text>
    </comment>
    <comment ref="A118" authorId="1" shapeId="0">
      <text>
        <r>
          <rPr>
            <b/>
            <sz val="8"/>
            <color indexed="81"/>
            <rFont val="Tahoma"/>
            <family val="2"/>
          </rPr>
          <t xml:space="preserve">Mac Kirkpatrick: </t>
        </r>
        <r>
          <rPr>
            <sz val="8"/>
            <color indexed="81"/>
            <rFont val="Tahoma"/>
            <family val="2"/>
          </rPr>
          <t>The Pre-Law concentration for Political Science was approved by the CHE in March 1999.</t>
        </r>
        <r>
          <rPr>
            <sz val="8"/>
            <color indexed="81"/>
            <rFont val="Tahoma"/>
            <family val="2"/>
          </rPr>
          <t xml:space="preserve">
</t>
        </r>
      </text>
    </comment>
  </commentList>
</comments>
</file>

<file path=xl/comments8.xml><?xml version="1.0" encoding="utf-8"?>
<comments xmlns="http://schemas.openxmlformats.org/spreadsheetml/2006/main">
  <authors>
    <author>Mac Kirkpatrick</author>
    <author>mkirkpat</author>
    <author>mkirkpatrick</author>
  </authors>
  <commentList>
    <comment ref="C15" authorId="0" shapeId="0">
      <text>
        <r>
          <rPr>
            <b/>
            <sz val="8"/>
            <color indexed="81"/>
            <rFont val="Tahoma"/>
            <family val="2"/>
          </rPr>
          <t>Mac Kirkpatrick (10/29/02):</t>
        </r>
        <r>
          <rPr>
            <sz val="8"/>
            <color indexed="81"/>
            <rFont val="Tahoma"/>
            <family val="2"/>
          </rPr>
          <t xml:space="preserve">
I changed this number from 4 to 5, which will make the total degrees conferred change from 421 to 422. This is a result of a student who was awarded a Mathematics/Engineering dual degree from Clemson (248-69-6039, Leah Jane Hightower) AFTER I ran the degrees conferred.  Helen "held" this student out because she does not count the student UNTIL she receives the final transcript from Clemson University.</t>
        </r>
      </text>
    </comment>
    <comment ref="A43" authorId="1" shapeId="0">
      <text>
        <r>
          <rPr>
            <b/>
            <sz val="8"/>
            <color indexed="81"/>
            <rFont val="Tahoma"/>
            <family val="2"/>
          </rPr>
          <t xml:space="preserve">Mac Kirkpatrick: </t>
        </r>
        <r>
          <rPr>
            <sz val="8"/>
            <color indexed="81"/>
            <rFont val="Tahoma"/>
            <family val="2"/>
          </rPr>
          <t xml:space="preserve">The Pre-Law concentration for History was approved 
by the CHEF in March 1999. </t>
        </r>
      </text>
    </comment>
    <comment ref="A67" authorId="2" shapeId="0">
      <text>
        <r>
          <rPr>
            <b/>
            <sz val="8"/>
            <color indexed="81"/>
            <rFont val="Tahoma"/>
            <family val="2"/>
          </rPr>
          <t>Mac Kirkpatrick:  This program name was changed from Sports Medicine/Athletic Training to Athletic Training. Approved by the CHE in November 2002 (9/2/03).</t>
        </r>
      </text>
    </comment>
    <comment ref="A90" authorId="2" shapeId="0">
      <text>
        <r>
          <rPr>
            <b/>
            <sz val="8"/>
            <color indexed="81"/>
            <rFont val="Tahoma"/>
            <family val="2"/>
          </rPr>
          <t>Mac Kirkpatrick:  This is a new certificate for 12 hours offered for the first time in Fall 2003 (12/5/03) mk.</t>
        </r>
      </text>
    </comment>
  </commentList>
</comments>
</file>

<file path=xl/comments9.xml><?xml version="1.0" encoding="utf-8"?>
<comments xmlns="http://schemas.openxmlformats.org/spreadsheetml/2006/main">
  <authors>
    <author>Mac Kirkpatrick</author>
    <author>mkirkpat</author>
    <author>mkirkpatrick</author>
  </authors>
  <commentList>
    <comment ref="H16" authorId="0" shapeId="0">
      <text>
        <r>
          <rPr>
            <b/>
            <sz val="8"/>
            <color indexed="81"/>
            <rFont val="Tahoma"/>
            <family val="2"/>
          </rPr>
          <t>Mac Kirkpatrick (10/29/02):</t>
        </r>
        <r>
          <rPr>
            <sz val="8"/>
            <color indexed="81"/>
            <rFont val="Tahoma"/>
            <family val="2"/>
          </rPr>
          <t xml:space="preserve">
I changed this number from 4 to 5, which will make the total degrees conferred change from 421 to 422. This is a result of a student who was awarded a Mathematics/Engineering dual degree from Clemson (248-69-6039, Leah Jane Hightower) AFTER I ran the degrees conferred.  Helen "held" this student out because she does not count the student UNTIL she receives the final transcript from Clemson University.</t>
        </r>
      </text>
    </comment>
    <comment ref="A46" authorId="1" shapeId="0">
      <text>
        <r>
          <rPr>
            <b/>
            <sz val="8"/>
            <color indexed="81"/>
            <rFont val="Tahoma"/>
            <family val="2"/>
          </rPr>
          <t xml:space="preserve">Mac Kirkpatrick: </t>
        </r>
        <r>
          <rPr>
            <sz val="8"/>
            <color indexed="81"/>
            <rFont val="Tahoma"/>
            <family val="2"/>
          </rPr>
          <t xml:space="preserve">The Pre-Law concentration for History was approved 
by the CHEF in March 1999. </t>
        </r>
      </text>
    </comment>
    <comment ref="A74" authorId="2" shapeId="0">
      <text>
        <r>
          <rPr>
            <b/>
            <sz val="8"/>
            <color indexed="81"/>
            <rFont val="Tahoma"/>
            <family val="2"/>
          </rPr>
          <t>Mac Kirkpatrick:  This program name was changed from Sports Medicine/Athletic Training to Athletic Training. Approved by the CHE in November 2002 (9/2/03).</t>
        </r>
      </text>
    </comment>
    <comment ref="A97" authorId="2" shapeId="0">
      <text>
        <r>
          <rPr>
            <b/>
            <sz val="8"/>
            <color indexed="81"/>
            <rFont val="Tahoma"/>
            <family val="2"/>
          </rPr>
          <t>Mac Kirkpatrick:  This is a new certificate for 12 hours offered for the first time in Fall 2003 (12/5/03) mk.</t>
        </r>
      </text>
    </comment>
  </commentList>
</comments>
</file>

<file path=xl/sharedStrings.xml><?xml version="1.0" encoding="utf-8"?>
<sst xmlns="http://schemas.openxmlformats.org/spreadsheetml/2006/main" count="6873" uniqueCount="1783">
  <si>
    <t>STATEMENT OF REVENUES, EXPENSES</t>
  </si>
  <si>
    <t>AND CHANGES IN NET ASSETS</t>
  </si>
  <si>
    <t xml:space="preserve">   Operating Revenues</t>
  </si>
  <si>
    <t xml:space="preserve">     Sales and services of educational and other activities</t>
  </si>
  <si>
    <t xml:space="preserve">     Auxiliary Enterprises (pledged as security for revenue bonds)</t>
  </si>
  <si>
    <t xml:space="preserve">   Other Fees</t>
  </si>
  <si>
    <t xml:space="preserve">                    Total Operating Revenues</t>
  </si>
  <si>
    <t>EXPENSES</t>
  </si>
  <si>
    <t xml:space="preserve">   Operating Expenses</t>
  </si>
  <si>
    <t xml:space="preserve">     Supplies and Services</t>
  </si>
  <si>
    <t xml:space="preserve">     Scholarships and Fellowships</t>
  </si>
  <si>
    <t xml:space="preserve">     Depreciation</t>
  </si>
  <si>
    <t xml:space="preserve">                    Total Operating Expenses</t>
  </si>
  <si>
    <t>Baseball</t>
  </si>
  <si>
    <t>Fall</t>
  </si>
  <si>
    <t>Spring</t>
  </si>
  <si>
    <t>Summer</t>
  </si>
  <si>
    <t>Academic Year</t>
  </si>
  <si>
    <t>Fall Average Hours per Undergraduate Student</t>
  </si>
  <si>
    <t>UNDERGRADUATE FALL HEADCOUNT, FTE, AND CHP HISTORY</t>
  </si>
  <si>
    <t>% change</t>
  </si>
  <si>
    <t>UG Headcount</t>
  </si>
  <si>
    <t>UG FTE</t>
  </si>
  <si>
    <t>UG CHP</t>
  </si>
  <si>
    <t>Ave hrs/UG student</t>
  </si>
  <si>
    <t>Pre-Athletic Training</t>
  </si>
  <si>
    <t>COMPARISON OF LANDER UNIVERSITY FIRST-TIME FRESHMEN</t>
  </si>
  <si>
    <t>ENROLLMENT FROM SOUTH CAROLINA HIGH SCHOOLS</t>
  </si>
  <si>
    <t>HIGH SCHOOL</t>
  </si>
  <si>
    <t>Five-Year
Average</t>
  </si>
  <si>
    <t>Abbeville County</t>
  </si>
  <si>
    <t>5 Year Ave</t>
  </si>
  <si>
    <t>Percentage</t>
  </si>
  <si>
    <t>Abbeville HS</t>
  </si>
  <si>
    <t>Calhoun Falls HS</t>
  </si>
  <si>
    <t>Dixie HS</t>
  </si>
  <si>
    <t>County Totals</t>
  </si>
  <si>
    <t>Aiken County</t>
  </si>
  <si>
    <t>Aiken Senior HS</t>
  </si>
  <si>
    <t>Midland Valley HS</t>
  </si>
  <si>
    <t>North Augusta Sr. HS</t>
  </si>
  <si>
    <t>Ridge Spring Monetta HS</t>
  </si>
  <si>
    <t>Silver Bluff HS</t>
  </si>
  <si>
    <t>South Aiken HS</t>
  </si>
  <si>
    <t>DEGREES CONFERRED HISTORY BY DIVISION</t>
  </si>
  <si>
    <t>Wagener-Salley HS</t>
  </si>
  <si>
    <t>Allendale County</t>
  </si>
  <si>
    <t>Allendale-Fairfax HS</t>
  </si>
  <si>
    <t>Anderson County</t>
  </si>
  <si>
    <t>Belton-Honea Path HS</t>
  </si>
  <si>
    <t>Calvary Christian School</t>
  </si>
  <si>
    <t>Crescent HS</t>
  </si>
  <si>
    <t>McDuffie HS</t>
  </si>
  <si>
    <t>Oakwood Christian School</t>
  </si>
  <si>
    <t>Palmetto HS</t>
  </si>
  <si>
    <t xml:space="preserve">     Internet Resources</t>
  </si>
  <si>
    <t xml:space="preserve">     Electronic Books</t>
  </si>
  <si>
    <t>Pendleton HS</t>
  </si>
  <si>
    <t>T.L. Hanna HS</t>
  </si>
  <si>
    <t xml:space="preserve">Westside Senior HS </t>
  </si>
  <si>
    <t>Bamberg County</t>
  </si>
  <si>
    <t>Andrew Jackson Academy</t>
  </si>
  <si>
    <t>Denmark-Olar Sr HS</t>
  </si>
  <si>
    <t>Barnwell County</t>
  </si>
  <si>
    <t>Barnwell HS</t>
  </si>
  <si>
    <t>Blackville-Hilda HS</t>
  </si>
  <si>
    <t>Jefferson Davis Academy</t>
  </si>
  <si>
    <t>Williston Elko HS</t>
  </si>
  <si>
    <t>Beaufort County</t>
  </si>
  <si>
    <t>Battery Creek HS</t>
  </si>
  <si>
    <t>Beaufort Academy</t>
  </si>
  <si>
    <t>Beaufort HS</t>
  </si>
  <si>
    <t>Hilton Head Christian</t>
  </si>
  <si>
    <t>Hilton Head HS</t>
  </si>
  <si>
    <t>Hilton Head Prep Sch</t>
  </si>
  <si>
    <t>Berkeley County</t>
  </si>
  <si>
    <t>Berkeley HS</t>
  </si>
  <si>
    <t>Cainhoy HS</t>
  </si>
  <si>
    <t>Cross HS</t>
  </si>
  <si>
    <t>Fort Dorchester HS</t>
  </si>
  <si>
    <t>Hanahan HS</t>
  </si>
  <si>
    <t>Lord Berkeley Academy</t>
  </si>
  <si>
    <t xml:space="preserve">Health Care Management </t>
  </si>
  <si>
    <t>Mathematics: (Dual Engineering Degree)</t>
  </si>
  <si>
    <t>Pinewood Prep School</t>
  </si>
  <si>
    <t>St. Stephen HS</t>
  </si>
  <si>
    <t>Stratford HS</t>
  </si>
  <si>
    <t>Calhoun County</t>
  </si>
  <si>
    <t>Calhoun Academy</t>
  </si>
  <si>
    <t>Calhoun County HS</t>
  </si>
  <si>
    <t>Charleston County</t>
  </si>
  <si>
    <t>Academic Magnet</t>
  </si>
  <si>
    <t>Archibald Rutledge Acad</t>
  </si>
  <si>
    <t>Ashley Hall</t>
  </si>
  <si>
    <t>Baptist Hill HS</t>
  </si>
  <si>
    <t>Bishop England HS</t>
  </si>
  <si>
    <t>Burke HS</t>
  </si>
  <si>
    <t>Charleston School of the Arts</t>
  </si>
  <si>
    <t>Clark Corporate Academy</t>
  </si>
  <si>
    <t>Evangel Christian</t>
  </si>
  <si>
    <t>Ferndale Baptist</t>
  </si>
  <si>
    <t>First Baptist Church Sch</t>
  </si>
  <si>
    <t>Goose Creek HS</t>
  </si>
  <si>
    <t>Gordon H Garrett HS</t>
  </si>
  <si>
    <t>James Island HS</t>
  </si>
  <si>
    <t>Lincoln County HS</t>
  </si>
  <si>
    <t>Low Country Academy</t>
  </si>
  <si>
    <t>Middleton HS</t>
  </si>
  <si>
    <t>North Charleston HS</t>
  </si>
  <si>
    <t>Northwood Academy</t>
  </si>
  <si>
    <t>Porter-Gaud School</t>
  </si>
  <si>
    <t>R.B. Stall HS</t>
  </si>
  <si>
    <t>Sea Island Academy</t>
  </si>
  <si>
    <t>St Johns Christian</t>
  </si>
  <si>
    <t>St. Andrews Parish HS</t>
  </si>
  <si>
    <t>St. Johns HS</t>
  </si>
  <si>
    <t>St. Paul's Cntry Day Sch</t>
  </si>
  <si>
    <t>St. Paul's HS</t>
  </si>
  <si>
    <t>Timberland HS</t>
  </si>
  <si>
    <t>Trident Academy</t>
  </si>
  <si>
    <t>Wando HS</t>
  </si>
  <si>
    <t>Cherokee County</t>
  </si>
  <si>
    <t>Blacksburg HS</t>
  </si>
  <si>
    <t>Cherokee HS</t>
  </si>
  <si>
    <t>Gaffney Senior HS</t>
  </si>
  <si>
    <t>Chester County</t>
  </si>
  <si>
    <t>Chester Senior HS</t>
  </si>
  <si>
    <t>Great Falls HS</t>
  </si>
  <si>
    <t xml:space="preserve">     EBSCO Databases from PASCAL</t>
  </si>
  <si>
    <t xml:space="preserve">     Other DISCUS databases</t>
  </si>
  <si>
    <t xml:space="preserve">     Other PASCAL databases</t>
  </si>
  <si>
    <t xml:space="preserve">     Other Databases</t>
  </si>
  <si>
    <t xml:space="preserve">  * 558,338</t>
  </si>
  <si>
    <t>2001-2002 to 2002-2003</t>
  </si>
  <si>
    <t>2002-2003 to 2003-2004</t>
  </si>
  <si>
    <t>2003-2004 to 2004-2005</t>
  </si>
  <si>
    <t>2004-2005 to 2005-2006</t>
  </si>
  <si>
    <t>2002-2005</t>
  </si>
  <si>
    <t>Grants</t>
  </si>
  <si>
    <t>Loans</t>
  </si>
  <si>
    <t>Employment</t>
  </si>
  <si>
    <t>Waivers</t>
  </si>
  <si>
    <t>Total Aid (All Sources)</t>
  </si>
  <si>
    <t>In-State Fees</t>
  </si>
  <si>
    <t>Out-of State Fees</t>
  </si>
  <si>
    <t>Lewisville HS</t>
  </si>
  <si>
    <t>Chesterfield County</t>
  </si>
  <si>
    <t>Central HS</t>
  </si>
  <si>
    <t>Cheraw HS</t>
  </si>
  <si>
    <t>Chesterfield Senior HS</t>
  </si>
  <si>
    <t>McBee HS</t>
  </si>
  <si>
    <t>New Covenant</t>
  </si>
  <si>
    <t>Clarendon County</t>
  </si>
  <si>
    <t>Clarendon Hall</t>
  </si>
  <si>
    <t>East Clarendon HS</t>
  </si>
  <si>
    <t>Laurence Manning Acad</t>
  </si>
  <si>
    <t>Manning HS</t>
  </si>
  <si>
    <t>Scotts Branch HS</t>
  </si>
  <si>
    <t>Colleton County</t>
  </si>
  <si>
    <t>Ireland</t>
  </si>
  <si>
    <t>Colleton Prep Academy</t>
  </si>
  <si>
    <t>Ruffin High School</t>
  </si>
  <si>
    <t>Walterboro HS</t>
  </si>
  <si>
    <t>Darlington County</t>
  </si>
  <si>
    <t>Darlington HS</t>
  </si>
  <si>
    <t>Gov Sch Science &amp; Math</t>
  </si>
  <si>
    <t>Hartsville Senior HS</t>
  </si>
  <si>
    <t>Lamar HS</t>
  </si>
  <si>
    <t>Mayo HS</t>
  </si>
  <si>
    <t>Dillon County</t>
  </si>
  <si>
    <t>Dillon HS</t>
  </si>
  <si>
    <t>Lake View HS</t>
  </si>
  <si>
    <t>Latta HS</t>
  </si>
  <si>
    <t>Dorchester County</t>
  </si>
  <si>
    <t>Central Ave Chrs Acad</t>
  </si>
  <si>
    <t>Dorchester Academy</t>
  </si>
  <si>
    <t>Remember - these numbers will not match IPEDS anymore due to this report being fall to fall and IPEDS is fall to summer session.</t>
  </si>
  <si>
    <t>Fall 2003
(N=547)</t>
  </si>
  <si>
    <t>Fall 2003
(N=171)</t>
  </si>
  <si>
    <t>Political Science*</t>
  </si>
  <si>
    <t>Alumni Geographical Distribution History by Country</t>
  </si>
  <si>
    <t>Alumni Geographical Distribution History by State</t>
  </si>
  <si>
    <t>Alumni Geographical Distribution History by South Carolina County</t>
  </si>
  <si>
    <t>Harleyville-Ridgeville HS</t>
  </si>
  <si>
    <t>St. George HS</t>
  </si>
  <si>
    <t>Summerville HS</t>
  </si>
  <si>
    <t>Edgefield County</t>
  </si>
  <si>
    <t>F. H. Wardlaw Academy</t>
  </si>
  <si>
    <t>Strom Thurmond HS</t>
  </si>
  <si>
    <t>Fairfield County</t>
  </si>
  <si>
    <t>Fairfield Central HS</t>
  </si>
  <si>
    <t>Richard Winn Academy</t>
  </si>
  <si>
    <t>Florence County</t>
  </si>
  <si>
    <t>Carolina Academy</t>
  </si>
  <si>
    <t>Florence Christian School</t>
  </si>
  <si>
    <t>Hannah-Pamplico HS</t>
  </si>
  <si>
    <t>J.F. Byrnes Academy</t>
  </si>
  <si>
    <t>SUMMER HEADCOUNT BY DEPARTMENT AND MAJOR</t>
  </si>
  <si>
    <t>Johnsonville HS</t>
  </si>
  <si>
    <t>Lake City HS</t>
  </si>
  <si>
    <t>Maranantha Christian Sch</t>
  </si>
  <si>
    <t>South Florence HS</t>
  </si>
  <si>
    <t>Timmonsville High School</t>
  </si>
  <si>
    <t>West Florence HS</t>
  </si>
  <si>
    <t>Wilson Senior HS</t>
  </si>
  <si>
    <t>Fall 2005
(N=555)</t>
  </si>
  <si>
    <t>Georgetown County</t>
  </si>
  <si>
    <t>Andrews HS</t>
  </si>
  <si>
    <t>Choppee HS</t>
  </si>
  <si>
    <t>Georgetown HS</t>
  </si>
  <si>
    <t>Low Country Day School</t>
  </si>
  <si>
    <t>Pleasant Hill HS</t>
  </si>
  <si>
    <t>Waccamaw HS</t>
  </si>
  <si>
    <t>Greenville County</t>
  </si>
  <si>
    <t>Berea HS</t>
  </si>
  <si>
    <t>Blue Ridge HS</t>
  </si>
  <si>
    <t>Bob Jones Academy</t>
  </si>
  <si>
    <t>Carolina HS</t>
  </si>
  <si>
    <t>Eastside HS</t>
  </si>
  <si>
    <t>Greenville Senior HS</t>
  </si>
  <si>
    <t>Greer HS</t>
  </si>
  <si>
    <t>Hampton Park Chris Sch</t>
  </si>
  <si>
    <t>Hillcrest HS</t>
  </si>
  <si>
    <t>James L. Mann HS</t>
  </si>
  <si>
    <t>Mauldin HS</t>
  </si>
  <si>
    <t>Riverside HS</t>
  </si>
  <si>
    <t>Shannon Forest Chr Sch</t>
  </si>
  <si>
    <t>Southside Christian Sch</t>
  </si>
  <si>
    <t>Southside HS</t>
  </si>
  <si>
    <t>St. Joseph's HS</t>
  </si>
  <si>
    <t>Travelers Rest HS</t>
  </si>
  <si>
    <t>Wade Hampton HS</t>
  </si>
  <si>
    <t>Westport Central HS</t>
  </si>
  <si>
    <t>Woodmont HS</t>
  </si>
  <si>
    <t>Wren HS</t>
  </si>
  <si>
    <t>Greenwood County</t>
  </si>
  <si>
    <t>Cambridge Academy</t>
  </si>
  <si>
    <t>Community Chris Acad</t>
  </si>
  <si>
    <t>Eastside Christian Sch</t>
  </si>
  <si>
    <t>Emerald HS</t>
  </si>
  <si>
    <t>Greenwood Christian Sch</t>
  </si>
  <si>
    <t>Greenwood HS</t>
  </si>
  <si>
    <t>Ninety Six HS</t>
  </si>
  <si>
    <t>Ware Shoals HS</t>
  </si>
  <si>
    <t>Hampton County</t>
  </si>
  <si>
    <t>Bamberg-Ehrhardt HS</t>
  </si>
  <si>
    <t>Estill HS</t>
  </si>
  <si>
    <t>Fall 2004
(N=647)</t>
  </si>
  <si>
    <t>Fall 2004 (N=168)</t>
  </si>
  <si>
    <t>Patrick Henry Academy</t>
  </si>
  <si>
    <t>Horry County</t>
  </si>
  <si>
    <t>Aynor HS</t>
  </si>
  <si>
    <t>Carolina Forest HS</t>
  </si>
  <si>
    <t xml:space="preserve">Conway Christian </t>
  </si>
  <si>
    <t>Conway Senior HS</t>
  </si>
  <si>
    <t>Green Sea Floyds HS</t>
  </si>
  <si>
    <t>Loris HS</t>
  </si>
  <si>
    <t>Computer Information Systems: Software Development</t>
  </si>
  <si>
    <t>(With Five-Year Averages)</t>
  </si>
  <si>
    <t>Myrtle Beach HS</t>
  </si>
  <si>
    <t>North Myrtle Beach HS</t>
  </si>
  <si>
    <t>Socastee HS</t>
  </si>
  <si>
    <t>Jasper County</t>
  </si>
  <si>
    <t>Jasper County HS</t>
  </si>
  <si>
    <t>Thomas Heyward Acad</t>
  </si>
  <si>
    <t>Kershaw County</t>
  </si>
  <si>
    <t>Bethune HS</t>
  </si>
  <si>
    <t>Aiken Preparatory School</t>
  </si>
  <si>
    <t>Spartanburg Community College</t>
  </si>
  <si>
    <t>Camden HS</t>
  </si>
  <si>
    <t>Camden Military Acad</t>
  </si>
  <si>
    <t>Italy</t>
  </si>
  <si>
    <t>Trinidad and Tobago</t>
  </si>
  <si>
    <t>Ukraine</t>
  </si>
  <si>
    <t>Lugoff-Elgin HS</t>
  </si>
  <si>
    <t>North Central HS</t>
  </si>
  <si>
    <t>Lancaster County</t>
  </si>
  <si>
    <t>Andrew Jackson HS</t>
  </si>
  <si>
    <t>Buford HS</t>
  </si>
  <si>
    <t>Indian Land HS</t>
  </si>
  <si>
    <t>Lancaster HS</t>
  </si>
  <si>
    <t>Laurens County</t>
  </si>
  <si>
    <t>Clinton HS</t>
  </si>
  <si>
    <t>2004-2005</t>
  </si>
  <si>
    <t>Laurens District 55 HS</t>
  </si>
  <si>
    <t>Thornwell School</t>
  </si>
  <si>
    <t>Lee County</t>
  </si>
  <si>
    <t>Bishopville High School</t>
  </si>
  <si>
    <t>Hudgens Academy</t>
  </si>
  <si>
    <t>Mount Pleasant HS</t>
  </si>
  <si>
    <t>Robert E. Lee Academy</t>
  </si>
  <si>
    <t>Lexington County</t>
  </si>
  <si>
    <t>Airport HS</t>
  </si>
  <si>
    <t>Batesburg-Leesville HS</t>
  </si>
  <si>
    <t>Brookland-Cayce HS</t>
  </si>
  <si>
    <t>Chapin HS</t>
  </si>
  <si>
    <t>Distinctive Education</t>
  </si>
  <si>
    <t>Gilbert HS</t>
  </si>
  <si>
    <t>Irmo HS</t>
  </si>
  <si>
    <t>Lexington HS</t>
  </si>
  <si>
    <t>Pelion HS</t>
  </si>
  <si>
    <t>St. Pauls Christian School</t>
  </si>
  <si>
    <t>Swansea HS</t>
  </si>
  <si>
    <t>W. Wyman King Acad</t>
  </si>
  <si>
    <t>White Knoll HS</t>
  </si>
  <si>
    <t>McCormick County</t>
  </si>
  <si>
    <t>Long Cane Academy</t>
  </si>
  <si>
    <t>McCormick HS</t>
  </si>
  <si>
    <t>Marion County</t>
  </si>
  <si>
    <t>Brittons Neck HS</t>
  </si>
  <si>
    <t>Marion HS</t>
  </si>
  <si>
    <t>Mullins HS</t>
  </si>
  <si>
    <t>Pee Dee Academy</t>
  </si>
  <si>
    <t>Terrells Bay HS</t>
  </si>
  <si>
    <t>Marlboro County</t>
  </si>
  <si>
    <t>Marlboro County HS</t>
  </si>
  <si>
    <t>Newberry County</t>
  </si>
  <si>
    <t>Mid Carolina HS</t>
  </si>
  <si>
    <t>Newberry Academy</t>
  </si>
  <si>
    <t>Newberry Senior HS</t>
  </si>
  <si>
    <t>Whitmire HS</t>
  </si>
  <si>
    <t>Oconee County</t>
  </si>
  <si>
    <t>Seneca Senior HS</t>
  </si>
  <si>
    <t>Tamassee-Salem HS</t>
  </si>
  <si>
    <t>Walhalla Senior HS</t>
  </si>
  <si>
    <t>West-Oak HS</t>
  </si>
  <si>
    <t>Orangeburg County</t>
  </si>
  <si>
    <t>Bowman Academy</t>
  </si>
  <si>
    <t>Branchville HS</t>
  </si>
  <si>
    <t>Edisto HS</t>
  </si>
  <si>
    <t>Garden City Chris Sch</t>
  </si>
  <si>
    <t>Holly Hill Academy</t>
  </si>
  <si>
    <t>Holly Hill Roberts HS</t>
  </si>
  <si>
    <t>Hunter-Kinard HS</t>
  </si>
  <si>
    <t>North HS</t>
  </si>
  <si>
    <t>Orangeburg Prep Sch</t>
  </si>
  <si>
    <t>Orangeburg-Wilkinson HS</t>
  </si>
  <si>
    <t>Pickens County</t>
  </si>
  <si>
    <t>D.W. Daniel HS</t>
  </si>
  <si>
    <t>Easley HS</t>
  </si>
  <si>
    <t>Liberty HS</t>
  </si>
  <si>
    <t>Pickens HS</t>
  </si>
  <si>
    <t>Richland County</t>
  </si>
  <si>
    <t>5-Points</t>
  </si>
  <si>
    <t>A.C. Flora HS</t>
  </si>
  <si>
    <t>Ben Lippen School</t>
  </si>
  <si>
    <t>C.A. Johnson HS</t>
  </si>
  <si>
    <t>Cardinal Newman HS</t>
  </si>
  <si>
    <t>Columbia HS</t>
  </si>
  <si>
    <t>Dreher HS</t>
  </si>
  <si>
    <t>Dutch Fork HS</t>
  </si>
  <si>
    <t>Eau Claire HS</t>
  </si>
  <si>
    <t>Glenforest School</t>
  </si>
  <si>
    <t>Hammond School</t>
  </si>
  <si>
    <t>Heathwood Hall Epis Sch</t>
  </si>
  <si>
    <t>Keenan HS</t>
  </si>
  <si>
    <t>Lower Richland HS</t>
  </si>
  <si>
    <t>Richland Northeast HS</t>
  </si>
  <si>
    <t>Ridgeview HS</t>
  </si>
  <si>
    <t>Sloans School</t>
  </si>
  <si>
    <t>Spring Valley HS</t>
  </si>
  <si>
    <t>Tabb HS</t>
  </si>
  <si>
    <t>Saluda County</t>
  </si>
  <si>
    <t>Saluda HS</t>
  </si>
  <si>
    <t>Spartanburg County</t>
  </si>
  <si>
    <t>Boiling Springs HS</t>
  </si>
  <si>
    <t>Broome HS</t>
  </si>
  <si>
    <t>Chapman HS</t>
  </si>
  <si>
    <t>Chesnee HS</t>
  </si>
  <si>
    <t>Dorman HS</t>
  </si>
  <si>
    <t>Grace Christian School</t>
  </si>
  <si>
    <t>Inman Christian Academy</t>
  </si>
  <si>
    <t>2006-2007</t>
  </si>
  <si>
    <t>James F. Byrnes HS</t>
  </si>
  <si>
    <t>Landrum HS</t>
  </si>
  <si>
    <t>SC School of Deaf and Blind</t>
  </si>
  <si>
    <t>Spartanburg Day School</t>
  </si>
  <si>
    <t>Spartanburg HS</t>
  </si>
  <si>
    <t>Westgate Christian School</t>
  </si>
  <si>
    <t>Woodruff HS</t>
  </si>
  <si>
    <t>Sumter County</t>
  </si>
  <si>
    <t>Crestwood</t>
  </si>
  <si>
    <t>Furman HS</t>
  </si>
  <si>
    <t>Kings Academy</t>
  </si>
  <si>
    <t>Lakewood HS</t>
  </si>
  <si>
    <t>Mayewood HS</t>
  </si>
  <si>
    <t>Sumter Catholic HS</t>
  </si>
  <si>
    <t>5-Year Ave.</t>
  </si>
  <si>
    <t>Visual Arts: University Center</t>
  </si>
  <si>
    <t>English Concentration (M.A.T.)</t>
  </si>
  <si>
    <t>Science Concentration (M.A.T.)</t>
  </si>
  <si>
    <t>American Samoa</t>
  </si>
  <si>
    <t>Puerto Rico</t>
  </si>
  <si>
    <t>Psychology: University Center</t>
  </si>
  <si>
    <t>Psychology: Counseling: University Center</t>
  </si>
  <si>
    <t>Political Science: Pre-Law: University Center</t>
  </si>
  <si>
    <t>Political Science: Public Administration: University Center</t>
  </si>
  <si>
    <t>Sociology: University Center</t>
  </si>
  <si>
    <t>Fall 2006
(N=580)</t>
  </si>
  <si>
    <t>Sociology: Criminal Justice: University Center</t>
  </si>
  <si>
    <t>1996-1997</t>
  </si>
  <si>
    <t>Computer Information Systems: (Dual Engineering Degree)</t>
  </si>
  <si>
    <t>Chemistry: (Dual Engineering Degree)</t>
  </si>
  <si>
    <t>Home Economics</t>
  </si>
  <si>
    <t>Fall Headcount History by Major: Five-Year Averages</t>
  </si>
  <si>
    <t>SPRING FULL TIME EQUIVALENTS (FTE)* BY DISCIPLINE</t>
  </si>
  <si>
    <t>Sumter HS</t>
  </si>
  <si>
    <t>Thomas Sumter Academy</t>
  </si>
  <si>
    <t>Wilson Hall</t>
  </si>
  <si>
    <t>College of Science and Mathematics</t>
  </si>
  <si>
    <t>Department and Major</t>
  </si>
  <si>
    <t>Department of Biology</t>
  </si>
  <si>
    <t>Department of Math and Computing</t>
  </si>
  <si>
    <t>Department of Nursing</t>
  </si>
  <si>
    <t>Department of Physical Sciences</t>
  </si>
  <si>
    <t>College of Science and Mathematics Totals</t>
  </si>
  <si>
    <t>College of Arts and Humanities</t>
  </si>
  <si>
    <t>Department of Art</t>
  </si>
  <si>
    <t>Department of English and Foreign Language</t>
  </si>
  <si>
    <t>Department of History and Philosophy</t>
  </si>
  <si>
    <t>Department of Mass Communications and Theatre</t>
  </si>
  <si>
    <t>MSL</t>
  </si>
  <si>
    <t>Department of Music</t>
  </si>
  <si>
    <t>College of Arts and Humanities Totals</t>
  </si>
  <si>
    <t>College of Education</t>
  </si>
  <si>
    <t>Department of Physical Education and Exercise Studies</t>
  </si>
  <si>
    <t>Department of Psychology</t>
  </si>
  <si>
    <t>College of Education Totals</t>
  </si>
  <si>
    <t>College of Business and Public Affairs</t>
  </si>
  <si>
    <t>Department of Political and Social Science</t>
  </si>
  <si>
    <t>College Totals</t>
  </si>
  <si>
    <t>Department of Business Administation</t>
  </si>
  <si>
    <t>Department of Political and Social Sciences</t>
  </si>
  <si>
    <t>College of Business and Public Affairs Totals</t>
  </si>
  <si>
    <t>Department of Education</t>
  </si>
  <si>
    <t>Department of Physical Education and Exercise Science</t>
  </si>
  <si>
    <t>Deparmtment of History and Philosopy</t>
  </si>
  <si>
    <t xml:space="preserve">College of Science and Mathematics Totals </t>
  </si>
  <si>
    <t>Union County</t>
  </si>
  <si>
    <t>Jonesville HS</t>
  </si>
  <si>
    <t>Lockhart HS</t>
  </si>
  <si>
    <t>Union HS</t>
  </si>
  <si>
    <t>Williamsburg County</t>
  </si>
  <si>
    <t>C.E. Murray HS</t>
  </si>
  <si>
    <t>Carvers Bay High School</t>
  </si>
  <si>
    <t>Hemingway HS</t>
  </si>
  <si>
    <t>Kingstree Senior HS</t>
  </si>
  <si>
    <t>Williamsburg Academy</t>
  </si>
  <si>
    <t>York County</t>
  </si>
  <si>
    <t>Blessed Hope Baptist Sch</t>
  </si>
  <si>
    <t>Clover HS</t>
  </si>
  <si>
    <t>Fort Mill HS</t>
  </si>
  <si>
    <t>Northwestern HS</t>
  </si>
  <si>
    <t>Rock Hill HS</t>
  </si>
  <si>
    <t>Trinity Christian School</t>
  </si>
  <si>
    <t>Westminster/Catawba Chr</t>
  </si>
  <si>
    <t>York Comprehensive HS</t>
  </si>
  <si>
    <t>TOTAL SOUTH CAROLINA</t>
  </si>
  <si>
    <t>GED</t>
  </si>
  <si>
    <t>Home School</t>
  </si>
  <si>
    <t>No Longer Exist</t>
  </si>
  <si>
    <t>SC No Code</t>
  </si>
  <si>
    <t xml:space="preserve">                    Operating Loss</t>
  </si>
  <si>
    <t>NONOPERATING REVENUES (EXPENSES)</t>
  </si>
  <si>
    <t xml:space="preserve">   State Appropriations</t>
  </si>
  <si>
    <t xml:space="preserve">   State Grants and Contracts</t>
  </si>
  <si>
    <t xml:space="preserve">   Private Gifts</t>
  </si>
  <si>
    <t>Information Technology, Physical Plant</t>
  </si>
  <si>
    <t xml:space="preserve">   Investment Income</t>
  </si>
  <si>
    <t xml:space="preserve">   Interest on Capital Assets-Related Debt</t>
  </si>
  <si>
    <t>for Business and Administration</t>
  </si>
  <si>
    <t xml:space="preserve">     Net Nonoperating Revenues</t>
  </si>
  <si>
    <t xml:space="preserve">                    Income Before Other Revenues, Expenses,</t>
  </si>
  <si>
    <t xml:space="preserve">                              Gains or Losses</t>
  </si>
  <si>
    <t xml:space="preserve">   Capital Improvement Bond Proceeds</t>
  </si>
  <si>
    <t xml:space="preserve">                    Increase (Decrease) in Net Assets</t>
  </si>
  <si>
    <t>NET ASSETS, BEGINNING OF YEAR, AS RESTATED</t>
  </si>
  <si>
    <t>SUMMER FULL TIME EQUIVALENTS (FTE)* BY DISCIPLINE</t>
  </si>
  <si>
    <t>NET ASSETS, END OF YEAR</t>
  </si>
  <si>
    <t>Chile</t>
  </si>
  <si>
    <t>Scotland</t>
  </si>
  <si>
    <t>Virgin Islands</t>
  </si>
  <si>
    <t>SAT Scores: Lander, State, National Averages (1991-1995)</t>
  </si>
  <si>
    <t>Figures under each academic year are derived by Integrated Postsecondary Education Data System (IPEDS) requirements (combining graduates from the applicable fall and spring semesters and the summer PRIOR to the beginning of the academic year).</t>
  </si>
  <si>
    <t>MINORS CONFERRED</t>
  </si>
  <si>
    <t>Minor</t>
  </si>
  <si>
    <t>5-Yr. Ave.</t>
  </si>
  <si>
    <t>Degrees Conferred with Teacher Certification</t>
  </si>
  <si>
    <t>NUMBER OF TEACHER CERTIFICATION DEGREES CONFERRED</t>
  </si>
  <si>
    <t>English - Secondary Certification</t>
  </si>
  <si>
    <t>History - Secondary Certification</t>
  </si>
  <si>
    <t>Mathematics - Secondary Certification</t>
  </si>
  <si>
    <t>Music - K-12 Certification</t>
  </si>
  <si>
    <t>Political Science - Secondary Certification</t>
  </si>
  <si>
    <t>Spanish - K-12 Certification</t>
  </si>
  <si>
    <t>Visual Arts - K-12 Certification</t>
  </si>
  <si>
    <t>Major</t>
  </si>
  <si>
    <t>Elementary Education (M.Ed.): Montessori</t>
  </si>
  <si>
    <t>Elementary Education (M.Ed.): Montessori - University Center</t>
  </si>
  <si>
    <t>Health Agency Management</t>
  </si>
  <si>
    <t>Figures for sports are derived using only first-time, full-time degree seeking students receiving athletically-related student aid for the year noted.</t>
  </si>
  <si>
    <t xml:space="preserve">    First-Time Graduate</t>
  </si>
  <si>
    <t xml:space="preserve">    Other Deg. Graduate</t>
  </si>
  <si>
    <t>First-time, Full-time Freshmen</t>
  </si>
  <si>
    <t>Men</t>
  </si>
  <si>
    <t>Women</t>
  </si>
  <si>
    <t>Total</t>
  </si>
  <si>
    <t>Initial Cohort</t>
  </si>
  <si>
    <t>Completers</t>
  </si>
  <si>
    <t>Graduation Rate</t>
  </si>
  <si>
    <t>Basketball</t>
  </si>
  <si>
    <t>(With Emphases)</t>
  </si>
  <si>
    <t>Bluffton High School</t>
  </si>
  <si>
    <t>Criminal Justice Management</t>
  </si>
  <si>
    <t>CJM</t>
  </si>
  <si>
    <t>Heritage Academy</t>
  </si>
  <si>
    <t>Garrett Academy of Technology</t>
  </si>
  <si>
    <t>Saint James High School</t>
  </si>
  <si>
    <t>Union Day School</t>
  </si>
  <si>
    <t>Other No-Reponse</t>
  </si>
  <si>
    <t>Psychology: Counseling - University Center</t>
  </si>
  <si>
    <t>Sociology: Criminal Justice - University Center</t>
  </si>
  <si>
    <t>Biology: Genetics</t>
  </si>
  <si>
    <t>Early Childhood Education: Montessori</t>
  </si>
  <si>
    <t>Political Science: Pre-Law - University Center</t>
  </si>
  <si>
    <t>Political Science: Public Administration - University Center</t>
  </si>
  <si>
    <t>Cross-Country and Track</t>
  </si>
  <si>
    <t>All Other Sports Combined</t>
  </si>
  <si>
    <t>4-Year Average</t>
  </si>
  <si>
    <t>LANDER UNIVERSITY LIBRARY STATISTICS</t>
  </si>
  <si>
    <t>DESCRIPTION</t>
  </si>
  <si>
    <t xml:space="preserve"> 1998-1999</t>
  </si>
  <si>
    <t>LIBRARY STAFF</t>
  </si>
  <si>
    <t xml:space="preserve">     Professional Librarians</t>
  </si>
  <si>
    <t xml:space="preserve">     Technical Assistants</t>
  </si>
  <si>
    <t>CIRCULATION</t>
  </si>
  <si>
    <t xml:space="preserve">     Students</t>
  </si>
  <si>
    <t xml:space="preserve">     Faculty</t>
  </si>
  <si>
    <t xml:space="preserve">     Staff</t>
  </si>
  <si>
    <t xml:space="preserve">     Interlibrary Loans (Sent and Received)</t>
  </si>
  <si>
    <t xml:space="preserve">     Reserve Books</t>
  </si>
  <si>
    <t xml:space="preserve">          Total Circulation</t>
  </si>
  <si>
    <t xml:space="preserve">     Items circulated per FTE Student</t>
  </si>
  <si>
    <t>COLLECTION</t>
  </si>
  <si>
    <t xml:space="preserve">     Books</t>
  </si>
  <si>
    <t xml:space="preserve">     Bound Periodicals</t>
  </si>
  <si>
    <t xml:space="preserve">     Microforms</t>
  </si>
  <si>
    <t xml:space="preserve">     Maps</t>
  </si>
  <si>
    <t xml:space="preserve">     Computer Media</t>
  </si>
  <si>
    <t xml:space="preserve">     Audiovisuals</t>
  </si>
  <si>
    <t>Federal Pell Grant</t>
  </si>
  <si>
    <t>Federal SEOG Grant</t>
  </si>
  <si>
    <t>Federal SSS Grant</t>
  </si>
  <si>
    <t>FEDERAL LOANS</t>
  </si>
  <si>
    <t>Federal Perkins Loan</t>
  </si>
  <si>
    <t>Federal Stafford Loan - Sub</t>
  </si>
  <si>
    <t>Federal Stafford Loan - Unsub</t>
  </si>
  <si>
    <t>Federal Parent Loan</t>
  </si>
  <si>
    <t>CAMPUS EMPLOYMENT</t>
  </si>
  <si>
    <t>Federal Work Study</t>
  </si>
  <si>
    <t>STATE SCHOLARSHIPS/GRANTS/LOANS</t>
  </si>
  <si>
    <t>SC Vocational Rehabilitation</t>
  </si>
  <si>
    <t>SC Need-Based Grant</t>
  </si>
  <si>
    <t>SC LIFE Scholarship</t>
  </si>
  <si>
    <t>SC HOPE Scholarship</t>
  </si>
  <si>
    <t>SC Teaching Fellows</t>
  </si>
  <si>
    <t>SC Teachers Loan Program</t>
  </si>
  <si>
    <t>ABATEMENTS AND WAIVERS</t>
  </si>
  <si>
    <t>Fee Waivers</t>
  </si>
  <si>
    <t>INSTITUTIONAL SCHOLARSHIPS</t>
  </si>
  <si>
    <t>Foundation Academic</t>
  </si>
  <si>
    <t>Athletic Scholarships</t>
  </si>
  <si>
    <t>PRIVATE AID</t>
  </si>
  <si>
    <t>Portable Scholarships/Grants</t>
  </si>
  <si>
    <t>Self Loans</t>
  </si>
  <si>
    <t>Alternative Loans</t>
  </si>
  <si>
    <t>Federal ACG Grant*</t>
  </si>
  <si>
    <t xml:space="preserve">          Total Collection</t>
  </si>
  <si>
    <t xml:space="preserve">     Volumes in Collection per FTE Student</t>
  </si>
  <si>
    <t xml:space="preserve">     Periodical Subscriptions</t>
  </si>
  <si>
    <t>FTE STUDENTS (Fall)</t>
  </si>
  <si>
    <t>FALL RESIDENTIAL UNIT OCCUPANCY</t>
  </si>
  <si>
    <t>Brookside</t>
  </si>
  <si>
    <t>Chipley Hall</t>
  </si>
  <si>
    <t>Coleman Hall</t>
  </si>
  <si>
    <t>Thomason</t>
  </si>
  <si>
    <t>Lide</t>
  </si>
  <si>
    <t>Williamston</t>
  </si>
  <si>
    <t>Greenwood High Apartments</t>
  </si>
  <si>
    <t>SPRING RESIDENTIAL UNIT OCCUPANCY</t>
  </si>
  <si>
    <t>GEOGRAPHICAL DISTRIBUTION OF ALUMNI BY SOUTH CAROLINA COUNTY</t>
  </si>
  <si>
    <t>Berkeley</t>
  </si>
  <si>
    <t>FALL 2003</t>
  </si>
  <si>
    <t>Total S.C. Alumni</t>
  </si>
  <si>
    <t>Alaska</t>
  </si>
  <si>
    <t>Delaware</t>
  </si>
  <si>
    <t>Hawaii</t>
  </si>
  <si>
    <t>Iowa</t>
  </si>
  <si>
    <t>Nebraska</t>
  </si>
  <si>
    <t>Nevada</t>
  </si>
  <si>
    <t>New Mexico</t>
  </si>
  <si>
    <t>South Dakota</t>
  </si>
  <si>
    <t>Utah</t>
  </si>
  <si>
    <t>Wyoming</t>
  </si>
  <si>
    <t>GEOGRAPHICAL DISTRIBUTION OF ALUMNI BY COUNTRY</t>
  </si>
  <si>
    <t>Japan</t>
  </si>
  <si>
    <t>New Zealand</t>
  </si>
  <si>
    <t>Military Service</t>
  </si>
  <si>
    <t>Out of State</t>
  </si>
  <si>
    <t>Gerontology</t>
  </si>
  <si>
    <t>Fall 2002
(N=526)</t>
  </si>
  <si>
    <t>Athletic Training</t>
  </si>
  <si>
    <t>Data are provided in accordance with the Clery Act (formerly known as the Student Right-to-know and Campus Security Act).</t>
  </si>
  <si>
    <t>Minors Conferred History Five-Year Averages</t>
  </si>
  <si>
    <t>Criminal Justice Management: University Center</t>
  </si>
  <si>
    <t>2007-2008</t>
  </si>
  <si>
    <t>Total
Male</t>
  </si>
  <si>
    <t>FALL 2001</t>
  </si>
  <si>
    <t>FINANCIAL AID AWARD HISTORY</t>
  </si>
  <si>
    <t>TYPE OF AID</t>
  </si>
  <si>
    <t>No.</t>
  </si>
  <si>
    <t>Amount</t>
  </si>
  <si>
    <t>GRANTS</t>
  </si>
  <si>
    <t xml:space="preserve">     Federal Pell</t>
  </si>
  <si>
    <t xml:space="preserve">     Federal SEOG</t>
  </si>
  <si>
    <t xml:space="preserve">     Other Federal</t>
  </si>
  <si>
    <t xml:space="preserve">     VocRehab</t>
  </si>
  <si>
    <t xml:space="preserve">     State</t>
  </si>
  <si>
    <t xml:space="preserve">     Private</t>
  </si>
  <si>
    <t xml:space="preserve">     Lander Foundation ***</t>
  </si>
  <si>
    <t>Pre-Occupational Therapy</t>
  </si>
  <si>
    <t>TOTAL GRANTS*</t>
  </si>
  <si>
    <t>LOANS</t>
  </si>
  <si>
    <t xml:space="preserve">     Federal Perkins</t>
  </si>
  <si>
    <t xml:space="preserve">     Federal Stafford</t>
  </si>
  <si>
    <t xml:space="preserve">     Other</t>
  </si>
  <si>
    <t>TOTAL LOANS*</t>
  </si>
  <si>
    <t>EMPLOYMENT</t>
  </si>
  <si>
    <t xml:space="preserve">     Federal Work/Study</t>
  </si>
  <si>
    <t xml:space="preserve">     Institutional</t>
  </si>
  <si>
    <t>TUITION/FEE WAIVERS</t>
  </si>
  <si>
    <t>GRAND TOTAL**</t>
  </si>
  <si>
    <t>*    Duplicated Headcount</t>
  </si>
  <si>
    <t>**  Unduplicated Headcount</t>
  </si>
  <si>
    <t>*** Includes Athletic Grants-in-Aid and Academic Scholarships</t>
  </si>
  <si>
    <t>REVENUES</t>
  </si>
  <si>
    <t xml:space="preserve">     Federal grants/contracts</t>
  </si>
  <si>
    <t xml:space="preserve">     State grants/contracts</t>
  </si>
  <si>
    <t xml:space="preserve">     Nongovernmental grants and contracts</t>
  </si>
  <si>
    <t>SUMMER CREDIT HOUR PRODUCTION (CHP)* BY DISCIPLINE</t>
  </si>
  <si>
    <t>Sociology - University Center</t>
  </si>
  <si>
    <t>Grand Total</t>
  </si>
  <si>
    <t>2001-2002</t>
  </si>
  <si>
    <t>YEAR OF</t>
  </si>
  <si>
    <t>GROSS</t>
  </si>
  <si>
    <t>BUILDING NAME/ADDRESS</t>
  </si>
  <si>
    <t>CONST.</t>
  </si>
  <si>
    <t>MAJ.REN.</t>
  </si>
  <si>
    <t>SQ. FT.</t>
  </si>
  <si>
    <t>BUILDING USE</t>
  </si>
  <si>
    <t>RESIDENTIAL UNITS</t>
  </si>
  <si>
    <t>Residence Hall</t>
  </si>
  <si>
    <t>ACADEMIC/ADMINISTRATIVE</t>
  </si>
  <si>
    <t>Administrative/Faculty Offices and Classrooms</t>
  </si>
  <si>
    <t>Carnell Learning Center</t>
  </si>
  <si>
    <t>Cultural Center</t>
  </si>
  <si>
    <t>Fine Arts Faculty Offices and Classrooms</t>
  </si>
  <si>
    <t>Drummond Athletic Complex</t>
  </si>
  <si>
    <t>Athletic Facilities and Physical Education/Exercise Studies</t>
  </si>
  <si>
    <t>Faculty Offices and Classrooms</t>
  </si>
  <si>
    <t>Genesis Hall</t>
  </si>
  <si>
    <t>Grier Student Center</t>
  </si>
  <si>
    <t>Student Affairs Admin. Offices, Bookstore,</t>
  </si>
  <si>
    <t>Post Office and Food Service</t>
  </si>
  <si>
    <t>Jackson Library</t>
  </si>
  <si>
    <t>Library, Student Computer Center, and</t>
  </si>
  <si>
    <t>FALL 2005</t>
  </si>
  <si>
    <t>Latin American Studies</t>
  </si>
  <si>
    <t>University Relations Offices</t>
  </si>
  <si>
    <t>Laura Lander Hall</t>
  </si>
  <si>
    <t>Number of Online Courses Offered</t>
  </si>
  <si>
    <t>Faculty Offices, Laboratories and Classrooms</t>
  </si>
  <si>
    <t>Science Facility</t>
  </si>
  <si>
    <t>201 Sanders</t>
  </si>
  <si>
    <t>Art Studios</t>
  </si>
  <si>
    <t>203 Sanders</t>
  </si>
  <si>
    <t>205 Sanders</t>
  </si>
  <si>
    <t>202 Sproles</t>
  </si>
  <si>
    <t>ROTC</t>
  </si>
  <si>
    <t>INSTITUTIONAL SUPPORT</t>
  </si>
  <si>
    <t>Physical Plant</t>
  </si>
  <si>
    <t>Administrative Offices,</t>
  </si>
  <si>
    <t xml:space="preserve">Building and Grounds Maintenance, </t>
  </si>
  <si>
    <t>Mass Communications/Theatre:Theatre</t>
  </si>
  <si>
    <t>Mass Communications/Theatre:Mass Communications</t>
  </si>
  <si>
    <t>Custodial Services and Motor Pool</t>
  </si>
  <si>
    <t>Henrietta Avenue Warehouse</t>
  </si>
  <si>
    <t>Storage</t>
  </si>
  <si>
    <t>Sproles Recreation Center</t>
  </si>
  <si>
    <t>Student Recreation Facility</t>
  </si>
  <si>
    <t>President's House</t>
  </si>
  <si>
    <t>President's Home</t>
  </si>
  <si>
    <t>221 Crews</t>
  </si>
  <si>
    <t>Engineering Services, Facilities Scheduling</t>
  </si>
  <si>
    <t>223 Crews</t>
  </si>
  <si>
    <t>Construction Services, Health Services</t>
  </si>
  <si>
    <t>311 Willson Street</t>
  </si>
  <si>
    <t>Alumni Affairs</t>
  </si>
  <si>
    <t>401 Willson Street</t>
  </si>
  <si>
    <t>Montessori Program</t>
  </si>
  <si>
    <t>421 Willson Street</t>
  </si>
  <si>
    <t xml:space="preserve">Public Safety </t>
  </si>
  <si>
    <t>Public Administration</t>
  </si>
  <si>
    <t>Enrollment Status 
(As of the following Fall)</t>
  </si>
  <si>
    <t>Fall 2000
(N=153)</t>
  </si>
  <si>
    <t>Fall 2000
(N=509)</t>
  </si>
  <si>
    <t>NURN - On-line</t>
  </si>
  <si>
    <t>TRANSFER RETENTION AND ATTRITION DATA</t>
  </si>
  <si>
    <t>(All Full-time Transfers)</t>
  </si>
  <si>
    <t>Fall 1992
(N=192)</t>
  </si>
  <si>
    <t>Fall 1993
(N=199)</t>
  </si>
  <si>
    <t>Fall 1994
(N=164)</t>
  </si>
  <si>
    <t>Fall 1995
(N=158)</t>
  </si>
  <si>
    <t>Fall 1996
(N=156)</t>
  </si>
  <si>
    <t>Fall 1997
(N=182)</t>
  </si>
  <si>
    <t>Fall 1998
(N=138)</t>
  </si>
  <si>
    <t>Fall 1999
(N=174)</t>
  </si>
  <si>
    <t>South Korea</t>
  </si>
  <si>
    <t>TOTAL EMPLOYMENT*</t>
  </si>
  <si>
    <t>TABLE OF CONTENTS</t>
  </si>
  <si>
    <t>ADMINISTRATION</t>
  </si>
  <si>
    <t>Board of Trustees</t>
  </si>
  <si>
    <t>Executive Officers</t>
  </si>
  <si>
    <t>ADMISSIONS</t>
  </si>
  <si>
    <t>Freshmen</t>
  </si>
  <si>
    <t>Application History</t>
  </si>
  <si>
    <t>SPRING HEADCOUNT BY DEPARTMENT AND MAJOR</t>
  </si>
  <si>
    <t>Application History by Gender</t>
  </si>
  <si>
    <t>Application History by Ethnic Origin</t>
  </si>
  <si>
    <t>Fall 2002
(N=183)</t>
  </si>
  <si>
    <t>Transfers</t>
  </si>
  <si>
    <t>Enrollment History by South Carolina Institutions</t>
  </si>
  <si>
    <t>ENROLLMENT</t>
  </si>
  <si>
    <t>Summer Headcount and Credit Hour Production History</t>
  </si>
  <si>
    <t>Fall Headcount History by Major</t>
  </si>
  <si>
    <t>Fall Headcount History by Minor</t>
  </si>
  <si>
    <t>Freshman - First-Time</t>
  </si>
  <si>
    <t>Freshman - Other</t>
  </si>
  <si>
    <t>FRESHMAN TOTAL</t>
  </si>
  <si>
    <t>Spring Headcount History by Major</t>
  </si>
  <si>
    <t>Summer Headcount History by Major</t>
  </si>
  <si>
    <t>African-American Student Enrollment History</t>
  </si>
  <si>
    <t>Geographical Distribution History by Country of Origin</t>
  </si>
  <si>
    <t>Geographical Distribution History by State</t>
  </si>
  <si>
    <t>Psychology: Pre-Law</t>
  </si>
  <si>
    <t>Biology: Medical Technology</t>
  </si>
  <si>
    <t>Mathematics: Accounting</t>
  </si>
  <si>
    <t>Criminal Justice Mangement</t>
  </si>
  <si>
    <t>HP</t>
  </si>
  <si>
    <t xml:space="preserve">   Net Gain on Disposal of Assets</t>
  </si>
  <si>
    <t>No Response</t>
  </si>
  <si>
    <t>Geographical Distribution History by South Carolina County</t>
  </si>
  <si>
    <t>Degrees Conferred History by Division</t>
  </si>
  <si>
    <t>Minors Conferred History</t>
  </si>
  <si>
    <t>STUDENT LIFE AND SERVICES</t>
  </si>
  <si>
    <t>Library Statistics History</t>
  </si>
  <si>
    <t>ALUMNI</t>
  </si>
  <si>
    <t>FACULTY AND EMPLOYEES</t>
  </si>
  <si>
    <t>Fall FTE Student Faculty Ratio History</t>
  </si>
  <si>
    <t>Average Nine-month Faculty Salaries History by Rank</t>
  </si>
  <si>
    <t>FINANCIAL DATA</t>
  </si>
  <si>
    <t>Full-Time Academic Fees History</t>
  </si>
  <si>
    <t>Current Fund Revenues and Expenditures</t>
  </si>
  <si>
    <t>FACILITIES</t>
  </si>
  <si>
    <t>English: Applied Emphasis</t>
  </si>
  <si>
    <t>History: Pre-Law</t>
  </si>
  <si>
    <t>Political Science: Pre-Law</t>
  </si>
  <si>
    <t>FALL 2006</t>
  </si>
  <si>
    <t>Fox Creek HS</t>
  </si>
  <si>
    <t>Barnwell Christian School</t>
  </si>
  <si>
    <t>James Island Christian HS</t>
  </si>
  <si>
    <t>Palmetto Academy</t>
  </si>
  <si>
    <t>Wil Lou Gray Opportunity School</t>
  </si>
  <si>
    <t>Malboro Academy</t>
  </si>
  <si>
    <t>Oconee Christian Academy</t>
  </si>
  <si>
    <t>Lake Marion HS &amp; Tech Ctr</t>
  </si>
  <si>
    <t>Hopewood Academy</t>
  </si>
  <si>
    <t>USC-Upstate</t>
  </si>
  <si>
    <t>Anderson University</t>
  </si>
  <si>
    <t>Political Science: Public Administration</t>
  </si>
  <si>
    <t>Inventory of Major Buildings</t>
  </si>
  <si>
    <t>GRADUATION RATES</t>
  </si>
  <si>
    <t>NCAA Graduation Rates</t>
  </si>
  <si>
    <t>Four-Year Averages</t>
  </si>
  <si>
    <t>LANDER UNIVERSITY BOARD OF TRUSTEES</t>
  </si>
  <si>
    <t>2000-2001</t>
  </si>
  <si>
    <t>ELECTED MEMBERS</t>
  </si>
  <si>
    <t>CONGRESSIONAL DISTRICT</t>
  </si>
  <si>
    <t>TERM EXPIRES</t>
  </si>
  <si>
    <t>First</t>
  </si>
  <si>
    <t>Sixth</t>
  </si>
  <si>
    <t>Guam</t>
  </si>
  <si>
    <t>Russia</t>
  </si>
  <si>
    <t>Fourth</t>
  </si>
  <si>
    <t>Second</t>
  </si>
  <si>
    <t>Fifth</t>
  </si>
  <si>
    <t>Third</t>
  </si>
  <si>
    <t>AT-LARGE MEMBERS</t>
  </si>
  <si>
    <t>Appointed by the General Assembly</t>
  </si>
  <si>
    <t>Appointed by the Governor</t>
  </si>
  <si>
    <t>EX-OFFICIO MEMBER</t>
  </si>
  <si>
    <t>EXECUTIVE OFFICERS</t>
  </si>
  <si>
    <t>President</t>
  </si>
  <si>
    <t>Vice President for Academic Affairs</t>
  </si>
  <si>
    <t>H. Randall Bouknight</t>
  </si>
  <si>
    <t>Vice President for Student Affairs</t>
  </si>
  <si>
    <t>Jefferson J. May</t>
  </si>
  <si>
    <t>Athletic Director</t>
  </si>
  <si>
    <t>FRESHMEN APPLICATION HISTORY</t>
  </si>
  <si>
    <t>FOR FALL</t>
  </si>
  <si>
    <t>APPLICATIONS RECEIVED</t>
  </si>
  <si>
    <t>APPLICATIONS ACCEPTED</t>
  </si>
  <si>
    <t>% ACCEPTED OF RECEIVED</t>
  </si>
  <si>
    <t>APPLICATIONS ENROLLED</t>
  </si>
  <si>
    <t>% ENROLLED OF RECEIVED</t>
  </si>
  <si>
    <t>YEAR</t>
  </si>
  <si>
    <t>FRESHMEN APPLICATION HISTORY BY GENDER</t>
  </si>
  <si>
    <t>APPLICATIONS</t>
  </si>
  <si>
    <t>MALE</t>
  </si>
  <si>
    <t>English - Applied Emphasis</t>
  </si>
  <si>
    <t>FEMALE</t>
  </si>
  <si>
    <t xml:space="preserve"> </t>
  </si>
  <si>
    <t>RECEIVED FOR FALL</t>
  </si>
  <si>
    <t>NUMBER</t>
  </si>
  <si>
    <t>% OF TOTAL</t>
  </si>
  <si>
    <t>TOTAL</t>
  </si>
  <si>
    <t>ACCEPTED FOR FALL</t>
  </si>
  <si>
    <t>ENROLLED FOR FALL</t>
  </si>
  <si>
    <t>Latvia</t>
  </si>
  <si>
    <t>Niger</t>
  </si>
  <si>
    <t>Thailand</t>
  </si>
  <si>
    <t>FRESHMEN APPLICATION HISTORY BY ETHNIC ORIGIN</t>
  </si>
  <si>
    <t xml:space="preserve">FOR </t>
  </si>
  <si>
    <t>Black/Non-Hispanic</t>
  </si>
  <si>
    <t>White/Non-Hispanic</t>
  </si>
  <si>
    <t>Hispanic</t>
  </si>
  <si>
    <t>Asian/Pacific Islander</t>
  </si>
  <si>
    <t>American Indian/Alaskan Native</t>
  </si>
  <si>
    <t>Non-Resident Alien</t>
  </si>
  <si>
    <t>FALL</t>
  </si>
  <si>
    <t>Number</t>
  </si>
  <si>
    <t>% of Total</t>
  </si>
  <si>
    <t>FRESHMEN AVERAGE SAT COMPARISONS (1991-1995)</t>
  </si>
  <si>
    <t>VERBAL</t>
  </si>
  <si>
    <t>MATH</t>
  </si>
  <si>
    <t>COMBINED</t>
  </si>
  <si>
    <t>OF NEW FRESHMEN</t>
  </si>
  <si>
    <t>Lander</t>
  </si>
  <si>
    <t>State</t>
  </si>
  <si>
    <t>Nation</t>
  </si>
  <si>
    <t xml:space="preserve"> Nation</t>
  </si>
  <si>
    <t>TRANSFER APPLICATION HISTORY</t>
  </si>
  <si>
    <t xml:space="preserve">  </t>
  </si>
  <si>
    <t>TRANSFER APPLICATION HISTORY BY GENDER</t>
  </si>
  <si>
    <t>FRESHMEN RETENTION AND ATTRITION DATA</t>
  </si>
  <si>
    <t>Semester of Entry</t>
  </si>
  <si>
    <t>After first year</t>
  </si>
  <si>
    <t>%Graduated</t>
  </si>
  <si>
    <t>%Enrolled</t>
  </si>
  <si>
    <t>%Suspended</t>
  </si>
  <si>
    <t>%Discontinued</t>
  </si>
  <si>
    <t>After second year</t>
  </si>
  <si>
    <t>English: Professional Writing</t>
  </si>
  <si>
    <t>Montessori Education (M.Ed.)</t>
  </si>
  <si>
    <t>After third year</t>
  </si>
  <si>
    <t>Fall Enrollment by Age and Gender</t>
  </si>
  <si>
    <t> Under 18 </t>
  </si>
  <si>
    <t> 18-19 </t>
  </si>
  <si>
    <t> 20-21 </t>
  </si>
  <si>
    <t> 22-24 </t>
  </si>
  <si>
    <t>Political Science - University Center</t>
  </si>
  <si>
    <t> 25-29 </t>
  </si>
  <si>
    <t> 30-34 </t>
  </si>
  <si>
    <t> 35-39 </t>
  </si>
  <si>
    <t> 40-49 </t>
  </si>
  <si>
    <t> 50-64 </t>
  </si>
  <si>
    <t> 65 and over </t>
  </si>
  <si>
    <t>Grand Totals</t>
  </si>
  <si>
    <t>Totals</t>
  </si>
  <si>
    <t>Percentages</t>
  </si>
  <si>
    <t>Age Group</t>
  </si>
  <si>
    <t>After fourth year</t>
  </si>
  <si>
    <t>After fifth year</t>
  </si>
  <si>
    <t>After sixth year</t>
  </si>
  <si>
    <t>Percentages may not total 100% due to rounding.</t>
  </si>
  <si>
    <t>Number of Freshmen</t>
  </si>
  <si>
    <t>Fall 1994
(N=483)</t>
  </si>
  <si>
    <t>(All Full-time Freshmen)</t>
  </si>
  <si>
    <t>Fall 1995
(N=477)</t>
  </si>
  <si>
    <t>Fall 1996
(N=437)</t>
  </si>
  <si>
    <t>Fall 1997
(N=433)</t>
  </si>
  <si>
    <t>Fall 1999
(N=494)</t>
  </si>
  <si>
    <t>TRANSFER APPLICATION HISTORY BY ETHNIC ORIGIN</t>
  </si>
  <si>
    <t>ENROLLMENT COMPARISON OF TRANSFERS TO</t>
  </si>
  <si>
    <t>LANDER UNIVERSITY FROM SOUTH CAROLINA INSTITUTIONS</t>
  </si>
  <si>
    <t xml:space="preserve"> PUBLIC JUNIOR/TECHNICAL COLLEGES</t>
  </si>
  <si>
    <t>FALL 1997</t>
  </si>
  <si>
    <t>FALL 1998</t>
  </si>
  <si>
    <t>FALL 2000</t>
  </si>
  <si>
    <t>FALL CREDIT HOUR PRODUCTION (FTE)* BY DISCIPLINE</t>
  </si>
  <si>
    <t>Aiken Technical College</t>
  </si>
  <si>
    <t>Central Carolina Technical College</t>
  </si>
  <si>
    <t>Denmark Technical College</t>
  </si>
  <si>
    <t>Florence-Darlington Technical College</t>
  </si>
  <si>
    <t>Greenville Technical College</t>
  </si>
  <si>
    <t>Horry-Georgetown Technical College</t>
  </si>
  <si>
    <t>Midlands Technical College</t>
  </si>
  <si>
    <t>Orangeburg-Calhoun Technical College</t>
  </si>
  <si>
    <t>Piedmont Technical College</t>
  </si>
  <si>
    <t>Technical College of Low Country</t>
  </si>
  <si>
    <t>Tri-County Technical College</t>
  </si>
  <si>
    <t>FALL 2004</t>
  </si>
  <si>
    <t>Pre-Education</t>
  </si>
  <si>
    <t>FALL HEADCOUNT BY DEPARTMENT AND MAJOR</t>
  </si>
  <si>
    <t>Trident Technical College</t>
  </si>
  <si>
    <t>USC-Beaufort</t>
  </si>
  <si>
    <t>USC-Lancaster</t>
  </si>
  <si>
    <t>USC-Salkehatchie</t>
  </si>
  <si>
    <t>USC-Sumter</t>
  </si>
  <si>
    <t>USC-Union</t>
  </si>
  <si>
    <t>Williamsburg Technical College</t>
  </si>
  <si>
    <t>York Technical College</t>
  </si>
  <si>
    <t xml:space="preserve"> PUBLIC SENIOR COLLEGES AND UNIVERSITIES</t>
  </si>
  <si>
    <t>The Citadel</t>
  </si>
  <si>
    <t>Clemson University</t>
  </si>
  <si>
    <t>Coastal Carolina University</t>
  </si>
  <si>
    <t>College of Charleston</t>
  </si>
  <si>
    <t>Francis Marion University</t>
  </si>
  <si>
    <t>Medical University of S.C.</t>
  </si>
  <si>
    <t>S.C. State University</t>
  </si>
  <si>
    <t>USC-Aiken</t>
  </si>
  <si>
    <t>USC-Columbia</t>
  </si>
  <si>
    <t>Winthrop University</t>
  </si>
  <si>
    <t xml:space="preserve">PRIVATE JUNIOR COLLEGES </t>
  </si>
  <si>
    <t>Degrees Conferred History by Division Five-Year Averages</t>
  </si>
  <si>
    <t>Columbia Junior College</t>
  </si>
  <si>
    <t>Spartanburg Methodist College</t>
  </si>
  <si>
    <t>PRIVATE SENIOR COLLEGES AND UNIVERSITIES</t>
  </si>
  <si>
    <t>Allen University</t>
  </si>
  <si>
    <t>Benedict College</t>
  </si>
  <si>
    <t>Bob Jones University</t>
  </si>
  <si>
    <t>Central Wesleyan College</t>
  </si>
  <si>
    <t>Charleston Southern University</t>
  </si>
  <si>
    <t>Claflin College</t>
  </si>
  <si>
    <t>Coker College</t>
  </si>
  <si>
    <t>Columbia Bible College</t>
  </si>
  <si>
    <t>Columbia College</t>
  </si>
  <si>
    <t>Converse College</t>
  </si>
  <si>
    <t>Erskine College</t>
  </si>
  <si>
    <t>Furman University</t>
  </si>
  <si>
    <t>Limestone College</t>
  </si>
  <si>
    <t>Morris College</t>
  </si>
  <si>
    <t>Newberry College</t>
  </si>
  <si>
    <t>Presbyterian College</t>
  </si>
  <si>
    <t>Southern Methodist College</t>
  </si>
  <si>
    <t>Voorhees College</t>
  </si>
  <si>
    <t>Wofford College</t>
  </si>
  <si>
    <t>SUMMARY</t>
  </si>
  <si>
    <t>Public Junior/Technical Colleges</t>
  </si>
  <si>
    <t>FALL 2007</t>
  </si>
  <si>
    <t>Computer Information Systems</t>
  </si>
  <si>
    <t>Gerontology/Certificate</t>
  </si>
  <si>
    <t>Health Agency/Health Care Mgmt.</t>
  </si>
  <si>
    <t>Journalism</t>
  </si>
  <si>
    <t>Public Senior Colleges/Universities</t>
  </si>
  <si>
    <t>Private Junior Colleges</t>
  </si>
  <si>
    <t>Private Senior Colleges/Universities</t>
  </si>
  <si>
    <t>Non-Resident</t>
  </si>
  <si>
    <t>Amer. Indian/</t>
  </si>
  <si>
    <t>White</t>
  </si>
  <si>
    <t>GRAND</t>
  </si>
  <si>
    <t>Alien</t>
  </si>
  <si>
    <t>Alaskan Native</t>
  </si>
  <si>
    <t>Pacific Islander</t>
  </si>
  <si>
    <t>Other</t>
  </si>
  <si>
    <t>INTENSITY AND CLASSIFICATION OF STUDENT</t>
  </si>
  <si>
    <t>Male</t>
  </si>
  <si>
    <t>Female</t>
  </si>
  <si>
    <t>% of GRAND TOTAL</t>
  </si>
  <si>
    <t>FULL-TIME STUDENTS</t>
  </si>
  <si>
    <t xml:space="preserve">    Second Year</t>
  </si>
  <si>
    <t xml:space="preserve">    Third Year</t>
  </si>
  <si>
    <t xml:space="preserve">    Fourth Year/Beyond</t>
  </si>
  <si>
    <t xml:space="preserve">    Non-Degree UG</t>
  </si>
  <si>
    <t>UG SUBTOTAL</t>
  </si>
  <si>
    <t>Degree Graduate</t>
  </si>
  <si>
    <t>Non-Degree Graduate</t>
  </si>
  <si>
    <t>GRAD SUBTOTAL</t>
  </si>
  <si>
    <t>TOTAL FULL-TIME</t>
  </si>
  <si>
    <t>PART-TIME STUDENTS</t>
  </si>
  <si>
    <t xml:space="preserve">    Degree Graduate</t>
  </si>
  <si>
    <t xml:space="preserve">    Non-Degree Graduate</t>
  </si>
  <si>
    <t>TOTAL PART-TIME</t>
  </si>
  <si>
    <t>GRAND TOTAL</t>
  </si>
  <si>
    <t>Figures are derived by Integrated Postsecondary Education Data System (IPEDS) requirements.</t>
  </si>
  <si>
    <t>FALL CREDIT HOUR PRODUCTION (CHP)* BY DISCIPLINE</t>
  </si>
  <si>
    <t>DISCIPLINE BY SCHOOL/DIVISION</t>
  </si>
  <si>
    <t>Organizational Chart</t>
  </si>
  <si>
    <t>Lower Level</t>
  </si>
  <si>
    <t>Upper Level</t>
  </si>
  <si>
    <t>Graduate Level</t>
  </si>
  <si>
    <t>Total CHP</t>
  </si>
  <si>
    <t>% change in CHP</t>
  </si>
  <si>
    <t>PSYC</t>
  </si>
  <si>
    <t>SOCI</t>
  </si>
  <si>
    <t>Sub-total</t>
  </si>
  <si>
    <t>ACCT</t>
  </si>
  <si>
    <t>BA</t>
  </si>
  <si>
    <t>COOP</t>
  </si>
  <si>
    <t>ECON</t>
  </si>
  <si>
    <t>FINA</t>
  </si>
  <si>
    <t>HCMT</t>
  </si>
  <si>
    <t>MGMT</t>
  </si>
  <si>
    <t>MKT</t>
  </si>
  <si>
    <t>School of Education</t>
  </si>
  <si>
    <t>ECED</t>
  </si>
  <si>
    <t>EDUC</t>
  </si>
  <si>
    <t>EDPD</t>
  </si>
  <si>
    <t>SPED</t>
  </si>
  <si>
    <t>TFP</t>
  </si>
  <si>
    <t>ART</t>
  </si>
  <si>
    <t>DANC</t>
  </si>
  <si>
    <t>JOUR</t>
  </si>
  <si>
    <t>Fall 1992
(N=402)</t>
  </si>
  <si>
    <t>Fall 1993
(N= 496)</t>
  </si>
  <si>
    <t>MCOM</t>
  </si>
  <si>
    <t>MEDA</t>
  </si>
  <si>
    <t>MUS</t>
  </si>
  <si>
    <t>MUSI</t>
  </si>
  <si>
    <t>SPCH</t>
  </si>
  <si>
    <t>THTR</t>
  </si>
  <si>
    <t>HIST</t>
  </si>
  <si>
    <t>POLS</t>
  </si>
  <si>
    <t>ANTH</t>
  </si>
  <si>
    <t>ENGL</t>
  </si>
  <si>
    <t>FR</t>
  </si>
  <si>
    <t>GEOG</t>
  </si>
  <si>
    <t>HUMA</t>
  </si>
  <si>
    <t>PHIL</t>
  </si>
  <si>
    <t>SPAN</t>
  </si>
  <si>
    <t>Nursing</t>
  </si>
  <si>
    <t>NURS</t>
  </si>
  <si>
    <t>CSEM</t>
  </si>
  <si>
    <t>HS</t>
  </si>
  <si>
    <t>IDS</t>
  </si>
  <si>
    <t>IDSA</t>
  </si>
  <si>
    <t>LPLP</t>
  </si>
  <si>
    <t>MS</t>
  </si>
  <si>
    <t>Mass Communications/Theatre</t>
  </si>
  <si>
    <t>PEES</t>
  </si>
  <si>
    <t>BIOL</t>
  </si>
  <si>
    <t>CHEM</t>
  </si>
  <si>
    <t>ES</t>
  </si>
  <si>
    <t>GEOL</t>
  </si>
  <si>
    <t>PHYS</t>
  </si>
  <si>
    <t>PSCI</t>
  </si>
  <si>
    <t>*   Credit Hour Production (CHP) is the sum of credit hours produced in the discipline.</t>
  </si>
  <si>
    <t>SPRING CREDIT HOUR PRODUCTION (CHP)* BY DISCIPLINE</t>
  </si>
  <si>
    <t>FA</t>
  </si>
  <si>
    <t>Total FTE</t>
  </si>
  <si>
    <t>Visual Arts: Graphic Design</t>
  </si>
  <si>
    <t>% change in FTE</t>
  </si>
  <si>
    <t>FALL HEADCOUNT AND FTE HISTORY</t>
  </si>
  <si>
    <t>HEADCOUNT</t>
  </si>
  <si>
    <t>FTE</t>
  </si>
  <si>
    <t>UG</t>
  </si>
  <si>
    <t>GRAD</t>
  </si>
  <si>
    <t>FTE figures may not total due to rounding.</t>
  </si>
  <si>
    <t>SPRING HEADCOUNT AND FTE HISTORY</t>
  </si>
  <si>
    <t>Charleston Collegiate School</t>
  </si>
  <si>
    <t>Dillon Christian School</t>
  </si>
  <si>
    <t>Covenant Christian Academy</t>
  </si>
  <si>
    <t>Covenant Christian School</t>
  </si>
  <si>
    <t>SUMMER HEADCOUNT</t>
  </si>
  <si>
    <t>AND CREDIT HOUR PRODUCTION</t>
  </si>
  <si>
    <t>CREDIT HOUR PRODUCTION</t>
  </si>
  <si>
    <t>FALL HEADCOUNT ENROLLMENT BY CLASS</t>
  </si>
  <si>
    <t>Headcount</t>
  </si>
  <si>
    <t>% Change</t>
  </si>
  <si>
    <t>Freshman</t>
  </si>
  <si>
    <t>Sophomore</t>
  </si>
  <si>
    <t>Junior</t>
  </si>
  <si>
    <t>Senior</t>
  </si>
  <si>
    <t>Second Degree</t>
  </si>
  <si>
    <t>Non-Degree/Special</t>
  </si>
  <si>
    <t xml:space="preserve">     UG TOTAL</t>
  </si>
  <si>
    <t>G TOTAL</t>
  </si>
  <si>
    <t>SPRING HEADCOUNT ENROLLMENT BY CLASS</t>
  </si>
  <si>
    <t>SUMMER HEADCOUNT ENROLLMENT BY CLASS</t>
  </si>
  <si>
    <t>N/A</t>
  </si>
  <si>
    <t>% CHANGE</t>
  </si>
  <si>
    <t>Psychology</t>
  </si>
  <si>
    <t>Psychology*</t>
  </si>
  <si>
    <t>Psychology: Counseling</t>
  </si>
  <si>
    <t>Psychology: Counseling*</t>
  </si>
  <si>
    <t>2003-2004</t>
  </si>
  <si>
    <t>Sociology</t>
  </si>
  <si>
    <t>Sociology*</t>
  </si>
  <si>
    <t>Sociology: Criminal Justice</t>
  </si>
  <si>
    <t>Sociology: Criminal Justice*</t>
  </si>
  <si>
    <t>Biology</t>
  </si>
  <si>
    <t>Chemistry</t>
  </si>
  <si>
    <t>Chemistry (Engineering)</t>
  </si>
  <si>
    <t>Environmental Science</t>
  </si>
  <si>
    <t>Medical Technology</t>
  </si>
  <si>
    <t>Pre-Allied Health</t>
  </si>
  <si>
    <t>Pre-Dentistry</t>
  </si>
  <si>
    <t>Serbia and Montenegro</t>
  </si>
  <si>
    <t>Spain</t>
  </si>
  <si>
    <t>Taiwan</t>
  </si>
  <si>
    <t>Pre-Medical</t>
  </si>
  <si>
    <t>Pre-Pharmacy</t>
  </si>
  <si>
    <t>Pre-Vet</t>
  </si>
  <si>
    <t>Mass Communications/Theatre: Mass Communications</t>
  </si>
  <si>
    <t>Mass Communications/Theatre: Theatre</t>
  </si>
  <si>
    <t>Music</t>
  </si>
  <si>
    <t>Music Education</t>
  </si>
  <si>
    <t>Speech and Theatre</t>
  </si>
  <si>
    <t>Visual Arts</t>
  </si>
  <si>
    <t>History</t>
  </si>
  <si>
    <t>Political Science</t>
  </si>
  <si>
    <t>Pre-Law</t>
  </si>
  <si>
    <t>English</t>
  </si>
  <si>
    <t>Spanish</t>
  </si>
  <si>
    <t>Psychology: Developmental Psychology</t>
  </si>
  <si>
    <t>Computer Information Systems: (Engineering)</t>
  </si>
  <si>
    <t>Computer Information Systems: Information Science</t>
  </si>
  <si>
    <t>Computer Information Systems: Regular</t>
  </si>
  <si>
    <t>Mathematics: (Engineering)</t>
  </si>
  <si>
    <t>Health Care Management Certificate</t>
  </si>
  <si>
    <t>Computer Information Systems: Network/Telecom</t>
  </si>
  <si>
    <t>Mathematics</t>
  </si>
  <si>
    <t>Nursing Applicant</t>
  </si>
  <si>
    <t>Pre-Nursing</t>
  </si>
  <si>
    <t>General Education/Undeclared</t>
  </si>
  <si>
    <t>Interdisciplinary Studies</t>
  </si>
  <si>
    <t>Pre-Interdisciplinary Studies</t>
  </si>
  <si>
    <t>Exercise Studies: Athletic Training</t>
  </si>
  <si>
    <t>Exercise Studies: Exercise Science</t>
  </si>
  <si>
    <t>MONT</t>
  </si>
  <si>
    <t>Physical Education</t>
  </si>
  <si>
    <t>Business: Accounting</t>
  </si>
  <si>
    <t>GRADUATION/RETENTION RATES</t>
  </si>
  <si>
    <t>First-time, Full-time Transfers</t>
  </si>
  <si>
    <t>Freshmen Retention and Attrition</t>
  </si>
  <si>
    <t>Transfer Retention and Attrition</t>
  </si>
  <si>
    <t>Business: Economics/Finance</t>
  </si>
  <si>
    <t>Business: General</t>
  </si>
  <si>
    <t>Business: Health Care Management</t>
  </si>
  <si>
    <t>Business: Management/Marketing</t>
  </si>
  <si>
    <t>West Ashley High School</t>
  </si>
  <si>
    <t>Colleton County High School</t>
  </si>
  <si>
    <t>Greenville Tech Charter HS</t>
  </si>
  <si>
    <t>South Carolina Governor's School</t>
  </si>
  <si>
    <t>Laurens Academy</t>
  </si>
  <si>
    <t>Art Concentration (M.A.T.)</t>
  </si>
  <si>
    <t>Early Childhood Education</t>
  </si>
  <si>
    <t>Elementary Education</t>
  </si>
  <si>
    <t>Elementary Education (M.Ed.)</t>
  </si>
  <si>
    <t>Special Education</t>
  </si>
  <si>
    <t>Undeclared (Graduate-level)</t>
  </si>
  <si>
    <t>*Approved programs at the University Center in Greenville, SC.</t>
  </si>
  <si>
    <t>Vice President</t>
  </si>
  <si>
    <t>FALL HEADCOUNT BY MINOR</t>
  </si>
  <si>
    <t>Code</t>
  </si>
  <si>
    <t>African American Studies</t>
  </si>
  <si>
    <t>Anthropology</t>
  </si>
  <si>
    <t>Art History</t>
  </si>
  <si>
    <t>Business Administration</t>
  </si>
  <si>
    <t>Child and Family Studies</t>
  </si>
  <si>
    <t>Coaching Education</t>
  </si>
  <si>
    <t>Dance</t>
  </si>
  <si>
    <t>Electronic Art</t>
  </si>
  <si>
    <t>English (Applied Emphasis)</t>
  </si>
  <si>
    <t>French</t>
  </si>
  <si>
    <t>Health Care Management</t>
  </si>
  <si>
    <t>International Studies</t>
  </si>
  <si>
    <t>Mass Communucations</t>
  </si>
  <si>
    <t>Mass Media</t>
  </si>
  <si>
    <t>Media Production</t>
  </si>
  <si>
    <t>Philosophy-Religion</t>
  </si>
  <si>
    <t>Writing</t>
  </si>
  <si>
    <r>
      <t xml:space="preserve">     Sub-Total </t>
    </r>
    <r>
      <rPr>
        <sz val="8"/>
        <rFont val="Arial"/>
        <family val="2"/>
      </rPr>
      <t>(with Minor)</t>
    </r>
  </si>
  <si>
    <r>
      <t xml:space="preserve">     Sub-Total </t>
    </r>
    <r>
      <rPr>
        <sz val="8"/>
        <rFont val="Arial"/>
        <family val="2"/>
      </rPr>
      <t>(without Minor)</t>
    </r>
  </si>
  <si>
    <r>
      <t xml:space="preserve">     Sub-Total</t>
    </r>
    <r>
      <rPr>
        <sz val="8"/>
        <rFont val="Arial"/>
        <family val="2"/>
      </rPr>
      <t xml:space="preserve"> (Graduate-level students)</t>
    </r>
  </si>
  <si>
    <t>LU</t>
  </si>
  <si>
    <t>Exercise Science</t>
  </si>
  <si>
    <t>Exercise Studies</t>
  </si>
  <si>
    <t>ELECTRONIC SEARCH STATISTICS</t>
  </si>
  <si>
    <t>AVERAGE STUDENT AGE</t>
  </si>
  <si>
    <t>FALL OF…</t>
  </si>
  <si>
    <t>UNDERGRADUATE</t>
  </si>
  <si>
    <t>GRADUATE</t>
  </si>
  <si>
    <t>ALL STUDENTS</t>
  </si>
  <si>
    <t>Under-graduate Average</t>
  </si>
  <si>
    <t>Graduate Average</t>
  </si>
  <si>
    <t>All Students Average</t>
  </si>
  <si>
    <t>SPRING OF…</t>
  </si>
  <si>
    <t>Under-    graduate Average</t>
  </si>
  <si>
    <t>Average Ages were calculated as of the last day of the term.</t>
  </si>
  <si>
    <t>AFRICAN-AMERICAN STUDENT ENROLLMENT</t>
  </si>
  <si>
    <t>%</t>
  </si>
  <si>
    <t>Total Female</t>
  </si>
  <si>
    <t>Total African-American</t>
  </si>
  <si>
    <t>Total Students</t>
  </si>
  <si>
    <t>Black Male</t>
  </si>
  <si>
    <t>Black Female</t>
  </si>
  <si>
    <t>Total Black</t>
  </si>
  <si>
    <t>GEOGRAPHICAL DISTRIBUTION OF STUDENTS BY STATE</t>
  </si>
  <si>
    <t>LOCATION</t>
  </si>
  <si>
    <t>Alabama</t>
  </si>
  <si>
    <t>Arizona</t>
  </si>
  <si>
    <t>Arkansas</t>
  </si>
  <si>
    <t>California</t>
  </si>
  <si>
    <t>Colorado</t>
  </si>
  <si>
    <t>Connecticut</t>
  </si>
  <si>
    <t>District of Columbia</t>
  </si>
  <si>
    <t>Florida</t>
  </si>
  <si>
    <t>Georgia</t>
  </si>
  <si>
    <t>Idaho</t>
  </si>
  <si>
    <t>Illinois</t>
  </si>
  <si>
    <t>Indiana</t>
  </si>
  <si>
    <t>Kansas</t>
  </si>
  <si>
    <t>Kentucky</t>
  </si>
  <si>
    <t>Louisiana</t>
  </si>
  <si>
    <t>Maine</t>
  </si>
  <si>
    <t>Maryland</t>
  </si>
  <si>
    <t>Massachusetts</t>
  </si>
  <si>
    <t>Michigan</t>
  </si>
  <si>
    <t>Minnesota</t>
  </si>
  <si>
    <t>Mississippi</t>
  </si>
  <si>
    <t>Missouri</t>
  </si>
  <si>
    <t>Montana</t>
  </si>
  <si>
    <t>New Hampshire</t>
  </si>
  <si>
    <t>New Jersey</t>
  </si>
  <si>
    <t>New York</t>
  </si>
  <si>
    <t>North Carolina</t>
  </si>
  <si>
    <t>Ohio</t>
  </si>
  <si>
    <t>Oklahoma</t>
  </si>
  <si>
    <t>Oregon</t>
  </si>
  <si>
    <t>Pennsylvania</t>
  </si>
  <si>
    <t>Rhode Island</t>
  </si>
  <si>
    <t>South Carolina</t>
  </si>
  <si>
    <t>Tennessee</t>
  </si>
  <si>
    <t>Texas</t>
  </si>
  <si>
    <t>Vermont</t>
  </si>
  <si>
    <t>Virginia</t>
  </si>
  <si>
    <t>Washington</t>
  </si>
  <si>
    <t>West Virginia</t>
  </si>
  <si>
    <t>Wisconsin</t>
  </si>
  <si>
    <t>Foreign</t>
  </si>
  <si>
    <t>COUNTY</t>
  </si>
  <si>
    <t>Abbeville</t>
  </si>
  <si>
    <t>Aiken</t>
  </si>
  <si>
    <t>Allendale</t>
  </si>
  <si>
    <t>Anderson</t>
  </si>
  <si>
    <t>Bamberg</t>
  </si>
  <si>
    <t>Barnwell</t>
  </si>
  <si>
    <t>Beaufort</t>
  </si>
  <si>
    <t>Calhoun</t>
  </si>
  <si>
    <t>Charleston</t>
  </si>
  <si>
    <t>Cherokee</t>
  </si>
  <si>
    <t>Philosophy</t>
  </si>
  <si>
    <t>Computer Science/CIS</t>
  </si>
  <si>
    <t>Chester</t>
  </si>
  <si>
    <t>Chesterfield</t>
  </si>
  <si>
    <t>Clarendon</t>
  </si>
  <si>
    <t>Colleton</t>
  </si>
  <si>
    <t>Darlington</t>
  </si>
  <si>
    <t>Dillon</t>
  </si>
  <si>
    <t>Dorchester</t>
  </si>
  <si>
    <t>Edgefield</t>
  </si>
  <si>
    <t>Fairfield</t>
  </si>
  <si>
    <t>Florence</t>
  </si>
  <si>
    <t>Georgetown</t>
  </si>
  <si>
    <t>Greenville</t>
  </si>
  <si>
    <t>Greenwood</t>
  </si>
  <si>
    <t>Hampton</t>
  </si>
  <si>
    <t>Horry</t>
  </si>
  <si>
    <t>Jasper</t>
  </si>
  <si>
    <t>Kershaw</t>
  </si>
  <si>
    <t>Lancaster</t>
  </si>
  <si>
    <t>Laurens</t>
  </si>
  <si>
    <t>Lee</t>
  </si>
  <si>
    <t>Lexington</t>
  </si>
  <si>
    <t>Marion</t>
  </si>
  <si>
    <t>Marlboro</t>
  </si>
  <si>
    <t>First-time Freshmen by SC High School</t>
  </si>
  <si>
    <t>McCormick</t>
  </si>
  <si>
    <t>Newberry</t>
  </si>
  <si>
    <t>Oconee</t>
  </si>
  <si>
    <t>Orangeburg</t>
  </si>
  <si>
    <t>Pickens</t>
  </si>
  <si>
    <t>Richland</t>
  </si>
  <si>
    <t>Saluda</t>
  </si>
  <si>
    <t>Spartanburg</t>
  </si>
  <si>
    <t>Sumter</t>
  </si>
  <si>
    <t>Union</t>
  </si>
  <si>
    <t>Lander University</t>
  </si>
  <si>
    <t>Bahamas</t>
  </si>
  <si>
    <t xml:space="preserve">     Student Tuition and Fees (net of scholarship allowances of $7,230,536)</t>
  </si>
  <si>
    <t xml:space="preserve">     Employee Benefits</t>
  </si>
  <si>
    <t xml:space="preserve">     Compensation</t>
  </si>
  <si>
    <t xml:space="preserve">                   Total Capital Improvement Bond Proceeds</t>
  </si>
  <si>
    <t>2005-2006</t>
  </si>
  <si>
    <t>Williamsburg</t>
  </si>
  <si>
    <t>York</t>
  </si>
  <si>
    <t>Total S.C. Students</t>
  </si>
  <si>
    <t>Out-of-State</t>
  </si>
  <si>
    <t>GEOGRAPHICAL DISTRIBUTION OF STUDENTS BY COUNTRY OF ORIGIN</t>
  </si>
  <si>
    <t>COUNTRY</t>
  </si>
  <si>
    <t>Albania</t>
  </si>
  <si>
    <t>Argentina</t>
  </si>
  <si>
    <t>Australia</t>
  </si>
  <si>
    <t>Barbados</t>
  </si>
  <si>
    <t>Bolivia</t>
  </si>
  <si>
    <t>Brazil</t>
  </si>
  <si>
    <t>Bulgaria</t>
  </si>
  <si>
    <t>Canada</t>
  </si>
  <si>
    <t>Ecuador</t>
  </si>
  <si>
    <t>Finland</t>
  </si>
  <si>
    <t>France</t>
  </si>
  <si>
    <t>Germany</t>
  </si>
  <si>
    <t>India</t>
  </si>
  <si>
    <t>Nigeria</t>
  </si>
  <si>
    <t>Norway</t>
  </si>
  <si>
    <t>South Africa</t>
  </si>
  <si>
    <t>Sweden</t>
  </si>
  <si>
    <t>Trinidad</t>
  </si>
  <si>
    <t>United Kingdom</t>
  </si>
  <si>
    <t>Yugoslavia</t>
  </si>
  <si>
    <t>Zambia</t>
  </si>
  <si>
    <t>Zimbabwe</t>
  </si>
  <si>
    <t>Total Foreign</t>
  </si>
  <si>
    <t>S.C. Students</t>
  </si>
  <si>
    <t>FALL IN-STATE AND OUT-OF-STATE DISTRIBUTION OF HEADCOUNT ENROLLMENT</t>
  </si>
  <si>
    <t>S.C. RESIDENTS</t>
  </si>
  <si>
    <t>OUT-OF-STATE RESIDENTS</t>
  </si>
  <si>
    <t>#</t>
  </si>
  <si>
    <t>SPRING IN-STATE AND OUT-OF-STATE DISTRIBUTION OF HEADCOUNT ENROLLMENT</t>
  </si>
  <si>
    <t>1997-1998</t>
  </si>
  <si>
    <t>1998-1999</t>
  </si>
  <si>
    <t>1999-2000</t>
  </si>
  <si>
    <t>Barrett Hall</t>
  </si>
  <si>
    <t>BIPD</t>
  </si>
  <si>
    <t>CIS</t>
  </si>
  <si>
    <t>Political Science: Public Administration*</t>
  </si>
  <si>
    <t>GEOGRAPHICAL DISTRIBUTION
OF STUDENTS BY
SOUTH CAROLINA COUNTY</t>
  </si>
  <si>
    <t>GEOGRAPHICAL DISTRIBUTION OF
ALUMNI BY STATE</t>
  </si>
  <si>
    <t>2002-2003</t>
  </si>
  <si>
    <t>FALL 2002</t>
  </si>
  <si>
    <t>Fall Headcount History by Class</t>
  </si>
  <si>
    <t>Spring Headcount History by Class</t>
  </si>
  <si>
    <t>Summer Headcount History by Class</t>
  </si>
  <si>
    <t>CLASS</t>
  </si>
  <si>
    <t>Spring Enrollment</t>
  </si>
  <si>
    <t>Uruguay</t>
  </si>
  <si>
    <t>Mass Communications/Theatre: Speech and Theatre</t>
  </si>
  <si>
    <t>Political Science: Pre-Law*</t>
  </si>
  <si>
    <t>Nursing: RN to BSN: On-Line</t>
  </si>
  <si>
    <t>Chesterfield-Marlboro Technical College - Northeastern Technical College</t>
  </si>
  <si>
    <t>% ENROLLED OF ACCEPTED</t>
  </si>
  <si>
    <t>Fall 1998
(N=487)</t>
  </si>
  <si>
    <t>Fall 2001
(N=487)</t>
  </si>
  <si>
    <t>Fall 2001
(N=169)</t>
  </si>
  <si>
    <t>FALL FTE TEACHING FACULTY
 BY DIVISION AND RANK</t>
  </si>
  <si>
    <t>FTE Students</t>
  </si>
  <si>
    <t>FTE Teaching Faculty</t>
  </si>
  <si>
    <t>FTE Student/Faculty Ratio</t>
  </si>
  <si>
    <t>FALL 2007 FULL-TIME TEACHING FACULTY BY DIVISION AND RANK</t>
  </si>
  <si>
    <t>DISCIPLINE</t>
  </si>
  <si>
    <t>PROFESSOR</t>
  </si>
  <si>
    <t>ASSOCIATE PROFESSOR</t>
  </si>
  <si>
    <t>ASSISTANT PROFESSOR</t>
  </si>
  <si>
    <t>INSTRUCTOR</t>
  </si>
  <si>
    <t>LECTURER</t>
  </si>
  <si>
    <t>Art</t>
  </si>
  <si>
    <t>Business</t>
  </si>
  <si>
    <t>Education</t>
  </si>
  <si>
    <t>English/Foreign Language</t>
  </si>
  <si>
    <t>History and Philosophy</t>
  </si>
  <si>
    <t>Math and Computing</t>
  </si>
  <si>
    <t>Physical Sciences</t>
  </si>
  <si>
    <t>Political and Social Science</t>
  </si>
  <si>
    <t>FALL 2007 FULL-TIME FACULTY HEADCOUNT</t>
  </si>
  <si>
    <t>BY DIVISION/SCHOOL BY TENURE STATUS</t>
  </si>
  <si>
    <t>AND TERMINAL DEGREE</t>
  </si>
  <si>
    <t>DIVISION/SCHOOL</t>
  </si>
  <si>
    <t>TOTAL FULL-TIME FACULTY</t>
  </si>
  <si>
    <t>NUMBER WITH TENURE</t>
  </si>
  <si>
    <t>NUMBER WITH TERMINAL DEGREE</t>
  </si>
  <si>
    <t>Physical Science</t>
  </si>
  <si>
    <t>FALL 2007 FULL-TIME FACULTY HEADCOUNT BY RANK AND GENDER</t>
  </si>
  <si>
    <t>Rank</t>
  </si>
  <si>
    <t>Professor</t>
  </si>
  <si>
    <t>Associate Professor</t>
  </si>
  <si>
    <t>Assistant Professor</t>
  </si>
  <si>
    <t>Instructor</t>
  </si>
  <si>
    <t>Lecturer</t>
  </si>
  <si>
    <t>Figures include all faculty with rank of instructor or higher with the exception of the President, the Vice-President for Academic Affairs, and librarians.</t>
  </si>
  <si>
    <t>AVERAGE NINE-MONTH FACULTY SALARIES BY RANK</t>
  </si>
  <si>
    <t>Figures include all faculty (including librarians) with rank of instructor or higher with the exception of the President and Vice-President for Academic Affairs.</t>
  </si>
  <si>
    <t>Twelve-month salaries have been converted to nine-month salary equivalents.</t>
  </si>
  <si>
    <t>FULL-TIME UNDERGRADUATE</t>
  </si>
  <si>
    <t>ACADEMIC FEES HISTORY</t>
  </si>
  <si>
    <t>IN-STATE</t>
  </si>
  <si>
    <t>OUT-OF-STATE</t>
  </si>
  <si>
    <t>Figures do not include fees for Housing or Food Service.</t>
  </si>
  <si>
    <t>2008-2009</t>
  </si>
  <si>
    <t>FALL 2008</t>
  </si>
  <si>
    <t>Avg</t>
  </si>
  <si>
    <t>% Gr Tot $</t>
  </si>
  <si>
    <t>Federal SMART Grant*</t>
  </si>
  <si>
    <t>SC Palmetto Fellows Scholarship</t>
  </si>
  <si>
    <t>SC LIFE Enhancement Scholarship**</t>
  </si>
  <si>
    <t>SC Palmetto Fellows Enhancement Sch**</t>
  </si>
  <si>
    <t>SC National Guard CAP**</t>
  </si>
  <si>
    <t>SC Need-Based Grant-Foster Care Youth</t>
  </si>
  <si>
    <t>Grand Total****</t>
  </si>
  <si>
    <t>** LIFE Enhancement Scholarships began in the 2007-08 Academic Year</t>
  </si>
  <si>
    <t>** Palmetto Fellows Enhancement Scholarships began in the 2007-08 Academic Year</t>
  </si>
  <si>
    <t>** SC National Guard CAP program began in the 2007-08 Academic Year</t>
  </si>
  <si>
    <t>** SC Need-Based Foster Care Youth grant began in the 2007-08 Academic Year</t>
  </si>
  <si>
    <t>**** Grand Total/Students are Unduplicated</t>
  </si>
  <si>
    <t>Austria</t>
  </si>
  <si>
    <t>Columbia</t>
  </si>
  <si>
    <t>Public Adminstration</t>
  </si>
  <si>
    <t>RELI</t>
  </si>
  <si>
    <t>2011-2012</t>
  </si>
  <si>
    <t>Vice President for Governmental Affairs</t>
  </si>
  <si>
    <t>J. Adam Taylor</t>
  </si>
  <si>
    <t>Ralph E. Patterson</t>
  </si>
  <si>
    <t>Vice President for University Advancement</t>
  </si>
  <si>
    <t>FALL 2009</t>
  </si>
  <si>
    <t>FALL 2010</t>
  </si>
  <si>
    <t>FALL 2011</t>
  </si>
  <si>
    <t>2009-2010</t>
  </si>
  <si>
    <t>2010-2011</t>
  </si>
  <si>
    <t>Fall 2009</t>
  </si>
  <si>
    <t>Fall 2010</t>
  </si>
  <si>
    <t>Fall 2011</t>
  </si>
  <si>
    <t>Spring 2010</t>
  </si>
  <si>
    <t>Spring 2011</t>
  </si>
  <si>
    <t>Spring 2012</t>
  </si>
  <si>
    <t>Summer 2010</t>
  </si>
  <si>
    <t>Summer 2011</t>
  </si>
  <si>
    <t>Summer 2012</t>
  </si>
  <si>
    <t xml:space="preserve">Two or </t>
  </si>
  <si>
    <t>More Races</t>
  </si>
  <si>
    <t>Native Hawaiian/</t>
  </si>
  <si>
    <t>Black</t>
  </si>
  <si>
    <t>Asian</t>
  </si>
  <si>
    <t>Serbia</t>
  </si>
  <si>
    <t>EQUN</t>
  </si>
  <si>
    <t>EQUR</t>
  </si>
  <si>
    <t>YEAR ENDED JUNE 30, 2011</t>
  </si>
  <si>
    <t>Summer 2008</t>
  </si>
  <si>
    <t>Summer 2009</t>
  </si>
  <si>
    <t>HIPD</t>
  </si>
  <si>
    <t>North Dakota</t>
  </si>
  <si>
    <t xml:space="preserve">Aiken Performing Arts Academy </t>
  </si>
  <si>
    <t>Augusta Christian School</t>
  </si>
  <si>
    <t>Aquinas High School</t>
  </si>
  <si>
    <t>FALL2006</t>
  </si>
  <si>
    <t>Anderson Christian School</t>
  </si>
  <si>
    <t>Fork Union Military Academy</t>
  </si>
  <si>
    <t>Cross Creek High School</t>
  </si>
  <si>
    <t>Catherdral Academy</t>
  </si>
  <si>
    <t>Military Magnet Academy</t>
  </si>
  <si>
    <t>Cane Bay HS</t>
  </si>
  <si>
    <t>Woodland High School</t>
  </si>
  <si>
    <t>Brashier Middle Clg Charter HS</t>
  </si>
  <si>
    <t>The Fine Arts Center</t>
  </si>
  <si>
    <t>Palmetto Christain Academy</t>
  </si>
  <si>
    <t>Hardeeville HS</t>
  </si>
  <si>
    <t>Ridgeland High School</t>
  </si>
  <si>
    <t>Lee Central High School</t>
  </si>
  <si>
    <t>Camden Military Academy</t>
  </si>
  <si>
    <t>Fall 2006</t>
  </si>
  <si>
    <t>Creek Bridge HS</t>
  </si>
  <si>
    <t>Bethune Bowman HS</t>
  </si>
  <si>
    <t>Easley Christian HS</t>
  </si>
  <si>
    <t>Blythewood High School</t>
  </si>
  <si>
    <t>Provost Academy</t>
  </si>
  <si>
    <t>Richland One Middle College</t>
  </si>
  <si>
    <t>SC Connections Academy</t>
  </si>
  <si>
    <t>Oakbrook Preparatory School</t>
  </si>
  <si>
    <t xml:space="preserve">Nation Ford HS </t>
  </si>
  <si>
    <t>South Pointe High School</t>
  </si>
  <si>
    <t>Fall 2008</t>
  </si>
  <si>
    <t>Fall 2007</t>
  </si>
  <si>
    <t>Spring 2009</t>
  </si>
  <si>
    <t>Spring 2008</t>
  </si>
  <si>
    <t>Elementary Education (M.Ed.): Teaching and Learning</t>
  </si>
  <si>
    <t>Political Science: Criminal Justice</t>
  </si>
  <si>
    <t>Computer Science</t>
  </si>
  <si>
    <t>Information Technology</t>
  </si>
  <si>
    <t>Military Science and Leadership</t>
  </si>
  <si>
    <t>Music Theatre</t>
  </si>
  <si>
    <t>Theatre</t>
  </si>
  <si>
    <t>Therapeutic Horsemanship</t>
  </si>
  <si>
    <t>Armed Forces - Europe</t>
  </si>
  <si>
    <t>Mauritius</t>
  </si>
  <si>
    <t>Slovenia</t>
  </si>
  <si>
    <t>Gambia</t>
  </si>
  <si>
    <t>Israel</t>
  </si>
  <si>
    <t>Denmark</t>
  </si>
  <si>
    <t>Indonesia</t>
  </si>
  <si>
    <t>Korea, Republic of</t>
  </si>
  <si>
    <t>Phillipines</t>
  </si>
  <si>
    <t>English - Professional Writing</t>
  </si>
  <si>
    <t>Mass Media/ Mass Communications</t>
  </si>
  <si>
    <t>Visual Arts: Graphics Design</t>
  </si>
  <si>
    <t>Mass Media/Mass Communications</t>
  </si>
  <si>
    <t>Figures under each academic year are derived by Intergrated Postsecondary Educaton Data System (IPEDS) requirements (combining graduates from the applicable fall and spring semesters and the summer PRIOR to the beginning of the academic year.</t>
  </si>
  <si>
    <t>FALL HEADCOUNT - TEACHER CERTIFICATION MAJOR</t>
  </si>
  <si>
    <t>Fall Headcount by Major - Teacher Certification</t>
  </si>
  <si>
    <t>Montessori (M.Ed.): Preschool (ages 3-6)  Primary (Grades 1-3)</t>
  </si>
  <si>
    <t>The Honorable Nikki Haley, Governor of South Carolina</t>
  </si>
  <si>
    <t xml:space="preserve">     Designee:  Holly Bracknell</t>
  </si>
  <si>
    <t>Fall 2007
(N=433)</t>
  </si>
  <si>
    <t>Fall 2008
(N=555)</t>
  </si>
  <si>
    <t>Fall 2009
(N=582)</t>
  </si>
  <si>
    <t>Fall 2010
(N=686)</t>
  </si>
  <si>
    <t>Fall 2010 (N=186)</t>
  </si>
  <si>
    <t>Fall 2008 (N=181)</t>
  </si>
  <si>
    <t>Fall 2006 (N=159)</t>
  </si>
  <si>
    <t>Fall 2005 (N=159)</t>
  </si>
  <si>
    <t>Financial Aid Award History (2001-2005)</t>
  </si>
  <si>
    <t xml:space="preserve">                                Lander University Financial Aid Sources</t>
  </si>
  <si>
    <t>Type of Aid</t>
  </si>
  <si>
    <t>Federal Grants</t>
  </si>
  <si>
    <t>Sub Total***</t>
  </si>
  <si>
    <t>Lander Work</t>
  </si>
  <si>
    <t>Fee Abatements (out-of-state) - NCAA</t>
  </si>
  <si>
    <t>Fee Abatements (out-of-state)</t>
  </si>
  <si>
    <t>* ACG grants began in 2006-2007 Academic Year &amp; ended 2010-11</t>
  </si>
  <si>
    <t>* SMART grants began in 2006-2007 Academic Year &amp; ended 2010-11</t>
  </si>
  <si>
    <t>*** Totals are duplicated headcounts</t>
  </si>
  <si>
    <t>2012-2013</t>
  </si>
  <si>
    <t>Fall 2006: First-time, Full-time Freshmen Graduation Rates</t>
  </si>
  <si>
    <t>Fall 2012</t>
  </si>
  <si>
    <t>MUSK</t>
  </si>
  <si>
    <t>MUSN</t>
  </si>
  <si>
    <t>MUSV</t>
  </si>
  <si>
    <t>ESL</t>
  </si>
  <si>
    <t>ASC</t>
  </si>
  <si>
    <t>Montessori Education (M.Ed.) - Preschool: Ages 3-6</t>
  </si>
  <si>
    <t>Montessori Education (M.Ed.) - Primary: Grades 1-3</t>
  </si>
  <si>
    <t>Teaching and Learning (M.Ed.) - Diverse Learners</t>
  </si>
  <si>
    <t>Teaching and Learning (M.Ed.) - Exercise and Sports Studies</t>
  </si>
  <si>
    <t>Teaching and Learning (M.Ed.) - Instructional Technology</t>
  </si>
  <si>
    <t>Music Education: Choral</t>
  </si>
  <si>
    <t>Music Education: Instrumental</t>
  </si>
  <si>
    <t>Music Education: Keyboard</t>
  </si>
  <si>
    <t>Music: Instrumental</t>
  </si>
  <si>
    <t>FALL 2012</t>
  </si>
  <si>
    <t>FALL HEADCOUNT BY DEPARTMENT AND MAJOR (Five Year Averages)</t>
  </si>
  <si>
    <t>China</t>
  </si>
  <si>
    <t>Guatemala</t>
  </si>
  <si>
    <t>Mexico</t>
  </si>
  <si>
    <t>Peru</t>
  </si>
  <si>
    <t>Portugal</t>
  </si>
  <si>
    <t>Music: Keyboard</t>
  </si>
  <si>
    <t>Music: Vocal</t>
  </si>
  <si>
    <t xml:space="preserve">Music Education </t>
  </si>
  <si>
    <t xml:space="preserve">Teaching and Learning (M.Ed.):  </t>
  </si>
  <si>
    <t>Teaching and Learning (M.Ed.): Diverse Learners</t>
  </si>
  <si>
    <t>Teaching and Learning (M.Ed.): Instructional Technology</t>
  </si>
  <si>
    <t>Montessori Education (M.Ed.):  Preschool (ages 3-6)</t>
  </si>
  <si>
    <t>Montessori Education (M.Ed.): Primary (grades 1-3)</t>
  </si>
  <si>
    <t>Spring 2013</t>
  </si>
  <si>
    <t>LDSH</t>
  </si>
  <si>
    <t>Fall 2011
(N=595)</t>
  </si>
  <si>
    <t>Fall 2011 (N=175)</t>
  </si>
  <si>
    <t>Gary McCombs</t>
  </si>
  <si>
    <t>David S. Mash</t>
  </si>
  <si>
    <t>Charleston Charter Sch. For Sci. &amp; Math.</t>
  </si>
  <si>
    <t>Economics</t>
  </si>
  <si>
    <t>Musical Theatre</t>
  </si>
  <si>
    <t xml:space="preserve">    Gale Resources/DISCUS</t>
  </si>
  <si>
    <t xml:space="preserve">     PASCAL Books Sent</t>
  </si>
  <si>
    <t xml:space="preserve">     PASCAL Books Received</t>
  </si>
  <si>
    <t xml:space="preserve">     PASCAL Lending/Borrowing Ratio</t>
  </si>
  <si>
    <t>-</t>
  </si>
  <si>
    <t>REFERENCE QUESTIONS - TOTAL</t>
  </si>
  <si>
    <t>REFERENCE #(%)</t>
  </si>
  <si>
    <t># (%)</t>
  </si>
  <si>
    <t>Teaching and Learning (M.Ed.): Exercise and Sports Studies</t>
  </si>
  <si>
    <t>Summer 2013</t>
  </si>
  <si>
    <t>Berkley Cty Middle College HS</t>
  </si>
  <si>
    <t>Spartanburg Christian Academcy</t>
  </si>
  <si>
    <t>Ashley Ridge High School</t>
  </si>
  <si>
    <t>Greer Middle Clg Charter HS</t>
  </si>
  <si>
    <t>South University: Columbia</t>
  </si>
  <si>
    <t>ECPI College: Greenville</t>
  </si>
  <si>
    <t>ITT Technical Institute: Greenville</t>
  </si>
  <si>
    <t>Southern Wesleyan University</t>
  </si>
  <si>
    <t>Clinton Junior College</t>
  </si>
  <si>
    <t>Northeastern Technical College</t>
  </si>
  <si>
    <t>Art Institute of Charleston</t>
  </si>
  <si>
    <t>2013-2014</t>
  </si>
  <si>
    <t>Fall 2007: First-time, Full-time Freshmen Graduation Rates</t>
  </si>
  <si>
    <t>FALL 2013</t>
  </si>
  <si>
    <t>Fall 2013</t>
  </si>
  <si>
    <t>RESIDENTIAL UNIT/DORMITORY</t>
  </si>
  <si>
    <t>Bearcat Village</t>
  </si>
  <si>
    <t>Centennial Hall</t>
  </si>
  <si>
    <t>Lander on the Square</t>
  </si>
  <si>
    <t>McGhee Court</t>
  </si>
  <si>
    <t>University Place</t>
  </si>
  <si>
    <t>TOTAL RESIDENTS</t>
  </si>
  <si>
    <t>% Occupancy</t>
  </si>
  <si>
    <t>FALL TO SPRING CHANGE</t>
  </si>
  <si>
    <t>CMM</t>
  </si>
  <si>
    <t>HONS</t>
  </si>
  <si>
    <t>Poland</t>
  </si>
  <si>
    <t>Switzerland</t>
  </si>
  <si>
    <t>Venezuela</t>
  </si>
  <si>
    <t>Music: Choral</t>
  </si>
  <si>
    <t>Music Education: Vocal</t>
  </si>
  <si>
    <t>Leadership</t>
  </si>
  <si>
    <t>Spring 2014</t>
  </si>
  <si>
    <t>NUR</t>
  </si>
  <si>
    <t>Clinical Nurse Leader</t>
  </si>
  <si>
    <t>Fortis College</t>
  </si>
  <si>
    <t>Fall 2012
(N=567)</t>
  </si>
  <si>
    <t>Teaching and Learning (M.Ed.)</t>
  </si>
  <si>
    <t>School of Management</t>
  </si>
  <si>
    <t>2014-2015</t>
  </si>
  <si>
    <t>Seventh</t>
  </si>
  <si>
    <t>Dr. DeWitt B. Stone, Jr.</t>
  </si>
  <si>
    <t>Ms. Marcia Thrift Hydrick</t>
  </si>
  <si>
    <t>Dr. Linda L. Dolny, Secretary of the Board</t>
  </si>
  <si>
    <t>Jack W. Lawrence, Chairman of the Board</t>
  </si>
  <si>
    <t>George R. Starnes, Vice Chairman of the Board</t>
  </si>
  <si>
    <t>Mamie W. Nicholson</t>
  </si>
  <si>
    <t>Dr. Donald Lloyd, II, Finance and Facilities Committee Chair</t>
  </si>
  <si>
    <t>Raymond D. Hunt</t>
  </si>
  <si>
    <t>Bobby M. Bowers</t>
  </si>
  <si>
    <t>Fall 2008: First-time, Full-time Freshmen Graduation Rates</t>
  </si>
  <si>
    <t>Fall 2014</t>
  </si>
  <si>
    <t>EMGT</t>
  </si>
  <si>
    <t>UNI</t>
  </si>
  <si>
    <t>Year</t>
  </si>
  <si>
    <t>Cr/Std</t>
  </si>
  <si>
    <t>Christ Church Episcocal School</t>
  </si>
  <si>
    <t>St. Francis Xavier High School</t>
  </si>
  <si>
    <t>Note:</t>
  </si>
  <si>
    <t>5 Year Average with no value indicates no activity from the school in the last five years.</t>
  </si>
  <si>
    <t>FALL 2014</t>
  </si>
  <si>
    <t>Whale Branch Early College</t>
  </si>
  <si>
    <t>River Bluff HS</t>
  </si>
  <si>
    <t>Emergency Management (M.S.)</t>
  </si>
  <si>
    <t>Clinical Nurse Leader (M.S.N.)</t>
  </si>
  <si>
    <t>Public Relations</t>
  </si>
  <si>
    <t>Interdisciplinary Studies: Educational Psyc.for Special Populations</t>
  </si>
  <si>
    <t>Interdisciplinary Studies: Environmental Health</t>
  </si>
  <si>
    <t>Interdisciplinary Studies: Equine-Assisted Activities and Therapies</t>
  </si>
  <si>
    <t>Interdisciplinary Studies: Graphic Arts and Marketing</t>
  </si>
  <si>
    <t>Interdisciplinary Studies: Health Care, Public Relations</t>
  </si>
  <si>
    <t>Croatia</t>
  </si>
  <si>
    <t>Kazakhstan</t>
  </si>
  <si>
    <t>Spring 2015</t>
  </si>
  <si>
    <t>CHIN</t>
  </si>
  <si>
    <t>Data not yet provided by appropriate department</t>
  </si>
  <si>
    <t xml:space="preserve">Fall and Spring Residential Unit Occupancy History </t>
  </si>
  <si>
    <t>Fall 2007 (N=139)</t>
  </si>
  <si>
    <t>Fall 2009 (N=229)</t>
  </si>
  <si>
    <t>Fall 2012 (N=184)</t>
  </si>
  <si>
    <t>Fall 2013 (N=175)</t>
  </si>
  <si>
    <t>Fall 2013
(N=516)</t>
  </si>
  <si>
    <t>Financial Aid Award History (2006-2011)</t>
  </si>
  <si>
    <t>Lander University Financial Aid Sources</t>
  </si>
  <si>
    <t>Federal Pell Grant   PELL</t>
  </si>
  <si>
    <t>Federal ACG Grant*  ACG1/ACG2</t>
  </si>
  <si>
    <t>Federal SEOG Grant  SEOG</t>
  </si>
  <si>
    <t>Federal SMART Grant* SMART3/SMART4</t>
  </si>
  <si>
    <t>Federal SSS Grant  SSS</t>
  </si>
  <si>
    <t>Federal Direct Sub Loan DLSUB/DLSB2</t>
  </si>
  <si>
    <t>Federal Direct Unsub Loan DLUSUB/DLUB2</t>
  </si>
  <si>
    <t>Federal Direct Parent Loan DLPLUS/DLPLS2</t>
  </si>
  <si>
    <t>Federal Perkins Loan PERK/PERK2</t>
  </si>
  <si>
    <t>Lander Work LWS</t>
  </si>
  <si>
    <t>Federal Work Study FWS/CWS</t>
  </si>
  <si>
    <t>SC LIFE Scholarship  LIFE</t>
  </si>
  <si>
    <t>SC Need-Based Grant  SCNBG</t>
  </si>
  <si>
    <t>SC HOPE Scholarship  HOPE</t>
  </si>
  <si>
    <t>SC Teaching Fellows  TFP</t>
  </si>
  <si>
    <t>SC Palmetto Fellows Scholarship PFS</t>
  </si>
  <si>
    <t>SC LIFE Enhancement Scholarship** LIFEEN</t>
  </si>
  <si>
    <t>SC Teachers Loan Program  TLP</t>
  </si>
  <si>
    <t>SC Vocational Rehabilitation  VOCREH (acpt)</t>
  </si>
  <si>
    <t>SC Palmetto Fellows Enhancement Sch**PFSEN</t>
  </si>
  <si>
    <t>SC National Guard CAP**  SCNGCA</t>
  </si>
  <si>
    <t>SC NBG - Foster Care Youth  SCNBFC</t>
  </si>
  <si>
    <t xml:space="preserve">Fee Waivers IWVR  </t>
  </si>
  <si>
    <t xml:space="preserve">Fee Waivers IWVR4  </t>
  </si>
  <si>
    <t>Fee Abatements (out-of-state) - NCAA ABATEA</t>
  </si>
  <si>
    <t>Fee Abatements (out-of-state) ABATE</t>
  </si>
  <si>
    <t>Athletic Scholarships Ath recipients by fund yr</t>
  </si>
  <si>
    <t>Foundation Academic Acad Fndtn by fund srce</t>
  </si>
  <si>
    <t>Alternative Loans Alt loans pd &gt;0 year</t>
  </si>
  <si>
    <t>Portable Scholarships/Grants Rec OUTSC yr awd</t>
  </si>
  <si>
    <t>Self Loans (now OUTSC scholarship, not loan)</t>
  </si>
  <si>
    <t>Average Student Age History</t>
  </si>
  <si>
    <t>Summer 2014</t>
  </si>
  <si>
    <t>Summer 2015</t>
  </si>
  <si>
    <t>1415</t>
  </si>
  <si>
    <t>1314</t>
  </si>
  <si>
    <t>1213</t>
  </si>
  <si>
    <t>2015-2016</t>
  </si>
  <si>
    <t>SAT Scores: Lander, State, National Averages (1996-2015)</t>
  </si>
  <si>
    <t>Fall 2015 Headcount</t>
  </si>
  <si>
    <t>Fall 2015 Credit Hour Production History by Discipline</t>
  </si>
  <si>
    <t>Fall 2015 FTE History by Discipline</t>
  </si>
  <si>
    <t>Fall 2015 Teaching Faculty by School/Division and Rank</t>
  </si>
  <si>
    <t>Fall 2015 Faculty by School/Division by Tenure Status and Terminal Degree</t>
  </si>
  <si>
    <t>Fall 2015 Faculty Headcount by Rank and Gender</t>
  </si>
  <si>
    <t>Spring 2016 Headcount</t>
  </si>
  <si>
    <t>Spring 2016 Credit Hour Production History by Discipline</t>
  </si>
  <si>
    <t>Spring 2016 FTE History by Discipline</t>
  </si>
  <si>
    <t>Summer 2016 Credit Hour Production History by Discipline</t>
  </si>
  <si>
    <t>Summer 2016 FTE History by Discipline</t>
  </si>
  <si>
    <t>Fall 2009: First-time, Full-time Freshmen Graduation Rates</t>
  </si>
  <si>
    <t>Richard E. Cosentino</t>
  </si>
  <si>
    <t>FRESHMEN AVERAGE SAT COMPARISONS (1996-2015)</t>
  </si>
  <si>
    <t>FALL 2015 HEADCOUNT ENROLLMENT</t>
  </si>
  <si>
    <t>Fall 2015</t>
  </si>
  <si>
    <t>PORT</t>
  </si>
  <si>
    <t>Business: Financial Services</t>
  </si>
  <si>
    <t>Mr. Cary Corbitt, Institutional Advancement Committee Chair</t>
  </si>
  <si>
    <t>Catherine Lee Frederick</t>
  </si>
  <si>
    <t>Maurice Holloway</t>
  </si>
  <si>
    <t>Robert A. Barber, Jr., Academic Affairs Committee Chair</t>
  </si>
  <si>
    <t>Dr. Robert F. Sabalis</t>
  </si>
  <si>
    <t>S. Anne Walker</t>
  </si>
  <si>
    <t>Effective: July 1, 2015</t>
  </si>
  <si>
    <t>Mr. Claude C. Robinson, Student Affairs/Intercollegiate Athletics Committee Chair</t>
  </si>
  <si>
    <t>FALL 2015</t>
  </si>
  <si>
    <t>International Business</t>
  </si>
  <si>
    <t>Cote D'ivoire</t>
  </si>
  <si>
    <t>Czech Republic</t>
  </si>
  <si>
    <t>Egypt</t>
  </si>
  <si>
    <t>Netherlands</t>
  </si>
  <si>
    <t>Saudi Arabia</t>
  </si>
  <si>
    <t>FALL 2015 ENROLLMENT BY AGE AND GENDER</t>
  </si>
  <si>
    <r>
      <t xml:space="preserve">Fall and Spring Headcount and FTE History </t>
    </r>
    <r>
      <rPr>
        <i/>
        <u/>
        <sz val="12"/>
        <color indexed="12"/>
        <rFont val="Arial"/>
        <family val="2"/>
      </rPr>
      <t>(Fall and Spring Updated)</t>
    </r>
  </si>
  <si>
    <t>Spring 2016</t>
  </si>
  <si>
    <t>Undeclared (Non-Degree)</t>
  </si>
  <si>
    <t>Undeclared Non-Degree (Graduate-level)</t>
  </si>
  <si>
    <t>Undeclared Non-Degree</t>
  </si>
  <si>
    <t>North Greenville University</t>
  </si>
  <si>
    <t>Fall 2015 Percentage
of Total</t>
  </si>
  <si>
    <t>Parents Assoc. Christian Education</t>
  </si>
  <si>
    <t>Parent's Assoc Christian Educuation</t>
  </si>
  <si>
    <t>Pinewood Preparatory School</t>
  </si>
  <si>
    <t>Fox Creek High School</t>
  </si>
  <si>
    <t>Legary Charter HS</t>
  </si>
  <si>
    <t>Academy for Arts, Sci, &amp; Tech</t>
  </si>
  <si>
    <t>Academy for Tech and Academics</t>
  </si>
  <si>
    <t>Gray Collegiate Academy</t>
  </si>
  <si>
    <t>Midlands Middle College</t>
  </si>
  <si>
    <t>Westwood HS</t>
  </si>
  <si>
    <t>W Wyman King Academy</t>
  </si>
  <si>
    <r>
      <t xml:space="preserve">In-State/Out-of-State Headcount History </t>
    </r>
    <r>
      <rPr>
        <i/>
        <u/>
        <sz val="12"/>
        <color indexed="12"/>
        <rFont val="Arial"/>
        <family val="2"/>
      </rPr>
      <t>(Fall and Spring Updated)</t>
    </r>
  </si>
  <si>
    <t>Clinical Nursing Leader (M.S.N.)</t>
  </si>
  <si>
    <t>SPRING 2016 HEADCOUNT ENROLLMENT</t>
  </si>
  <si>
    <t>Undeclared/Non-Degree</t>
  </si>
  <si>
    <t>Summer 2016</t>
  </si>
  <si>
    <t>Fall 2014 (N=179)</t>
  </si>
  <si>
    <t>Fall 2014
(N=553)</t>
  </si>
  <si>
    <t>Financial Aid Award History Graph (2012-2016)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</si>
</sst>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4" formatCode="_(&quot;$&quot;* #,##0.00_);_(&quot;$&quot;* \(#,##0.00\);_(&quot;$&quot;* &quot;-&quot;??_);_(@_)"/>
    <numFmt numFmtId="43" formatCode="_(* #,##0.00_);_(* \(#,##0.00\);_(* &quot;-&quot;??_);_(@_)"/>
    <numFmt numFmtId="164" formatCode="0.0%"/>
    <numFmt numFmtId="165" formatCode="0.0"/>
    <numFmt numFmtId="166" formatCode="0000"/>
    <numFmt numFmtId="167" formatCode="_(* #,##0_);_(* \(#,##0\);_(* &quot;-&quot;??_);_(@_)"/>
    <numFmt numFmtId="168" formatCode="_-&quot;£&quot;* #,##0_-;\-&quot;£&quot;* #,##0_-;_-&quot;£&quot;* &quot;-&quot;_-;_-@_-"/>
    <numFmt numFmtId="169" formatCode="_-&quot;£&quot;* #,##0.00_-;\-&quot;£&quot;* #,##0.00_-;_-&quot;£&quot;* &quot;-&quot;??_-;_-@_-"/>
    <numFmt numFmtId="170" formatCode="_-* #,##0\ &quot;DM&quot;_-;\-* #,##0\ &quot;DM&quot;_-;_-* &quot;-&quot;\ &quot;DM&quot;_-;_-@_-"/>
    <numFmt numFmtId="171" formatCode="_-* #,##0\ _D_M_-;\-* #,##0\ _D_M_-;_-* &quot;-&quot;\ _D_M_-;_-@_-"/>
    <numFmt numFmtId="172" formatCode="_-* #,##0.00\ &quot;DM&quot;_-;\-* #,##0.00\ &quot;DM&quot;_-;_-* &quot;-&quot;??\ &quot;DM&quot;_-;_-@_-"/>
    <numFmt numFmtId="173" formatCode="_-* #,##0.00\ _D_M_-;\-* #,##0.00\ _D_M_-;_-* &quot;-&quot;??\ _D_M_-;_-@_-"/>
    <numFmt numFmtId="174" formatCode="&quot;$&quot;#,##0.00"/>
    <numFmt numFmtId="175" formatCode="&quot;$&quot;#,##0"/>
    <numFmt numFmtId="176" formatCode="_(* #,##0.0_);_(* \(#,##0.0\);_(* &quot;-&quot;??_);_(@_)"/>
    <numFmt numFmtId="177" formatCode="_(&quot;$&quot;* #,##0_);_(&quot;$&quot;* \(#,##0\);_(&quot;$&quot;* &quot;-&quot;??_);_(@_)"/>
  </numFmts>
  <fonts count="70" x14ac:knownFonts="1">
    <font>
      <sz val="10"/>
      <name val="Arial"/>
    </font>
    <font>
      <sz val="11"/>
      <color theme="1"/>
      <name val="Calibri"/>
      <family val="2"/>
      <scheme val="minor"/>
    </font>
    <font>
      <sz val="10"/>
      <name val="Arial"/>
      <family val="2"/>
    </font>
    <font>
      <sz val="10"/>
      <name val="Arial"/>
      <family val="2"/>
    </font>
    <font>
      <sz val="10"/>
      <name val="MS Sans Serif"/>
      <family val="2"/>
    </font>
    <font>
      <sz val="12"/>
      <name val="Times New Roman"/>
      <family val="1"/>
    </font>
    <font>
      <u/>
      <sz val="10"/>
      <color indexed="12"/>
      <name val="Arial"/>
      <family val="2"/>
    </font>
    <font>
      <sz val="10"/>
      <name val="Arial"/>
      <family val="2"/>
    </font>
    <font>
      <sz val="14"/>
      <name val="Arial"/>
      <family val="2"/>
    </font>
    <font>
      <b/>
      <sz val="14"/>
      <name val="Arial"/>
      <family val="2"/>
    </font>
    <font>
      <b/>
      <sz val="16"/>
      <name val="Arial"/>
      <family val="2"/>
    </font>
    <font>
      <sz val="12"/>
      <name val="Arial"/>
      <family val="2"/>
    </font>
    <font>
      <b/>
      <sz val="10"/>
      <name val="Arial"/>
      <family val="2"/>
    </font>
    <font>
      <b/>
      <sz val="18"/>
      <name val="Arial"/>
      <family val="2"/>
    </font>
    <font>
      <b/>
      <sz val="10"/>
      <name val="Arial"/>
      <family val="2"/>
    </font>
    <font>
      <b/>
      <sz val="13.5"/>
      <name val="Arial"/>
      <family val="2"/>
    </font>
    <font>
      <sz val="8"/>
      <name val="Arial"/>
      <family val="2"/>
    </font>
    <font>
      <b/>
      <sz val="8"/>
      <name val="Arial"/>
      <family val="2"/>
    </font>
    <font>
      <b/>
      <i/>
      <sz val="10"/>
      <color indexed="8"/>
      <name val="Arial"/>
      <family val="2"/>
    </font>
    <font>
      <sz val="10"/>
      <color indexed="8"/>
      <name val="Arial"/>
      <family val="2"/>
    </font>
    <font>
      <b/>
      <sz val="10"/>
      <color indexed="8"/>
      <name val="Arial"/>
      <family val="2"/>
    </font>
    <font>
      <sz val="8"/>
      <name val="Arial"/>
      <family val="2"/>
    </font>
    <font>
      <b/>
      <sz val="15"/>
      <name val="Arial"/>
      <family val="2"/>
    </font>
    <font>
      <sz val="11"/>
      <name val="Arial"/>
      <family val="2"/>
    </font>
    <font>
      <b/>
      <sz val="12"/>
      <name val="Arial"/>
      <family val="2"/>
    </font>
    <font>
      <b/>
      <sz val="8.5"/>
      <name val="Arial"/>
      <family val="2"/>
    </font>
    <font>
      <sz val="8"/>
      <color indexed="8"/>
      <name val="Tahoma"/>
      <family val="2"/>
    </font>
    <font>
      <sz val="10"/>
      <color indexed="10"/>
      <name val="Arial"/>
      <family val="2"/>
    </font>
    <font>
      <b/>
      <sz val="17"/>
      <name val="Arial"/>
      <family val="2"/>
    </font>
    <font>
      <i/>
      <sz val="10"/>
      <name val="Arial"/>
      <family val="2"/>
    </font>
    <font>
      <b/>
      <i/>
      <sz val="10"/>
      <name val="Arial"/>
      <family val="2"/>
    </font>
    <font>
      <b/>
      <sz val="10"/>
      <color indexed="10"/>
      <name val="Arial"/>
      <family val="2"/>
    </font>
    <font>
      <sz val="8"/>
      <color indexed="81"/>
      <name val="Tahoma"/>
      <family val="2"/>
    </font>
    <font>
      <b/>
      <sz val="8"/>
      <color indexed="81"/>
      <name val="Tahoma"/>
      <family val="2"/>
    </font>
    <font>
      <sz val="10"/>
      <color indexed="12"/>
      <name val="Arial"/>
      <family val="2"/>
    </font>
    <font>
      <sz val="10"/>
      <color indexed="17"/>
      <name val="Arial"/>
      <family val="2"/>
    </font>
    <font>
      <b/>
      <sz val="13"/>
      <name val="Arial"/>
      <family val="2"/>
    </font>
    <font>
      <b/>
      <sz val="7.5"/>
      <name val="Arial"/>
      <family val="2"/>
    </font>
    <font>
      <b/>
      <sz val="8"/>
      <color indexed="8"/>
      <name val="Tahoma"/>
      <family val="2"/>
    </font>
    <font>
      <b/>
      <sz val="11"/>
      <name val="Arial"/>
      <family val="2"/>
    </font>
    <font>
      <sz val="7"/>
      <name val="Arial"/>
      <family val="2"/>
    </font>
    <font>
      <sz val="12"/>
      <color indexed="10"/>
      <name val="Arial"/>
      <family val="2"/>
    </font>
    <font>
      <sz val="12"/>
      <name val="Arial"/>
      <family val="2"/>
    </font>
    <font>
      <sz val="10"/>
      <name val="Times New Roman"/>
      <family val="1"/>
    </font>
    <font>
      <sz val="10"/>
      <color indexed="15"/>
      <name val="Arial"/>
      <family val="2"/>
    </font>
    <font>
      <b/>
      <sz val="14"/>
      <color indexed="9"/>
      <name val="Arial"/>
      <family val="2"/>
    </font>
    <font>
      <sz val="13"/>
      <name val="Arial"/>
      <family val="2"/>
    </font>
    <font>
      <b/>
      <sz val="13"/>
      <color indexed="9"/>
      <name val="Arial"/>
      <family val="2"/>
    </font>
    <font>
      <u/>
      <sz val="12"/>
      <color indexed="12"/>
      <name val="Arial"/>
      <family val="2"/>
    </font>
    <font>
      <b/>
      <sz val="10"/>
      <color indexed="9"/>
      <name val="Arial"/>
      <family val="2"/>
    </font>
    <font>
      <sz val="9"/>
      <name val="Times New Roman"/>
      <family val="1"/>
    </font>
    <font>
      <b/>
      <sz val="12"/>
      <color indexed="81"/>
      <name val="Tahoma"/>
      <family val="2"/>
    </font>
    <font>
      <sz val="10"/>
      <color indexed="9"/>
      <name val="Arial"/>
      <family val="2"/>
    </font>
    <font>
      <b/>
      <sz val="10"/>
      <color theme="0"/>
      <name val="Arial"/>
      <family val="2"/>
    </font>
    <font>
      <sz val="10"/>
      <color theme="0"/>
      <name val="Arial"/>
      <family val="2"/>
    </font>
    <font>
      <b/>
      <sz val="9"/>
      <name val="Times New Roman"/>
      <family val="1"/>
    </font>
    <font>
      <sz val="10"/>
      <color rgb="FFFF0000"/>
      <name val="Arial"/>
      <family val="2"/>
    </font>
    <font>
      <sz val="9"/>
      <name val="Arial"/>
      <family val="2"/>
    </font>
    <font>
      <b/>
      <sz val="11"/>
      <color theme="1"/>
      <name val="Calibri"/>
      <family val="2"/>
      <scheme val="minor"/>
    </font>
    <font>
      <sz val="9"/>
      <color indexed="81"/>
      <name val="Tahoma"/>
      <family val="2"/>
    </font>
    <font>
      <b/>
      <sz val="9"/>
      <color indexed="81"/>
      <name val="Tahoma"/>
      <family val="2"/>
    </font>
    <font>
      <b/>
      <sz val="13.5"/>
      <color rgb="FFFF0000"/>
      <name val="Arial"/>
      <family val="2"/>
    </font>
    <font>
      <sz val="16"/>
      <name val="Arial"/>
      <family val="2"/>
    </font>
    <font>
      <sz val="16"/>
      <color theme="1"/>
      <name val="Calibri"/>
      <family val="2"/>
      <scheme val="minor"/>
    </font>
    <font>
      <sz val="14"/>
      <color theme="1"/>
      <name val="Calibri"/>
      <family val="2"/>
      <scheme val="minor"/>
    </font>
    <font>
      <b/>
      <sz val="16"/>
      <color rgb="FFFF0000"/>
      <name val="Calibri"/>
      <family val="2"/>
      <scheme val="minor"/>
    </font>
    <font>
      <b/>
      <sz val="13.5"/>
      <color theme="0"/>
      <name val="Arial"/>
      <family val="2"/>
    </font>
    <font>
      <i/>
      <u/>
      <sz val="12"/>
      <color indexed="12"/>
      <name val="Arial"/>
      <family val="2"/>
    </font>
    <font>
      <sz val="10.5"/>
      <name val="Arial"/>
      <family val="2"/>
    </font>
    <font>
      <b/>
      <sz val="10.5"/>
      <name val="Arial"/>
      <family val="2"/>
    </font>
  </fonts>
  <fills count="14">
    <fill>
      <patternFill patternType="none"/>
    </fill>
    <fill>
      <patternFill patternType="gray125"/>
    </fill>
    <fill>
      <patternFill patternType="solid">
        <fgColor indexed="65"/>
        <bgColor indexed="64"/>
      </patternFill>
    </fill>
    <fill>
      <patternFill patternType="gray0625"/>
    </fill>
    <fill>
      <patternFill patternType="solid">
        <fgColor indexed="9"/>
        <bgColor indexed="64"/>
      </patternFill>
    </fill>
    <fill>
      <patternFill patternType="solid">
        <fgColor indexed="22"/>
        <bgColor indexed="64"/>
      </patternFill>
    </fill>
    <fill>
      <patternFill patternType="solid">
        <fgColor indexed="22"/>
        <bgColor indexed="9"/>
      </patternFill>
    </fill>
    <fill>
      <patternFill patternType="solid">
        <fgColor indexed="22"/>
        <bgColor indexed="22"/>
      </patternFill>
    </fill>
    <fill>
      <patternFill patternType="solid">
        <fgColor indexed="8"/>
        <bgColor indexed="64"/>
      </patternFill>
    </fill>
    <fill>
      <patternFill patternType="solid">
        <fgColor theme="0" tint="-0.249977111117893"/>
        <bgColor indexed="64"/>
      </patternFill>
    </fill>
    <fill>
      <patternFill patternType="solid">
        <fgColor rgb="FFFF00FF"/>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s>
  <borders count="197">
    <border>
      <left/>
      <right/>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thin">
        <color indexed="8"/>
      </right>
      <top style="medium">
        <color indexed="64"/>
      </top>
      <bottom/>
      <diagonal/>
    </border>
    <border>
      <left/>
      <right style="medium">
        <color indexed="8"/>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8"/>
      </right>
      <top style="thin">
        <color indexed="64"/>
      </top>
      <bottom style="thin">
        <color indexed="64"/>
      </bottom>
      <diagonal/>
    </border>
    <border>
      <left/>
      <right style="thin">
        <color indexed="64"/>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right style="thick">
        <color indexed="64"/>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8"/>
      </right>
      <top style="thin">
        <color indexed="64"/>
      </top>
      <bottom/>
      <diagonal/>
    </border>
    <border>
      <left style="thin">
        <color indexed="64"/>
      </left>
      <right/>
      <top style="thin">
        <color indexed="64"/>
      </top>
      <bottom/>
      <diagonal/>
    </border>
    <border>
      <left/>
      <right style="medium">
        <color indexed="8"/>
      </right>
      <top style="thin">
        <color indexed="64"/>
      </top>
      <bottom/>
      <diagonal/>
    </border>
    <border>
      <left/>
      <right style="thin">
        <color indexed="8"/>
      </right>
      <top style="thin">
        <color indexed="64"/>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style="medium">
        <color indexed="64"/>
      </right>
      <top/>
      <bottom/>
      <diagonal/>
    </border>
    <border>
      <left style="thin">
        <color indexed="64"/>
      </left>
      <right style="medium">
        <color indexed="64"/>
      </right>
      <top/>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right style="medium">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thick">
        <color indexed="64"/>
      </left>
      <right style="medium">
        <color indexed="64"/>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medium">
        <color indexed="64"/>
      </right>
      <top style="thin">
        <color indexed="64"/>
      </top>
      <bottom/>
      <diagonal/>
    </border>
    <border>
      <left/>
      <right style="medium">
        <color indexed="64"/>
      </right>
      <top style="thin">
        <color indexed="64"/>
      </top>
      <bottom style="thick">
        <color indexed="64"/>
      </bottom>
      <diagonal/>
    </border>
    <border>
      <left style="thin">
        <color indexed="64"/>
      </left>
      <right style="medium">
        <color indexed="64"/>
      </right>
      <top style="thick">
        <color indexed="64"/>
      </top>
      <bottom style="thick">
        <color indexed="64"/>
      </bottom>
      <diagonal/>
    </border>
    <border>
      <left/>
      <right style="thick">
        <color indexed="64"/>
      </right>
      <top style="medium">
        <color indexed="64"/>
      </top>
      <bottom style="thin">
        <color indexed="64"/>
      </bottom>
      <diagonal/>
    </border>
    <border>
      <left/>
      <right/>
      <top style="thick">
        <color indexed="64"/>
      </top>
      <bottom/>
      <diagonal/>
    </border>
    <border>
      <left style="medium">
        <color indexed="64"/>
      </left>
      <right style="thin">
        <color indexed="64"/>
      </right>
      <top/>
      <bottom/>
      <diagonal/>
    </border>
    <border>
      <left style="medium">
        <color indexed="64"/>
      </left>
      <right style="thin">
        <color indexed="64"/>
      </right>
      <top/>
      <bottom style="thick">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ck">
        <color indexed="64"/>
      </bottom>
      <diagonal/>
    </border>
    <border>
      <left style="thick">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medium">
        <color indexed="64"/>
      </bottom>
      <diagonal/>
    </border>
    <border>
      <left/>
      <right style="medium">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medium">
        <color indexed="64"/>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thick">
        <color indexed="64"/>
      </left>
      <right style="thin">
        <color indexed="64"/>
      </right>
      <top style="thin">
        <color indexed="64"/>
      </top>
      <bottom style="medium">
        <color indexed="64"/>
      </bottom>
      <diagonal/>
    </border>
    <border>
      <left/>
      <right/>
      <top style="thick">
        <color indexed="64"/>
      </top>
      <bottom style="thin">
        <color indexed="64"/>
      </bottom>
      <diagonal/>
    </border>
    <border>
      <left/>
      <right/>
      <top style="thin">
        <color indexed="64"/>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8"/>
      </right>
      <top style="medium">
        <color indexed="64"/>
      </top>
      <bottom style="thin">
        <color indexed="64"/>
      </bottom>
      <diagonal/>
    </border>
    <border>
      <left style="thin">
        <color indexed="64"/>
      </left>
      <right/>
      <top style="medium">
        <color indexed="64"/>
      </top>
      <bottom style="thin">
        <color indexed="64"/>
      </bottom>
      <diagonal/>
    </border>
    <border>
      <left style="medium">
        <color indexed="8"/>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ck">
        <color indexed="64"/>
      </right>
      <top style="thin">
        <color indexed="64"/>
      </top>
      <bottom style="thin">
        <color indexed="64"/>
      </bottom>
      <diagonal/>
    </border>
    <border>
      <left style="thin">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n">
        <color indexed="64"/>
      </bottom>
      <diagonal/>
    </border>
    <border>
      <left style="medium">
        <color indexed="64"/>
      </left>
      <right/>
      <top style="thick">
        <color indexed="64"/>
      </top>
      <bottom style="thin">
        <color indexed="64"/>
      </bottom>
      <diagonal/>
    </border>
    <border>
      <left/>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style="medium">
        <color indexed="8"/>
      </left>
      <right/>
      <top style="thin">
        <color indexed="64"/>
      </top>
      <bottom style="thin">
        <color indexed="64"/>
      </bottom>
      <diagonal/>
    </border>
    <border>
      <left/>
      <right style="medium">
        <color indexed="8"/>
      </right>
      <top/>
      <bottom style="thin">
        <color indexed="64"/>
      </bottom>
      <diagonal/>
    </border>
    <border>
      <left style="medium">
        <color indexed="64"/>
      </left>
      <right style="medium">
        <color indexed="64"/>
      </right>
      <top/>
      <bottom style="thin">
        <color indexed="8"/>
      </bottom>
      <diagonal/>
    </border>
    <border>
      <left style="medium">
        <color indexed="64"/>
      </left>
      <right style="thin">
        <color indexed="64"/>
      </right>
      <top/>
      <bottom style="thin">
        <color indexed="8"/>
      </bottom>
      <diagonal/>
    </border>
    <border>
      <left/>
      <right style="thin">
        <color indexed="64"/>
      </right>
      <top/>
      <bottom style="thin">
        <color indexed="8"/>
      </bottom>
      <diagonal/>
    </border>
    <border>
      <left style="thin">
        <color indexed="64"/>
      </left>
      <right style="thin">
        <color indexed="64"/>
      </right>
      <top/>
      <bottom style="thin">
        <color indexed="8"/>
      </bottom>
      <diagonal/>
    </border>
    <border>
      <left/>
      <right style="thin">
        <color indexed="64"/>
      </right>
      <top style="medium">
        <color indexed="64"/>
      </top>
      <bottom/>
      <diagonal/>
    </border>
    <border>
      <left style="medium">
        <color indexed="8"/>
      </left>
      <right style="medium">
        <color indexed="8"/>
      </right>
      <top style="medium">
        <color indexed="64"/>
      </top>
      <bottom style="thin">
        <color indexed="8"/>
      </bottom>
      <diagonal/>
    </border>
    <border>
      <left style="thick">
        <color indexed="64"/>
      </left>
      <right style="medium">
        <color indexed="64"/>
      </right>
      <top style="thick">
        <color indexed="64"/>
      </top>
      <bottom/>
      <diagonal/>
    </border>
    <border>
      <left/>
      <right style="medium">
        <color indexed="8"/>
      </right>
      <top style="thick">
        <color indexed="64"/>
      </top>
      <bottom style="thin">
        <color indexed="64"/>
      </bottom>
      <diagonal/>
    </border>
    <border>
      <left style="thin">
        <color indexed="64"/>
      </left>
      <right/>
      <top style="thick">
        <color indexed="64"/>
      </top>
      <bottom style="thin">
        <color indexed="64"/>
      </bottom>
      <diagonal/>
    </border>
    <border>
      <left style="medium">
        <color indexed="8"/>
      </left>
      <right/>
      <top style="thick">
        <color indexed="64"/>
      </top>
      <bottom style="thin">
        <color indexed="64"/>
      </bottom>
      <diagonal/>
    </border>
    <border>
      <left style="thick">
        <color indexed="64"/>
      </left>
      <right style="thick">
        <color indexed="64"/>
      </right>
      <top style="thick">
        <color indexed="64"/>
      </top>
      <bottom style="thin">
        <color indexed="64"/>
      </bottom>
      <diagonal/>
    </border>
    <border>
      <left style="thin">
        <color indexed="64"/>
      </left>
      <right style="thick">
        <color indexed="64"/>
      </right>
      <top/>
      <bottom style="thick">
        <color indexed="64"/>
      </bottom>
      <diagonal/>
    </border>
    <border>
      <left style="thick">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medium">
        <color indexed="64"/>
      </left>
      <right/>
      <top/>
      <bottom style="medium">
        <color indexed="64"/>
      </bottom>
      <diagonal/>
    </border>
    <border>
      <left style="thin">
        <color theme="0"/>
      </left>
      <right/>
      <top style="thin">
        <color theme="0"/>
      </top>
      <bottom style="thin">
        <color theme="0"/>
      </bottom>
      <diagonal/>
    </border>
    <border>
      <left style="thin">
        <color theme="0"/>
      </left>
      <right/>
      <top style="thin">
        <color theme="0"/>
      </top>
      <bottom/>
      <diagonal/>
    </border>
    <border>
      <left/>
      <right style="medium">
        <color indexed="64"/>
      </right>
      <top/>
      <bottom style="thin">
        <color indexed="64"/>
      </bottom>
      <diagonal/>
    </border>
    <border>
      <left/>
      <right style="thick">
        <color indexed="64"/>
      </right>
      <top/>
      <bottom style="thin">
        <color indexed="64"/>
      </bottom>
      <diagonal/>
    </border>
    <border>
      <left style="medium">
        <color indexed="64"/>
      </left>
      <right style="medium">
        <color indexed="64"/>
      </right>
      <top/>
      <bottom style="thin">
        <color indexed="8"/>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right style="thin">
        <color auto="1"/>
      </right>
      <top style="thin">
        <color auto="1"/>
      </top>
      <bottom style="thin">
        <color auto="1"/>
      </bottom>
      <diagonal/>
    </border>
    <border>
      <left style="thin">
        <color indexed="64"/>
      </left>
      <right style="thick">
        <color indexed="64"/>
      </right>
      <top style="thin">
        <color indexed="64"/>
      </top>
      <bottom/>
      <diagonal/>
    </border>
    <border>
      <left style="thin">
        <color auto="1"/>
      </left>
      <right style="thin">
        <color auto="1"/>
      </right>
      <top/>
      <bottom style="thin">
        <color auto="1"/>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ck">
        <color indexed="64"/>
      </left>
      <right style="medium">
        <color indexed="64"/>
      </right>
      <top/>
      <bottom style="thin">
        <color indexed="8"/>
      </bottom>
      <diagonal/>
    </border>
    <border>
      <left/>
      <right style="medium">
        <color auto="1"/>
      </right>
      <top style="thin">
        <color indexed="64"/>
      </top>
      <bottom style="thin">
        <color indexed="64"/>
      </bottom>
      <diagonal/>
    </border>
    <border>
      <left/>
      <right style="medium">
        <color auto="1"/>
      </right>
      <top style="medium">
        <color indexed="64"/>
      </top>
      <bottom style="thin">
        <color indexed="64"/>
      </bottom>
      <diagonal/>
    </border>
    <border>
      <left/>
      <right style="thick">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bottom style="thin">
        <color indexed="8"/>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auto="1"/>
      </left>
      <right style="thin">
        <color auto="1"/>
      </right>
      <top style="medium">
        <color indexed="64"/>
      </top>
      <bottom style="thin">
        <color auto="1"/>
      </bottom>
      <diagonal/>
    </border>
    <border>
      <left/>
      <right/>
      <top/>
      <bottom style="thick">
        <color indexed="64"/>
      </bottom>
      <diagonal/>
    </border>
    <border>
      <left/>
      <right style="thick">
        <color indexed="64"/>
      </right>
      <top/>
      <bottom style="thin">
        <color indexed="64"/>
      </bottom>
      <diagonal/>
    </border>
    <border>
      <left style="thick">
        <color indexed="64"/>
      </left>
      <right/>
      <top style="thick">
        <color indexed="64"/>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0" fontId="6" fillId="0" borderId="0" applyNumberFormat="0" applyFill="0" applyBorder="0" applyAlignment="0" applyProtection="0">
      <alignment vertical="top"/>
      <protection locked="0"/>
    </xf>
    <xf numFmtId="171" fontId="2" fillId="0" borderId="0" applyFont="0" applyFill="0" applyBorder="0" applyAlignment="0" applyProtection="0"/>
    <xf numFmtId="173" fontId="2" fillId="0" borderId="0" applyFont="0" applyFill="0" applyBorder="0" applyAlignment="0" applyProtection="0"/>
    <xf numFmtId="170" fontId="2" fillId="0" borderId="0" applyFont="0" applyFill="0" applyBorder="0" applyAlignment="0" applyProtection="0"/>
    <xf numFmtId="172" fontId="2" fillId="0" borderId="0" applyFont="0" applyFill="0" applyBorder="0" applyAlignment="0" applyProtection="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9" fontId="3" fillId="0" borderId="0" applyFont="0" applyFill="0" applyBorder="0" applyAlignment="0" applyProtection="0"/>
    <xf numFmtId="9" fontId="3"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0" fontId="1" fillId="0" borderId="0"/>
    <xf numFmtId="9" fontId="1" fillId="0" borderId="0" applyFont="0" applyFill="0" applyBorder="0" applyAlignment="0" applyProtection="0"/>
  </cellStyleXfs>
  <cellXfs count="2299">
    <xf numFmtId="0" fontId="0" fillId="0" borderId="0" xfId="0"/>
    <xf numFmtId="0" fontId="7" fillId="0" borderId="0" xfId="0" applyFont="1"/>
    <xf numFmtId="0" fontId="11" fillId="0" borderId="0" xfId="0" applyFont="1"/>
    <xf numFmtId="0" fontId="11"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Continuous"/>
    </xf>
    <xf numFmtId="0" fontId="7" fillId="0" borderId="0" xfId="0" applyFont="1" applyAlignment="1">
      <alignment horizontal="centerContinuous"/>
    </xf>
    <xf numFmtId="0" fontId="12" fillId="0" borderId="0" xfId="0" applyFont="1"/>
    <xf numFmtId="0" fontId="0" fillId="0" borderId="0" xfId="0" applyFont="1"/>
    <xf numFmtId="0" fontId="12" fillId="0" borderId="0" xfId="0" applyFont="1" applyAlignment="1">
      <alignment horizontal="center"/>
    </xf>
    <xf numFmtId="0" fontId="13" fillId="0" borderId="0" xfId="0" applyFont="1" applyAlignment="1">
      <alignment horizontal="center"/>
    </xf>
    <xf numFmtId="44" fontId="12" fillId="0" borderId="0" xfId="2" applyFont="1" applyAlignment="1">
      <alignment horizontal="center"/>
    </xf>
    <xf numFmtId="0" fontId="14" fillId="0" borderId="0" xfId="0" applyFont="1" applyAlignment="1">
      <alignment horizontal="center"/>
    </xf>
    <xf numFmtId="0" fontId="15" fillId="0" borderId="0" xfId="0" applyFont="1"/>
    <xf numFmtId="0" fontId="15" fillId="0" borderId="0" xfId="0" applyFont="1" applyAlignment="1">
      <alignment horizontal="centerContinuous" vertical="center"/>
    </xf>
    <xf numFmtId="0" fontId="7" fillId="0" borderId="0" xfId="0" applyFont="1" applyAlignment="1">
      <alignment horizontal="centerContinuous" vertical="center"/>
    </xf>
    <xf numFmtId="0" fontId="12" fillId="0" borderId="1" xfId="0" applyFont="1" applyBorder="1" applyAlignment="1">
      <alignment horizontal="centerContinuous" vertical="center" wrapText="1"/>
    </xf>
    <xf numFmtId="0" fontId="12" fillId="0" borderId="2" xfId="0" applyFont="1" applyBorder="1" applyAlignment="1">
      <alignment horizontal="center" vertical="center" wrapText="1"/>
    </xf>
    <xf numFmtId="0" fontId="12" fillId="0" borderId="2" xfId="0" applyFont="1" applyBorder="1" applyAlignment="1">
      <alignment horizontal="centerContinuous" vertical="center" wrapText="1"/>
    </xf>
    <xf numFmtId="0" fontId="7" fillId="0" borderId="5" xfId="0" applyFont="1" applyBorder="1" applyAlignment="1">
      <alignment horizontal="right"/>
    </xf>
    <xf numFmtId="0" fontId="7" fillId="0" borderId="6" xfId="0" applyFont="1" applyBorder="1" applyAlignment="1">
      <alignment horizontal="center"/>
    </xf>
    <xf numFmtId="164" fontId="7" fillId="0" borderId="7" xfId="0" applyNumberFormat="1" applyFont="1" applyBorder="1" applyAlignment="1">
      <alignment horizontal="right"/>
    </xf>
    <xf numFmtId="0" fontId="7" fillId="0" borderId="0" xfId="24" applyFont="1"/>
    <xf numFmtId="164" fontId="7" fillId="0" borderId="0" xfId="24" applyNumberFormat="1" applyFont="1"/>
    <xf numFmtId="0" fontId="9" fillId="0" borderId="0" xfId="24" applyFont="1"/>
    <xf numFmtId="0" fontId="9" fillId="0" borderId="0" xfId="24" applyFont="1" applyAlignment="1">
      <alignment horizontal="centerContinuous" vertical="center" wrapText="1"/>
    </xf>
    <xf numFmtId="164" fontId="9" fillId="0" borderId="0" xfId="24" applyNumberFormat="1" applyFont="1" applyAlignment="1">
      <alignment horizontal="centerContinuous" vertical="center" wrapText="1"/>
    </xf>
    <xf numFmtId="0" fontId="12" fillId="0" borderId="8" xfId="24" applyFont="1" applyBorder="1" applyAlignment="1">
      <alignment horizontal="center"/>
    </xf>
    <xf numFmtId="0" fontId="12" fillId="0" borderId="9" xfId="24" applyFont="1" applyBorder="1" applyAlignment="1">
      <alignment horizontal="centerContinuous" vertical="center"/>
    </xf>
    <xf numFmtId="0" fontId="12" fillId="0" borderId="10" xfId="24" applyNumberFormat="1" applyFont="1" applyBorder="1" applyAlignment="1">
      <alignment horizontal="centerContinuous" vertical="center"/>
    </xf>
    <xf numFmtId="0" fontId="12" fillId="0" borderId="11" xfId="24" applyNumberFormat="1" applyFont="1" applyBorder="1" applyAlignment="1">
      <alignment horizontal="centerContinuous" vertical="center"/>
    </xf>
    <xf numFmtId="0" fontId="12" fillId="0" borderId="12" xfId="24" applyFont="1" applyBorder="1" applyAlignment="1">
      <alignment horizontal="centerContinuous" vertical="center"/>
    </xf>
    <xf numFmtId="0" fontId="7" fillId="0" borderId="0" xfId="24" applyFont="1" applyBorder="1"/>
    <xf numFmtId="0" fontId="12" fillId="0" borderId="13" xfId="24" applyFont="1" applyBorder="1" applyAlignment="1">
      <alignment horizontal="center" vertical="center"/>
    </xf>
    <xf numFmtId="0" fontId="12" fillId="0" borderId="14" xfId="24" applyFont="1" applyBorder="1" applyAlignment="1">
      <alignment horizontal="center" vertical="center"/>
    </xf>
    <xf numFmtId="164" fontId="12" fillId="0" borderId="15" xfId="24" applyNumberFormat="1" applyFont="1" applyBorder="1" applyAlignment="1">
      <alignment horizontal="center" vertical="center" wrapText="1"/>
    </xf>
    <xf numFmtId="164" fontId="12" fillId="0" borderId="16" xfId="24" applyNumberFormat="1" applyFont="1" applyBorder="1" applyAlignment="1">
      <alignment horizontal="center" vertical="center" wrapText="1"/>
    </xf>
    <xf numFmtId="0" fontId="12" fillId="0" borderId="17" xfId="24" applyFont="1" applyBorder="1" applyAlignment="1">
      <alignment horizontal="center" vertical="top"/>
    </xf>
    <xf numFmtId="0" fontId="7" fillId="0" borderId="1" xfId="24" applyFont="1" applyBorder="1" applyAlignment="1">
      <alignment horizontal="center"/>
    </xf>
    <xf numFmtId="0" fontId="7" fillId="2" borderId="2" xfId="24" applyFont="1" applyFill="1" applyBorder="1" applyAlignment="1">
      <alignment horizontal="right"/>
    </xf>
    <xf numFmtId="164" fontId="7" fillId="0" borderId="2" xfId="24" applyNumberFormat="1" applyFont="1" applyBorder="1" applyAlignment="1">
      <alignment horizontal="right"/>
    </xf>
    <xf numFmtId="164" fontId="7" fillId="0" borderId="18" xfId="24" applyNumberFormat="1" applyFont="1" applyBorder="1" applyAlignment="1">
      <alignment horizontal="right"/>
    </xf>
    <xf numFmtId="0" fontId="7" fillId="0" borderId="18" xfId="24" applyFont="1" applyBorder="1" applyAlignment="1">
      <alignment horizontal="right"/>
    </xf>
    <xf numFmtId="0" fontId="7" fillId="0" borderId="18" xfId="1" applyNumberFormat="1" applyFont="1" applyBorder="1" applyAlignment="1">
      <alignment horizontal="right"/>
    </xf>
    <xf numFmtId="0" fontId="12" fillId="0" borderId="20" xfId="24" applyFont="1" applyBorder="1" applyAlignment="1">
      <alignment horizontal="center" vertical="center"/>
    </xf>
    <xf numFmtId="164" fontId="12" fillId="0" borderId="21" xfId="24" applyNumberFormat="1" applyFont="1" applyBorder="1" applyAlignment="1">
      <alignment horizontal="center" vertical="center" wrapText="1"/>
    </xf>
    <xf numFmtId="0" fontId="7" fillId="0" borderId="6" xfId="24" applyFont="1" applyBorder="1" applyAlignment="1">
      <alignment horizontal="center"/>
    </xf>
    <xf numFmtId="0" fontId="7" fillId="0" borderId="23" xfId="24" applyFont="1" applyBorder="1" applyAlignment="1">
      <alignment horizontal="center"/>
    </xf>
    <xf numFmtId="0" fontId="7" fillId="0" borderId="25" xfId="24" applyFont="1" applyBorder="1" applyAlignment="1">
      <alignment horizontal="right"/>
    </xf>
    <xf numFmtId="0" fontId="7" fillId="0" borderId="0" xfId="23" applyFont="1"/>
    <xf numFmtId="164" fontId="7" fillId="0" borderId="0" xfId="23" applyNumberFormat="1" applyFont="1"/>
    <xf numFmtId="0" fontId="15" fillId="0" borderId="0" xfId="23" applyFont="1"/>
    <xf numFmtId="0" fontId="15" fillId="0" borderId="0" xfId="23" applyFont="1" applyBorder="1"/>
    <xf numFmtId="164" fontId="15" fillId="0" borderId="0" xfId="23" applyNumberFormat="1" applyFont="1"/>
    <xf numFmtId="0" fontId="17" fillId="0" borderId="9" xfId="23" applyNumberFormat="1" applyFont="1" applyBorder="1" applyAlignment="1">
      <alignment horizontal="centerContinuous" vertical="center" wrapText="1"/>
    </xf>
    <xf numFmtId="0" fontId="17" fillId="0" borderId="26" xfId="23" applyFont="1" applyBorder="1" applyAlignment="1">
      <alignment horizontal="centerContinuous" vertical="center" wrapText="1"/>
    </xf>
    <xf numFmtId="0" fontId="17" fillId="0" borderId="26" xfId="23" applyFont="1" applyBorder="1" applyAlignment="1">
      <alignment horizontal="centerContinuous" vertical="center"/>
    </xf>
    <xf numFmtId="0" fontId="17" fillId="0" borderId="9" xfId="23" applyNumberFormat="1" applyFont="1" applyBorder="1" applyAlignment="1">
      <alignment horizontal="centerContinuous" vertical="center"/>
    </xf>
    <xf numFmtId="0" fontId="12" fillId="0" borderId="12" xfId="23" applyFont="1" applyBorder="1" applyAlignment="1">
      <alignment horizontal="center" vertical="center"/>
    </xf>
    <xf numFmtId="164" fontId="17" fillId="0" borderId="27" xfId="23" applyNumberFormat="1" applyFont="1" applyBorder="1" applyAlignment="1">
      <alignment horizontal="center" vertical="center" wrapText="1"/>
    </xf>
    <xf numFmtId="0" fontId="17" fillId="0" borderId="27" xfId="23" applyFont="1" applyBorder="1" applyAlignment="1">
      <alignment horizontal="center" vertical="center"/>
    </xf>
    <xf numFmtId="0" fontId="12" fillId="0" borderId="22" xfId="23" applyFont="1" applyBorder="1" applyAlignment="1">
      <alignment horizontal="center" vertical="top"/>
    </xf>
    <xf numFmtId="164" fontId="7" fillId="0" borderId="5" xfId="23" applyNumberFormat="1" applyFont="1" applyBorder="1" applyAlignment="1">
      <alignment horizontal="right"/>
    </xf>
    <xf numFmtId="0" fontId="7" fillId="0" borderId="5" xfId="23" applyFont="1" applyBorder="1" applyAlignment="1">
      <alignment horizontal="right"/>
    </xf>
    <xf numFmtId="0" fontId="7" fillId="0" borderId="3" xfId="23" applyFont="1" applyBorder="1" applyAlignment="1">
      <alignment horizontal="right"/>
    </xf>
    <xf numFmtId="164" fontId="7" fillId="0" borderId="2" xfId="23" applyNumberFormat="1" applyFont="1" applyBorder="1" applyAlignment="1">
      <alignment horizontal="right"/>
    </xf>
    <xf numFmtId="0" fontId="7" fillId="0" borderId="2" xfId="23" applyFont="1" applyBorder="1" applyAlignment="1">
      <alignment horizontal="right"/>
    </xf>
    <xf numFmtId="0" fontId="7" fillId="0" borderId="18" xfId="23" applyFont="1" applyBorder="1" applyAlignment="1">
      <alignment horizontal="right"/>
    </xf>
    <xf numFmtId="0" fontId="7" fillId="0" borderId="28" xfId="0" applyFont="1" applyBorder="1"/>
    <xf numFmtId="0" fontId="12" fillId="0" borderId="29" xfId="0" applyFont="1" applyBorder="1" applyAlignment="1">
      <alignment horizontal="centerContinuous" wrapText="1"/>
    </xf>
    <xf numFmtId="0" fontId="12" fillId="0" borderId="30" xfId="0" applyFont="1" applyBorder="1" applyAlignment="1">
      <alignment horizontal="centerContinuous"/>
    </xf>
    <xf numFmtId="0" fontId="12" fillId="0" borderId="31" xfId="0" applyFont="1" applyBorder="1" applyAlignment="1">
      <alignment horizontal="centerContinuous"/>
    </xf>
    <xf numFmtId="0" fontId="12" fillId="0" borderId="32" xfId="0" applyFont="1" applyBorder="1" applyAlignment="1">
      <alignment horizontal="centerContinuous"/>
    </xf>
    <xf numFmtId="0" fontId="12" fillId="0" borderId="6" xfId="0" applyFont="1" applyBorder="1" applyAlignment="1">
      <alignment horizontal="center"/>
    </xf>
    <xf numFmtId="0" fontId="12" fillId="0" borderId="7" xfId="0" applyFont="1" applyBorder="1" applyAlignment="1">
      <alignment horizontal="centerContinuous" wrapText="1"/>
    </xf>
    <xf numFmtId="0" fontId="12" fillId="0" borderId="5" xfId="0" applyFont="1" applyBorder="1" applyAlignment="1">
      <alignment horizontal="center"/>
    </xf>
    <xf numFmtId="0" fontId="12" fillId="0" borderId="7" xfId="0" applyFont="1" applyBorder="1" applyAlignment="1">
      <alignment horizontal="center"/>
    </xf>
    <xf numFmtId="0" fontId="12" fillId="0" borderId="1" xfId="0" applyFont="1" applyBorder="1"/>
    <xf numFmtId="0" fontId="12" fillId="0" borderId="4" xfId="0" applyFont="1" applyBorder="1" applyAlignment="1">
      <alignment horizontal="center"/>
    </xf>
    <xf numFmtId="0" fontId="7" fillId="3" borderId="19" xfId="0" applyFont="1" applyFill="1" applyBorder="1" applyAlignment="1">
      <alignment horizontal="center"/>
    </xf>
    <xf numFmtId="0" fontId="7" fillId="3" borderId="33" xfId="0" applyFont="1" applyFill="1" applyBorder="1" applyAlignment="1">
      <alignment horizontal="center"/>
    </xf>
    <xf numFmtId="0" fontId="7" fillId="3" borderId="22" xfId="0" applyFont="1" applyFill="1" applyBorder="1" applyAlignment="1">
      <alignment horizontal="center"/>
    </xf>
    <xf numFmtId="0" fontId="7" fillId="0" borderId="7" xfId="0" applyFont="1" applyBorder="1" applyAlignment="1">
      <alignment horizontal="center"/>
    </xf>
    <xf numFmtId="0" fontId="7" fillId="0" borderId="7" xfId="0" applyFont="1" applyBorder="1" applyAlignment="1">
      <alignment horizontal="right"/>
    </xf>
    <xf numFmtId="0" fontId="7" fillId="0" borderId="19" xfId="0" applyFont="1" applyBorder="1" applyAlignment="1">
      <alignment horizontal="center"/>
    </xf>
    <xf numFmtId="0" fontId="7" fillId="0" borderId="33" xfId="0" applyFont="1" applyBorder="1" applyAlignment="1">
      <alignment horizontal="right"/>
    </xf>
    <xf numFmtId="0" fontId="7" fillId="0" borderId="22" xfId="0" applyFont="1" applyBorder="1" applyAlignment="1">
      <alignment horizontal="right"/>
    </xf>
    <xf numFmtId="0" fontId="7" fillId="3" borderId="33" xfId="0" applyFont="1" applyFill="1" applyBorder="1" applyAlignment="1">
      <alignment horizontal="right"/>
    </xf>
    <xf numFmtId="0" fontId="7" fillId="3" borderId="22" xfId="0" applyFont="1" applyFill="1" applyBorder="1" applyAlignment="1">
      <alignment horizontal="right"/>
    </xf>
    <xf numFmtId="0" fontId="0" fillId="0" borderId="0" xfId="0" applyFont="1" applyAlignment="1">
      <alignment horizontal="center"/>
    </xf>
    <xf numFmtId="0" fontId="12" fillId="0" borderId="34" xfId="0" applyFont="1" applyBorder="1" applyAlignment="1">
      <alignment horizontal="centerContinuous" wrapText="1"/>
    </xf>
    <xf numFmtId="164" fontId="7" fillId="0" borderId="0" xfId="0" applyNumberFormat="1" applyFont="1"/>
    <xf numFmtId="164" fontId="7" fillId="0" borderId="0" xfId="0" applyNumberFormat="1" applyFont="1" applyAlignment="1">
      <alignment horizontal="centerContinuous" vertical="center"/>
    </xf>
    <xf numFmtId="164" fontId="12" fillId="0" borderId="18" xfId="0" applyNumberFormat="1" applyFont="1" applyBorder="1" applyAlignment="1">
      <alignment horizontal="center" vertical="center" wrapText="1"/>
    </xf>
    <xf numFmtId="0" fontId="12" fillId="0" borderId="19" xfId="24" applyFont="1" applyBorder="1" applyAlignment="1">
      <alignment horizontal="center" vertical="center"/>
    </xf>
    <xf numFmtId="0" fontId="12" fillId="0" borderId="37" xfId="24" applyFont="1" applyBorder="1" applyAlignment="1">
      <alignment horizontal="center" vertical="center"/>
    </xf>
    <xf numFmtId="164" fontId="12" fillId="0" borderId="38" xfId="24" applyNumberFormat="1" applyFont="1" applyBorder="1" applyAlignment="1">
      <alignment horizontal="center" vertical="center" wrapText="1"/>
    </xf>
    <xf numFmtId="164" fontId="12" fillId="0" borderId="29" xfId="24" applyNumberFormat="1" applyFont="1" applyBorder="1" applyAlignment="1">
      <alignment horizontal="center" vertical="center" wrapText="1"/>
    </xf>
    <xf numFmtId="0" fontId="12" fillId="0" borderId="22" xfId="24" applyFont="1" applyBorder="1" applyAlignment="1">
      <alignment horizontal="center" vertical="top"/>
    </xf>
    <xf numFmtId="0" fontId="7" fillId="0" borderId="1" xfId="24" applyFont="1" applyBorder="1" applyAlignment="1">
      <alignment horizontal="right"/>
    </xf>
    <xf numFmtId="0" fontId="7" fillId="0" borderId="24" xfId="24" applyFont="1" applyBorder="1" applyAlignment="1">
      <alignment horizontal="right"/>
    </xf>
    <xf numFmtId="0" fontId="12" fillId="0" borderId="39" xfId="23" applyFont="1" applyBorder="1" applyAlignment="1">
      <alignment horizontal="center"/>
    </xf>
    <xf numFmtId="0" fontId="17" fillId="0" borderId="39" xfId="23" applyFont="1" applyBorder="1" applyAlignment="1">
      <alignment horizontal="centerContinuous" vertical="center"/>
    </xf>
    <xf numFmtId="0" fontId="12" fillId="0" borderId="40" xfId="23" applyFont="1" applyBorder="1" applyAlignment="1">
      <alignment horizontal="center" vertical="top"/>
    </xf>
    <xf numFmtId="0" fontId="17" fillId="0" borderId="41" xfId="23" applyFont="1" applyBorder="1" applyAlignment="1">
      <alignment horizontal="center" vertical="center"/>
    </xf>
    <xf numFmtId="0" fontId="7" fillId="0" borderId="42" xfId="23" applyFont="1" applyBorder="1" applyAlignment="1">
      <alignment horizontal="centerContinuous"/>
    </xf>
    <xf numFmtId="0" fontId="7" fillId="0" borderId="35" xfId="23" applyFont="1" applyBorder="1" applyAlignment="1">
      <alignment horizontal="right"/>
    </xf>
    <xf numFmtId="164" fontId="7" fillId="0" borderId="7" xfId="23" applyNumberFormat="1" applyFont="1" applyBorder="1" applyAlignment="1">
      <alignment horizontal="right"/>
    </xf>
    <xf numFmtId="0" fontId="7" fillId="0" borderId="7" xfId="23" applyFont="1" applyBorder="1" applyAlignment="1">
      <alignment horizontal="right"/>
    </xf>
    <xf numFmtId="0" fontId="7" fillId="0" borderId="4" xfId="0" applyFont="1" applyBorder="1"/>
    <xf numFmtId="0" fontId="7" fillId="0" borderId="5" xfId="0" applyFont="1" applyBorder="1"/>
    <xf numFmtId="0" fontId="9" fillId="0" borderId="0" xfId="15" applyFont="1" applyAlignment="1">
      <alignment horizontal="centerContinuous" vertical="center"/>
    </xf>
    <xf numFmtId="0" fontId="12" fillId="0" borderId="7" xfId="15" applyFont="1" applyBorder="1" applyAlignment="1">
      <alignment horizontal="centerContinuous"/>
    </xf>
    <xf numFmtId="0" fontId="12" fillId="0" borderId="43" xfId="15" applyFont="1" applyBorder="1" applyAlignment="1">
      <alignment horizontal="centerContinuous"/>
    </xf>
    <xf numFmtId="0" fontId="20" fillId="4" borderId="4" xfId="15" applyFont="1" applyFill="1" applyBorder="1"/>
    <xf numFmtId="0" fontId="20" fillId="4" borderId="7" xfId="15" applyFont="1" applyFill="1" applyBorder="1"/>
    <xf numFmtId="0" fontId="20" fillId="4" borderId="5" xfId="15" applyFont="1" applyFill="1" applyBorder="1"/>
    <xf numFmtId="0" fontId="20" fillId="4" borderId="43" xfId="15" applyFont="1" applyFill="1" applyBorder="1"/>
    <xf numFmtId="0" fontId="20" fillId="4" borderId="6" xfId="15" applyFont="1" applyFill="1" applyBorder="1"/>
    <xf numFmtId="0" fontId="7" fillId="0" borderId="0" xfId="14" applyFont="1"/>
    <xf numFmtId="0" fontId="22" fillId="0" borderId="0" xfId="14" applyFont="1" applyAlignment="1">
      <alignment horizontal="center" vertical="center"/>
    </xf>
    <xf numFmtId="0" fontId="7" fillId="0" borderId="0" xfId="14" applyFont="1" applyBorder="1"/>
    <xf numFmtId="0" fontId="22" fillId="0" borderId="0" xfId="14" applyFont="1" applyBorder="1" applyAlignment="1">
      <alignment horizontal="center" vertical="center"/>
    </xf>
    <xf numFmtId="164" fontId="12" fillId="0" borderId="7" xfId="14" applyNumberFormat="1" applyFont="1" applyBorder="1" applyAlignment="1">
      <alignment horizontal="right"/>
    </xf>
    <xf numFmtId="0" fontId="7" fillId="0" borderId="0" xfId="14" applyFont="1" applyAlignment="1">
      <alignment horizontal="right"/>
    </xf>
    <xf numFmtId="0" fontId="7" fillId="0" borderId="0" xfId="17" applyFont="1"/>
    <xf numFmtId="0" fontId="7" fillId="0" borderId="0" xfId="17" applyFont="1" applyBorder="1"/>
    <xf numFmtId="0" fontId="7" fillId="0" borderId="28" xfId="17" applyFont="1" applyBorder="1" applyAlignment="1">
      <alignment horizontal="center" vertical="center" wrapText="1"/>
    </xf>
    <xf numFmtId="0" fontId="12" fillId="0" borderId="31" xfId="17" applyFont="1" applyBorder="1" applyAlignment="1">
      <alignment horizontal="centerContinuous"/>
    </xf>
    <xf numFmtId="0" fontId="12" fillId="0" borderId="32" xfId="17" applyFont="1" applyBorder="1" applyAlignment="1">
      <alignment horizontal="centerContinuous"/>
    </xf>
    <xf numFmtId="0" fontId="24" fillId="0" borderId="6" xfId="17" applyFont="1" applyBorder="1" applyAlignment="1">
      <alignment horizontal="center" vertical="center" wrapText="1"/>
    </xf>
    <xf numFmtId="0" fontId="12" fillId="0" borderId="5" xfId="17" quotePrefix="1" applyFont="1" applyBorder="1" applyAlignment="1">
      <alignment horizontal="right"/>
    </xf>
    <xf numFmtId="0" fontId="12" fillId="0" borderId="5" xfId="17" applyFont="1" applyBorder="1" applyAlignment="1">
      <alignment horizontal="right"/>
    </xf>
    <xf numFmtId="0" fontId="12" fillId="0" borderId="7" xfId="17" applyFont="1" applyBorder="1" applyAlignment="1">
      <alignment horizontal="right"/>
    </xf>
    <xf numFmtId="0" fontId="7" fillId="0" borderId="6" xfId="17" applyFont="1" applyBorder="1" applyAlignment="1">
      <alignment horizontal="center"/>
    </xf>
    <xf numFmtId="0" fontId="7" fillId="0" borderId="5" xfId="17" applyFont="1" applyBorder="1"/>
    <xf numFmtId="1" fontId="7" fillId="0" borderId="5" xfId="17" applyNumberFormat="1" applyFont="1" applyBorder="1"/>
    <xf numFmtId="1" fontId="7" fillId="0" borderId="7" xfId="17" applyNumberFormat="1" applyFont="1" applyBorder="1"/>
    <xf numFmtId="0" fontId="21" fillId="0" borderId="0" xfId="17" applyFont="1" applyBorder="1"/>
    <xf numFmtId="0" fontId="12" fillId="0" borderId="5" xfId="17" applyFont="1" applyBorder="1" applyAlignment="1">
      <alignment horizontal="center"/>
    </xf>
    <xf numFmtId="0" fontId="12" fillId="0" borderId="7" xfId="17" applyFont="1" applyBorder="1" applyAlignment="1">
      <alignment horizontal="center"/>
    </xf>
    <xf numFmtId="1" fontId="7" fillId="0" borderId="0" xfId="17" applyNumberFormat="1" applyFont="1"/>
    <xf numFmtId="0" fontId="12" fillId="0" borderId="31" xfId="16" applyFont="1" applyBorder="1" applyAlignment="1">
      <alignment horizontal="centerContinuous"/>
    </xf>
    <xf numFmtId="0" fontId="12" fillId="0" borderId="32" xfId="16" applyFont="1" applyBorder="1" applyAlignment="1">
      <alignment horizontal="centerContinuous"/>
    </xf>
    <xf numFmtId="0" fontId="24" fillId="0" borderId="6" xfId="16" applyFont="1" applyBorder="1" applyAlignment="1">
      <alignment horizontal="center" vertical="center" wrapText="1"/>
    </xf>
    <xf numFmtId="0" fontId="7" fillId="0" borderId="0" xfId="22" applyFont="1"/>
    <xf numFmtId="0" fontId="22" fillId="0" borderId="0" xfId="22" applyFont="1" applyBorder="1" applyAlignment="1">
      <alignment horizontal="centerContinuous" wrapText="1"/>
    </xf>
    <xf numFmtId="0" fontId="7" fillId="0" borderId="0" xfId="22" applyFont="1" applyBorder="1" applyAlignment="1">
      <alignment horizontal="centerContinuous" wrapText="1"/>
    </xf>
    <xf numFmtId="0" fontId="7" fillId="0" borderId="0" xfId="22" applyFont="1" applyAlignment="1">
      <alignment horizontal="centerContinuous" wrapText="1"/>
    </xf>
    <xf numFmtId="0" fontId="7" fillId="0" borderId="28" xfId="22" applyFont="1" applyBorder="1"/>
    <xf numFmtId="0" fontId="24" fillId="0" borderId="6" xfId="22" applyFont="1" applyBorder="1" applyAlignment="1">
      <alignment horizontal="centerContinuous" vertical="center" wrapText="1"/>
    </xf>
    <xf numFmtId="0" fontId="25" fillId="0" borderId="5" xfId="22" applyFont="1" applyBorder="1" applyAlignment="1">
      <alignment horizontal="center" vertical="center" wrapText="1"/>
    </xf>
    <xf numFmtId="0" fontId="25" fillId="0" borderId="7" xfId="22" applyFont="1" applyBorder="1" applyAlignment="1">
      <alignment horizontal="center" vertical="center" wrapText="1"/>
    </xf>
    <xf numFmtId="0" fontId="7" fillId="0" borderId="6" xfId="22" applyFont="1" applyBorder="1"/>
    <xf numFmtId="0" fontId="7" fillId="0" borderId="5" xfId="22" applyFont="1" applyBorder="1"/>
    <xf numFmtId="164" fontId="7" fillId="0" borderId="7" xfId="22" applyNumberFormat="1" applyFont="1" applyBorder="1"/>
    <xf numFmtId="0" fontId="12" fillId="0" borderId="6" xfId="22" applyFont="1" applyBorder="1" applyAlignment="1">
      <alignment horizontal="right"/>
    </xf>
    <xf numFmtId="0" fontId="14" fillId="0" borderId="6" xfId="22" applyFont="1" applyBorder="1" applyAlignment="1">
      <alignment horizontal="right"/>
    </xf>
    <xf numFmtId="0" fontId="12" fillId="0" borderId="6" xfId="22" quotePrefix="1" applyFont="1" applyBorder="1" applyAlignment="1">
      <alignment horizontal="right"/>
    </xf>
    <xf numFmtId="0" fontId="22" fillId="0" borderId="0" xfId="22" applyFont="1" applyAlignment="1">
      <alignment horizontal="center"/>
    </xf>
    <xf numFmtId="0" fontId="22" fillId="0" borderId="44" xfId="22" applyFont="1" applyBorder="1" applyAlignment="1">
      <alignment horizontal="center"/>
    </xf>
    <xf numFmtId="0" fontId="7" fillId="0" borderId="4" xfId="9" applyFont="1" applyBorder="1"/>
    <xf numFmtId="0" fontId="7" fillId="0" borderId="5" xfId="9" applyFont="1" applyBorder="1"/>
    <xf numFmtId="0" fontId="7" fillId="0" borderId="0" xfId="9" applyFont="1" applyBorder="1"/>
    <xf numFmtId="166" fontId="7" fillId="0" borderId="0" xfId="0" applyNumberFormat="1" applyFont="1"/>
    <xf numFmtId="166" fontId="0" fillId="0" borderId="0" xfId="0" applyNumberFormat="1" applyFont="1"/>
    <xf numFmtId="0" fontId="0" fillId="0" borderId="0" xfId="0" applyNumberFormat="1" applyFont="1"/>
    <xf numFmtId="0" fontId="7" fillId="0" borderId="3" xfId="9" applyFont="1" applyBorder="1"/>
    <xf numFmtId="0" fontId="7" fillId="0" borderId="2" xfId="9" applyFont="1" applyBorder="1"/>
    <xf numFmtId="0" fontId="12" fillId="0" borderId="7" xfId="9" applyFont="1" applyBorder="1" applyAlignment="1">
      <alignment horizontal="center"/>
    </xf>
    <xf numFmtId="0" fontId="12" fillId="0" borderId="5" xfId="9" applyFont="1" applyBorder="1" applyAlignment="1">
      <alignment horizontal="center"/>
    </xf>
    <xf numFmtId="0" fontId="7" fillId="4" borderId="5" xfId="9" applyFont="1" applyFill="1" applyBorder="1"/>
    <xf numFmtId="0" fontId="7" fillId="0" borderId="6" xfId="0" applyFont="1" applyBorder="1"/>
    <xf numFmtId="0" fontId="21" fillId="0" borderId="0" xfId="0" applyFont="1"/>
    <xf numFmtId="0" fontId="0" fillId="0" borderId="2" xfId="0" applyBorder="1" applyAlignment="1">
      <alignment horizontal="center" vertical="center" wrapText="1"/>
    </xf>
    <xf numFmtId="0" fontId="0" fillId="0" borderId="31" xfId="0" applyBorder="1" applyAlignment="1">
      <alignment horizontal="center" vertical="center" wrapText="1"/>
    </xf>
    <xf numFmtId="0" fontId="0" fillId="0" borderId="45" xfId="0" applyBorder="1" applyAlignment="1">
      <alignment horizontal="center" vertical="center" wrapText="1"/>
    </xf>
    <xf numFmtId="0" fontId="0" fillId="0" borderId="18" xfId="0" applyBorder="1" applyAlignment="1">
      <alignment horizontal="center" vertical="center" wrapText="1"/>
    </xf>
    <xf numFmtId="165" fontId="0" fillId="0" borderId="5" xfId="0" applyNumberFormat="1" applyBorder="1" applyAlignment="1">
      <alignment horizontal="center"/>
    </xf>
    <xf numFmtId="165" fontId="0" fillId="0" borderId="44" xfId="0" applyNumberFormat="1" applyBorder="1" applyAlignment="1">
      <alignment horizontal="center"/>
    </xf>
    <xf numFmtId="165" fontId="0" fillId="0" borderId="35" xfId="0" applyNumberFormat="1" applyBorder="1" applyAlignment="1">
      <alignment horizontal="center"/>
    </xf>
    <xf numFmtId="0" fontId="7" fillId="0" borderId="0" xfId="21" applyFont="1"/>
    <xf numFmtId="0" fontId="7" fillId="0" borderId="0" xfId="21" applyFont="1" applyBorder="1"/>
    <xf numFmtId="0" fontId="22" fillId="0" borderId="0" xfId="21" applyFont="1" applyBorder="1" applyAlignment="1">
      <alignment horizontal="centerContinuous" vertical="center"/>
    </xf>
    <xf numFmtId="0" fontId="7" fillId="0" borderId="28" xfId="21" applyFont="1" applyBorder="1"/>
    <xf numFmtId="0" fontId="12" fillId="0" borderId="31" xfId="21" applyFont="1" applyBorder="1" applyAlignment="1">
      <alignment horizontal="centerContinuous" vertical="center"/>
    </xf>
    <xf numFmtId="0" fontId="12" fillId="0" borderId="32" xfId="21" applyFont="1" applyBorder="1" applyAlignment="1">
      <alignment horizontal="centerContinuous" vertical="center"/>
    </xf>
    <xf numFmtId="0" fontId="7" fillId="0" borderId="1" xfId="21" applyFont="1" applyBorder="1" applyAlignment="1">
      <alignment horizontal="centerContinuous" vertical="center"/>
    </xf>
    <xf numFmtId="0" fontId="12" fillId="0" borderId="6" xfId="21" applyFont="1" applyBorder="1" applyAlignment="1">
      <alignment horizontal="centerContinuous" vertical="center"/>
    </xf>
    <xf numFmtId="0" fontId="7" fillId="0" borderId="5" xfId="21" applyFont="1" applyBorder="1" applyAlignment="1">
      <alignment horizontal="centerContinuous" vertical="center" wrapText="1"/>
    </xf>
    <xf numFmtId="0" fontId="7" fillId="0" borderId="7" xfId="21" applyFont="1" applyBorder="1" applyAlignment="1">
      <alignment horizontal="centerContinuous" vertical="center" wrapText="1"/>
    </xf>
    <xf numFmtId="0" fontId="7" fillId="0" borderId="6" xfId="21" applyFont="1" applyBorder="1" applyAlignment="1">
      <alignment horizontal="center"/>
    </xf>
    <xf numFmtId="0" fontId="7" fillId="0" borderId="5" xfId="21" applyFont="1" applyBorder="1"/>
    <xf numFmtId="164" fontId="7" fillId="0" borderId="7" xfId="21" applyNumberFormat="1" applyFont="1" applyBorder="1"/>
    <xf numFmtId="0" fontId="7" fillId="0" borderId="0" xfId="10" applyFont="1"/>
    <xf numFmtId="0" fontId="12" fillId="0" borderId="2" xfId="10" applyFont="1" applyBorder="1" applyAlignment="1">
      <alignment horizontal="center"/>
    </xf>
    <xf numFmtId="0" fontId="7" fillId="0" borderId="4" xfId="10" applyFont="1" applyBorder="1"/>
    <xf numFmtId="0" fontId="7" fillId="0" borderId="5" xfId="10" applyFont="1" applyBorder="1"/>
    <xf numFmtId="0" fontId="7" fillId="0" borderId="4" xfId="10" quotePrefix="1" applyFont="1" applyBorder="1" applyAlignment="1">
      <alignment horizontal="left"/>
    </xf>
    <xf numFmtId="0" fontId="7" fillId="0" borderId="4" xfId="10" applyFont="1" applyBorder="1" applyAlignment="1">
      <alignment horizontal="left"/>
    </xf>
    <xf numFmtId="0" fontId="12" fillId="0" borderId="4" xfId="10" quotePrefix="1" applyFont="1" applyBorder="1" applyAlignment="1">
      <alignment horizontal="left"/>
    </xf>
    <xf numFmtId="0" fontId="12" fillId="0" borderId="5" xfId="10" applyFont="1" applyBorder="1"/>
    <xf numFmtId="0" fontId="12" fillId="0" borderId="4" xfId="10" applyFont="1" applyBorder="1"/>
    <xf numFmtId="0" fontId="7" fillId="0" borderId="0" xfId="11" applyFont="1"/>
    <xf numFmtId="0" fontId="12" fillId="0" borderId="2" xfId="11" applyFont="1" applyBorder="1" applyAlignment="1">
      <alignment horizontal="center"/>
    </xf>
    <xf numFmtId="0" fontId="12" fillId="0" borderId="4" xfId="11" applyFont="1" applyBorder="1"/>
    <xf numFmtId="0" fontId="12" fillId="0" borderId="5" xfId="11" applyFont="1" applyBorder="1"/>
    <xf numFmtId="0" fontId="7" fillId="0" borderId="4" xfId="11" applyFont="1" applyBorder="1"/>
    <xf numFmtId="0" fontId="7" fillId="0" borderId="5" xfId="11" applyFont="1" applyBorder="1"/>
    <xf numFmtId="0" fontId="7" fillId="0" borderId="4" xfId="11" applyFont="1" applyBorder="1" applyAlignment="1">
      <alignment horizontal="left"/>
    </xf>
    <xf numFmtId="0" fontId="7" fillId="0" borderId="0" xfId="12" applyFont="1"/>
    <xf numFmtId="0" fontId="7" fillId="0" borderId="4" xfId="12" applyFont="1" applyBorder="1" applyAlignment="1">
      <alignment horizontal="left"/>
    </xf>
    <xf numFmtId="0" fontId="7" fillId="0" borderId="4" xfId="12" applyFont="1" applyBorder="1"/>
    <xf numFmtId="0" fontId="7" fillId="0" borderId="5" xfId="12" applyFont="1" applyBorder="1"/>
    <xf numFmtId="0" fontId="12" fillId="0" borderId="4" xfId="12" applyFont="1" applyBorder="1"/>
    <xf numFmtId="0" fontId="7" fillId="0" borderId="0" xfId="18" applyFont="1"/>
    <xf numFmtId="0" fontId="22" fillId="0" borderId="0" xfId="18" applyFont="1"/>
    <xf numFmtId="0" fontId="28" fillId="0" borderId="0" xfId="18" applyFont="1" applyBorder="1" applyAlignment="1">
      <alignment horizontal="centerContinuous"/>
    </xf>
    <xf numFmtId="0" fontId="7" fillId="0" borderId="0" xfId="18" applyFont="1" applyBorder="1"/>
    <xf numFmtId="0" fontId="7" fillId="0" borderId="28" xfId="18" applyFont="1" applyBorder="1"/>
    <xf numFmtId="0" fontId="9" fillId="0" borderId="31" xfId="18" applyFont="1" applyBorder="1" applyAlignment="1">
      <alignment horizontal="centerContinuous" vertical="center"/>
    </xf>
    <xf numFmtId="0" fontId="9" fillId="0" borderId="32" xfId="18" applyFont="1" applyBorder="1" applyAlignment="1">
      <alignment horizontal="centerContinuous" vertical="center"/>
    </xf>
    <xf numFmtId="0" fontId="24" fillId="0" borderId="19" xfId="18" applyFont="1" applyBorder="1" applyAlignment="1">
      <alignment horizontal="centerContinuous" vertical="center"/>
    </xf>
    <xf numFmtId="0" fontId="12" fillId="0" borderId="37" xfId="18" applyFont="1" applyBorder="1" applyAlignment="1">
      <alignment horizontal="centerContinuous" vertical="center"/>
    </xf>
    <xf numFmtId="0" fontId="12" fillId="0" borderId="46" xfId="18" applyFont="1" applyBorder="1" applyAlignment="1">
      <alignment horizontal="centerContinuous" vertical="center"/>
    </xf>
    <xf numFmtId="0" fontId="12" fillId="0" borderId="47" xfId="18" applyFont="1" applyBorder="1" applyAlignment="1">
      <alignment horizontal="centerContinuous" vertical="center"/>
    </xf>
    <xf numFmtId="0" fontId="12" fillId="0" borderId="48" xfId="18" applyFont="1" applyBorder="1" applyAlignment="1">
      <alignment horizontal="centerContinuous" vertical="center"/>
    </xf>
    <xf numFmtId="0" fontId="12" fillId="0" borderId="31" xfId="18" applyFont="1" applyBorder="1" applyAlignment="1">
      <alignment horizontal="centerContinuous" vertical="center"/>
    </xf>
    <xf numFmtId="0" fontId="12" fillId="0" borderId="49" xfId="18" applyFont="1" applyBorder="1" applyAlignment="1">
      <alignment horizontal="centerContinuous" vertical="center"/>
    </xf>
    <xf numFmtId="0" fontId="12" fillId="0" borderId="30" xfId="18" applyFont="1" applyBorder="1" applyAlignment="1">
      <alignment horizontal="centerContinuous" vertical="center"/>
    </xf>
    <xf numFmtId="0" fontId="12" fillId="0" borderId="32" xfId="18" applyFont="1" applyBorder="1" applyAlignment="1">
      <alignment horizontal="centerContinuous" vertical="center"/>
    </xf>
    <xf numFmtId="0" fontId="7" fillId="0" borderId="6" xfId="18" applyFont="1" applyBorder="1" applyAlignment="1">
      <alignment horizontal="centerContinuous" vertical="center"/>
    </xf>
    <xf numFmtId="0" fontId="12" fillId="0" borderId="2" xfId="18" applyFont="1" applyBorder="1" applyAlignment="1">
      <alignment horizontal="center"/>
    </xf>
    <xf numFmtId="0" fontId="12" fillId="0" borderId="2" xfId="18" applyFont="1" applyBorder="1" applyAlignment="1">
      <alignment horizontal="center" vertical="center"/>
    </xf>
    <xf numFmtId="0" fontId="12" fillId="0" borderId="18" xfId="18" applyFont="1" applyBorder="1" applyAlignment="1">
      <alignment horizontal="center" vertical="center"/>
    </xf>
    <xf numFmtId="0" fontId="12" fillId="0" borderId="5" xfId="18" applyFont="1" applyBorder="1" applyAlignment="1">
      <alignment horizontal="center"/>
    </xf>
    <xf numFmtId="0" fontId="12" fillId="0" borderId="5" xfId="18" applyFont="1" applyBorder="1" applyAlignment="1">
      <alignment horizontal="center" vertical="center"/>
    </xf>
    <xf numFmtId="0" fontId="12" fillId="0" borderId="7" xfId="18" applyFont="1" applyBorder="1" applyAlignment="1">
      <alignment horizontal="center" vertical="center"/>
    </xf>
    <xf numFmtId="0" fontId="7" fillId="0" borderId="6" xfId="18" applyFont="1" applyBorder="1" applyAlignment="1">
      <alignment horizontal="center"/>
    </xf>
    <xf numFmtId="0" fontId="7" fillId="0" borderId="5" xfId="18" applyFont="1" applyBorder="1"/>
    <xf numFmtId="164" fontId="7" fillId="0" borderId="5" xfId="18" applyNumberFormat="1" applyFont="1" applyBorder="1"/>
    <xf numFmtId="164" fontId="7" fillId="0" borderId="7" xfId="18" applyNumberFormat="1" applyFont="1" applyBorder="1"/>
    <xf numFmtId="9" fontId="7" fillId="0" borderId="7" xfId="18" applyNumberFormat="1" applyFont="1" applyBorder="1"/>
    <xf numFmtId="0" fontId="7" fillId="0" borderId="0" xfId="18" applyFont="1" applyBorder="1" applyAlignment="1">
      <alignment horizontal="center"/>
    </xf>
    <xf numFmtId="0" fontId="9" fillId="0" borderId="37" xfId="18" applyFont="1" applyBorder="1" applyAlignment="1">
      <alignment horizontal="centerContinuous" vertical="center"/>
    </xf>
    <xf numFmtId="0" fontId="9" fillId="0" borderId="48" xfId="18" applyFont="1" applyBorder="1" applyAlignment="1">
      <alignment horizontal="centerContinuous" vertical="center"/>
    </xf>
    <xf numFmtId="9" fontId="12" fillId="0" borderId="7" xfId="18" applyNumberFormat="1" applyFont="1" applyBorder="1" applyAlignment="1">
      <alignment horizontal="center" vertical="center"/>
    </xf>
    <xf numFmtId="0" fontId="12" fillId="0" borderId="3" xfId="0" applyFont="1" applyBorder="1"/>
    <xf numFmtId="0" fontId="12" fillId="0" borderId="2" xfId="9" applyFont="1" applyBorder="1" applyAlignment="1">
      <alignment horizontal="center"/>
    </xf>
    <xf numFmtId="0" fontId="7" fillId="0" borderId="4" xfId="9" applyFont="1" applyBorder="1" applyAlignment="1">
      <alignment horizontal="left"/>
    </xf>
    <xf numFmtId="0" fontId="12" fillId="2" borderId="4" xfId="9" applyFont="1" applyFill="1" applyBorder="1" applyAlignment="1">
      <alignment horizontal="center"/>
    </xf>
    <xf numFmtId="0" fontId="12" fillId="0" borderId="0" xfId="0" applyFont="1" applyAlignment="1">
      <alignment horizontal="center" vertical="center" textRotation="90" wrapText="1"/>
    </xf>
    <xf numFmtId="0" fontId="0" fillId="0" borderId="2" xfId="0" applyBorder="1" applyAlignment="1">
      <alignment horizontal="center"/>
    </xf>
    <xf numFmtId="0" fontId="0" fillId="0" borderId="5" xfId="0" applyBorder="1"/>
    <xf numFmtId="164" fontId="0" fillId="0" borderId="5" xfId="0" applyNumberFormat="1" applyBorder="1"/>
    <xf numFmtId="164" fontId="0" fillId="0" borderId="0" xfId="0" applyNumberFormat="1"/>
    <xf numFmtId="164" fontId="7" fillId="4" borderId="5" xfId="0" applyNumberFormat="1" applyFont="1" applyFill="1" applyBorder="1"/>
    <xf numFmtId="164" fontId="0" fillId="0" borderId="0" xfId="0" applyNumberFormat="1" applyAlignment="1">
      <alignment horizontal="right"/>
    </xf>
    <xf numFmtId="0" fontId="12" fillId="0" borderId="2" xfId="0" applyFont="1" applyBorder="1" applyAlignment="1">
      <alignment horizontal="center"/>
    </xf>
    <xf numFmtId="0" fontId="7" fillId="0" borderId="37" xfId="0" applyFont="1" applyBorder="1"/>
    <xf numFmtId="0" fontId="12" fillId="0" borderId="33" xfId="0" applyFont="1" applyBorder="1" applyAlignment="1">
      <alignment horizontal="center"/>
    </xf>
    <xf numFmtId="0" fontId="12" fillId="0" borderId="3" xfId="11" applyFont="1" applyBorder="1" applyAlignment="1">
      <alignment horizontal="center"/>
    </xf>
    <xf numFmtId="0" fontId="7" fillId="0" borderId="33" xfId="11" applyFont="1" applyBorder="1"/>
    <xf numFmtId="0" fontId="7" fillId="0" borderId="2" xfId="11" applyFont="1" applyBorder="1"/>
    <xf numFmtId="0" fontId="12" fillId="0" borderId="3" xfId="10" applyFont="1" applyBorder="1" applyAlignment="1">
      <alignment horizontal="center"/>
    </xf>
    <xf numFmtId="0" fontId="7" fillId="0" borderId="33" xfId="12" applyFont="1" applyBorder="1"/>
    <xf numFmtId="0" fontId="12" fillId="0" borderId="5" xfId="0" applyFont="1" applyBorder="1"/>
    <xf numFmtId="42" fontId="7" fillId="0" borderId="5" xfId="0" applyNumberFormat="1" applyFont="1" applyBorder="1"/>
    <xf numFmtId="0" fontId="7" fillId="0" borderId="44" xfId="0" applyFont="1" applyBorder="1"/>
    <xf numFmtId="0" fontId="12" fillId="0" borderId="6" xfId="0" applyFont="1" applyBorder="1" applyAlignment="1">
      <alignment horizontal="center" wrapText="1"/>
    </xf>
    <xf numFmtId="0" fontId="12" fillId="0" borderId="7" xfId="0" applyFont="1" applyBorder="1" applyAlignment="1">
      <alignment horizontal="centerContinuous"/>
    </xf>
    <xf numFmtId="42" fontId="7" fillId="0" borderId="7" xfId="0" applyNumberFormat="1" applyFont="1" applyBorder="1"/>
    <xf numFmtId="0" fontId="30" fillId="0" borderId="6" xfId="0" applyFont="1" applyBorder="1"/>
    <xf numFmtId="42" fontId="12" fillId="0" borderId="7" xfId="0" applyNumberFormat="1" applyFont="1" applyBorder="1"/>
    <xf numFmtId="42" fontId="7" fillId="0" borderId="0" xfId="0" applyNumberFormat="1" applyFont="1"/>
    <xf numFmtId="3" fontId="7" fillId="0" borderId="0" xfId="0" applyNumberFormat="1" applyFont="1"/>
    <xf numFmtId="0" fontId="10" fillId="0" borderId="0" xfId="0" applyNumberFormat="1" applyFont="1" applyAlignment="1">
      <alignment horizontal="centerContinuous"/>
    </xf>
    <xf numFmtId="3" fontId="7" fillId="0" borderId="0" xfId="0" applyNumberFormat="1" applyFont="1" applyAlignment="1">
      <alignment horizontal="centerContinuous"/>
    </xf>
    <xf numFmtId="0" fontId="12" fillId="0" borderId="44" xfId="0" applyFont="1" applyBorder="1"/>
    <xf numFmtId="0" fontId="12" fillId="0" borderId="44" xfId="0" applyFont="1" applyBorder="1" applyAlignment="1">
      <alignment horizontal="left"/>
    </xf>
    <xf numFmtId="0" fontId="2" fillId="0" borderId="0" xfId="14" applyFont="1"/>
    <xf numFmtId="9" fontId="7" fillId="5" borderId="52" xfId="14" applyNumberFormat="1" applyFont="1" applyFill="1" applyBorder="1"/>
    <xf numFmtId="165" fontId="7" fillId="0" borderId="52" xfId="14" applyNumberFormat="1" applyFont="1" applyBorder="1"/>
    <xf numFmtId="0" fontId="12" fillId="0" borderId="5" xfId="12" applyFont="1" applyBorder="1"/>
    <xf numFmtId="0" fontId="27" fillId="0" borderId="0" xfId="0" applyFont="1"/>
    <xf numFmtId="0" fontId="34" fillId="0" borderId="0" xfId="0" applyFont="1"/>
    <xf numFmtId="165" fontId="7" fillId="0" borderId="0" xfId="14" applyNumberFormat="1" applyFont="1" applyBorder="1"/>
    <xf numFmtId="0" fontId="7" fillId="2" borderId="45" xfId="24" applyFont="1" applyFill="1" applyBorder="1" applyAlignment="1">
      <alignment horizontal="right"/>
    </xf>
    <xf numFmtId="164" fontId="7" fillId="0" borderId="3" xfId="24" applyNumberFormat="1" applyFont="1" applyBorder="1" applyAlignment="1">
      <alignment horizontal="right"/>
    </xf>
    <xf numFmtId="164" fontId="7" fillId="0" borderId="3" xfId="23" applyNumberFormat="1" applyFont="1" applyBorder="1" applyAlignment="1">
      <alignment horizontal="right"/>
    </xf>
    <xf numFmtId="0" fontId="7" fillId="0" borderId="53" xfId="23" applyFont="1" applyBorder="1" applyAlignment="1">
      <alignment horizontal="centerContinuous"/>
    </xf>
    <xf numFmtId="0" fontId="7" fillId="0" borderId="45" xfId="23" applyFont="1" applyBorder="1" applyAlignment="1">
      <alignment horizontal="right"/>
    </xf>
    <xf numFmtId="164" fontId="7" fillId="0" borderId="18" xfId="23" applyNumberFormat="1" applyFont="1" applyBorder="1" applyAlignment="1">
      <alignment horizontal="right"/>
    </xf>
    <xf numFmtId="0" fontId="35" fillId="0" borderId="0" xfId="0" applyFont="1"/>
    <xf numFmtId="0" fontId="9" fillId="0" borderId="0" xfId="19" applyFont="1"/>
    <xf numFmtId="0" fontId="12" fillId="0" borderId="2" xfId="19" applyFont="1" applyBorder="1" applyAlignment="1">
      <alignment horizontal="center" vertical="center" wrapText="1"/>
    </xf>
    <xf numFmtId="0" fontId="7" fillId="0" borderId="0" xfId="19" applyFont="1"/>
    <xf numFmtId="0" fontId="12" fillId="0" borderId="50" xfId="19" applyFont="1" applyBorder="1"/>
    <xf numFmtId="0" fontId="7" fillId="0" borderId="0" xfId="19" applyFont="1" applyBorder="1"/>
    <xf numFmtId="0" fontId="7" fillId="0" borderId="22" xfId="19" applyFont="1" applyBorder="1"/>
    <xf numFmtId="2" fontId="7" fillId="0" borderId="33" xfId="19" applyNumberFormat="1" applyFont="1" applyBorder="1"/>
    <xf numFmtId="0" fontId="7" fillId="0" borderId="50" xfId="19" applyFont="1" applyBorder="1"/>
    <xf numFmtId="0" fontId="7" fillId="0" borderId="54" xfId="19" applyFont="1" applyBorder="1"/>
    <xf numFmtId="0" fontId="7" fillId="0" borderId="44" xfId="19" applyFont="1" applyBorder="1"/>
    <xf numFmtId="0" fontId="7" fillId="0" borderId="7" xfId="19" applyFont="1" applyBorder="1"/>
    <xf numFmtId="2" fontId="7" fillId="0" borderId="5" xfId="19" applyNumberFormat="1" applyFont="1" applyBorder="1"/>
    <xf numFmtId="0" fontId="12" fillId="0" borderId="50" xfId="19" applyFont="1" applyBorder="1" applyAlignment="1">
      <alignment horizontal="left"/>
    </xf>
    <xf numFmtId="0" fontId="7" fillId="2" borderId="0" xfId="19" applyFont="1" applyFill="1" applyBorder="1"/>
    <xf numFmtId="0" fontId="7" fillId="2" borderId="22" xfId="19" applyFont="1" applyFill="1" applyBorder="1"/>
    <xf numFmtId="2" fontId="12" fillId="2" borderId="33" xfId="19" applyNumberFormat="1" applyFont="1" applyFill="1" applyBorder="1"/>
    <xf numFmtId="2" fontId="12" fillId="0" borderId="33" xfId="19" applyNumberFormat="1" applyFont="1" applyBorder="1"/>
    <xf numFmtId="0" fontId="21" fillId="0" borderId="0" xfId="19" applyFont="1"/>
    <xf numFmtId="2" fontId="7" fillId="0" borderId="0" xfId="19" applyNumberFormat="1" applyFont="1"/>
    <xf numFmtId="0" fontId="31" fillId="0" borderId="0" xfId="0" applyFont="1"/>
    <xf numFmtId="0" fontId="19" fillId="5" borderId="4" xfId="15" applyFont="1" applyFill="1" applyBorder="1"/>
    <xf numFmtId="0" fontId="19" fillId="5" borderId="7" xfId="15" applyFont="1" applyFill="1" applyBorder="1"/>
    <xf numFmtId="0" fontId="19" fillId="5" borderId="5" xfId="15" applyFont="1" applyFill="1" applyBorder="1"/>
    <xf numFmtId="0" fontId="19" fillId="5" borderId="43" xfId="15" applyFont="1" applyFill="1" applyBorder="1"/>
    <xf numFmtId="0" fontId="12" fillId="0" borderId="5" xfId="9" applyFont="1" applyBorder="1"/>
    <xf numFmtId="1" fontId="7" fillId="0" borderId="5" xfId="12" applyNumberFormat="1" applyFont="1" applyBorder="1"/>
    <xf numFmtId="0" fontId="0" fillId="0" borderId="0" xfId="0" applyFill="1"/>
    <xf numFmtId="0" fontId="7" fillId="0" borderId="0" xfId="0" applyFont="1" applyFill="1"/>
    <xf numFmtId="0" fontId="7" fillId="0" borderId="0" xfId="0" applyFont="1" applyFill="1" applyAlignment="1">
      <alignment horizontal="center"/>
    </xf>
    <xf numFmtId="0" fontId="37" fillId="0" borderId="0" xfId="0" applyFont="1" applyFill="1"/>
    <xf numFmtId="0" fontId="7" fillId="0" borderId="0" xfId="14" applyFont="1" applyFill="1"/>
    <xf numFmtId="0" fontId="7" fillId="0" borderId="0" xfId="22" applyFont="1" applyFill="1"/>
    <xf numFmtId="165" fontId="7" fillId="0" borderId="51" xfId="14" applyNumberFormat="1" applyFont="1" applyBorder="1"/>
    <xf numFmtId="0" fontId="12" fillId="6" borderId="4" xfId="0" applyFont="1" applyFill="1" applyBorder="1" applyAlignment="1">
      <alignment horizontal="centerContinuous" vertical="center"/>
    </xf>
    <xf numFmtId="0" fontId="12" fillId="6" borderId="5" xfId="0" applyFont="1" applyFill="1" applyBorder="1" applyAlignment="1">
      <alignment horizontal="centerContinuous" vertical="center"/>
    </xf>
    <xf numFmtId="0" fontId="12" fillId="6" borderId="4" xfId="0" applyFont="1" applyFill="1" applyBorder="1" applyAlignment="1">
      <alignment horizontal="centerContinuous" vertical="center" wrapText="1"/>
    </xf>
    <xf numFmtId="0" fontId="12" fillId="6" borderId="3" xfId="0" applyFont="1" applyFill="1" applyBorder="1" applyAlignment="1">
      <alignment horizontal="center" vertical="center" wrapText="1"/>
    </xf>
    <xf numFmtId="0" fontId="12" fillId="6" borderId="2" xfId="0" applyFont="1" applyFill="1" applyBorder="1" applyAlignment="1">
      <alignment horizontal="centerContinuous" vertical="center"/>
    </xf>
    <xf numFmtId="0" fontId="7" fillId="5" borderId="5" xfId="0" applyFont="1" applyFill="1" applyBorder="1"/>
    <xf numFmtId="0" fontId="7" fillId="5" borderId="7" xfId="0" applyFont="1" applyFill="1" applyBorder="1"/>
    <xf numFmtId="0" fontId="7" fillId="5" borderId="7" xfId="9" applyFont="1" applyFill="1" applyBorder="1"/>
    <xf numFmtId="165" fontId="0" fillId="0" borderId="52" xfId="0" applyNumberFormat="1" applyBorder="1" applyAlignment="1">
      <alignment horizontal="center"/>
    </xf>
    <xf numFmtId="0" fontId="24" fillId="5" borderId="4" xfId="12" applyFont="1" applyFill="1" applyBorder="1" applyAlignment="1">
      <alignment horizontal="center"/>
    </xf>
    <xf numFmtId="0" fontId="7" fillId="5" borderId="45" xfId="9" applyFont="1" applyFill="1" applyBorder="1"/>
    <xf numFmtId="0" fontId="19" fillId="5" borderId="55" xfId="15" applyFont="1" applyFill="1" applyBorder="1"/>
    <xf numFmtId="0" fontId="12" fillId="0" borderId="5" xfId="22" applyFont="1" applyBorder="1"/>
    <xf numFmtId="164" fontId="12" fillId="0" borderId="7" xfId="22" applyNumberFormat="1" applyFont="1" applyBorder="1"/>
    <xf numFmtId="0" fontId="20" fillId="4" borderId="56" xfId="15" applyFont="1" applyFill="1" applyBorder="1"/>
    <xf numFmtId="0" fontId="7" fillId="5" borderId="6" xfId="22" applyFont="1" applyFill="1" applyBorder="1"/>
    <xf numFmtId="0" fontId="7" fillId="5" borderId="7" xfId="22" applyFont="1" applyFill="1" applyBorder="1"/>
    <xf numFmtId="0" fontId="7" fillId="5" borderId="45" xfId="22" applyFont="1" applyFill="1" applyBorder="1"/>
    <xf numFmtId="0" fontId="7" fillId="5" borderId="2" xfId="22" applyFont="1" applyFill="1" applyBorder="1"/>
    <xf numFmtId="0" fontId="7" fillId="0" borderId="5" xfId="18" applyFont="1" applyFill="1" applyBorder="1"/>
    <xf numFmtId="164" fontId="7" fillId="0" borderId="5" xfId="18" applyNumberFormat="1" applyFont="1" applyFill="1" applyBorder="1"/>
    <xf numFmtId="164" fontId="7" fillId="0" borderId="7" xfId="18" applyNumberFormat="1" applyFont="1" applyFill="1" applyBorder="1"/>
    <xf numFmtId="9" fontId="7" fillId="0" borderId="7" xfId="18" applyNumberFormat="1" applyFont="1" applyFill="1" applyBorder="1"/>
    <xf numFmtId="0" fontId="7" fillId="5" borderId="2" xfId="9" applyFont="1" applyFill="1" applyBorder="1"/>
    <xf numFmtId="0" fontId="7" fillId="0" borderId="33" xfId="10" applyFont="1" applyBorder="1"/>
    <xf numFmtId="0" fontId="24" fillId="5" borderId="3" xfId="12" applyFont="1" applyFill="1" applyBorder="1" applyAlignment="1">
      <alignment horizontal="center"/>
    </xf>
    <xf numFmtId="0" fontId="7" fillId="0" borderId="2" xfId="10" applyFont="1" applyBorder="1"/>
    <xf numFmtId="0" fontId="7" fillId="0" borderId="35" xfId="9" applyFont="1" applyBorder="1"/>
    <xf numFmtId="0" fontId="7" fillId="0" borderId="35" xfId="9" applyFont="1" applyBorder="1" applyAlignment="1">
      <alignment horizontal="left"/>
    </xf>
    <xf numFmtId="0" fontId="7" fillId="5" borderId="6" xfId="0" applyFont="1" applyFill="1" applyBorder="1" applyAlignment="1">
      <alignment horizontal="center"/>
    </xf>
    <xf numFmtId="0" fontId="7" fillId="5" borderId="5" xfId="0" applyFont="1" applyFill="1" applyBorder="1" applyAlignment="1">
      <alignment horizontal="right"/>
    </xf>
    <xf numFmtId="164" fontId="7" fillId="5" borderId="7" xfId="0" applyNumberFormat="1" applyFont="1" applyFill="1" applyBorder="1" applyAlignment="1">
      <alignment horizontal="right"/>
    </xf>
    <xf numFmtId="0" fontId="7" fillId="5" borderId="19" xfId="24" applyFont="1" applyFill="1" applyBorder="1" applyAlignment="1">
      <alignment horizontal="center"/>
    </xf>
    <xf numFmtId="0" fontId="7" fillId="5" borderId="33" xfId="24" applyFont="1" applyFill="1" applyBorder="1" applyAlignment="1">
      <alignment horizontal="right"/>
    </xf>
    <xf numFmtId="164" fontId="7" fillId="5" borderId="33" xfId="24" applyNumberFormat="1" applyFont="1" applyFill="1" applyBorder="1" applyAlignment="1">
      <alignment horizontal="right"/>
    </xf>
    <xf numFmtId="164" fontId="7" fillId="5" borderId="22" xfId="24" applyNumberFormat="1" applyFont="1" applyFill="1" applyBorder="1" applyAlignment="1">
      <alignment horizontal="right"/>
    </xf>
    <xf numFmtId="0" fontId="7" fillId="5" borderId="22" xfId="24" applyFont="1" applyFill="1" applyBorder="1" applyAlignment="1">
      <alignment horizontal="right"/>
    </xf>
    <xf numFmtId="0" fontId="7" fillId="5" borderId="6" xfId="17" applyFont="1" applyFill="1" applyBorder="1" applyAlignment="1">
      <alignment horizontal="center"/>
    </xf>
    <xf numFmtId="0" fontId="7" fillId="5" borderId="5" xfId="17" applyFont="1" applyFill="1" applyBorder="1"/>
    <xf numFmtId="0" fontId="7" fillId="5" borderId="7" xfId="17" applyFont="1" applyFill="1" applyBorder="1"/>
    <xf numFmtId="164" fontId="7" fillId="5" borderId="5" xfId="18" applyNumberFormat="1" applyFont="1" applyFill="1" applyBorder="1"/>
    <xf numFmtId="164" fontId="7" fillId="5" borderId="52" xfId="18" applyNumberFormat="1" applyFont="1" applyFill="1" applyBorder="1"/>
    <xf numFmtId="0" fontId="7" fillId="5" borderId="6" xfId="21" applyFont="1" applyFill="1" applyBorder="1" applyAlignment="1">
      <alignment horizontal="center"/>
    </xf>
    <xf numFmtId="0" fontId="7" fillId="5" borderId="5" xfId="21" applyFont="1" applyFill="1" applyBorder="1"/>
    <xf numFmtId="164" fontId="7" fillId="5" borderId="7" xfId="21" applyNumberFormat="1" applyFont="1" applyFill="1" applyBorder="1"/>
    <xf numFmtId="0" fontId="24" fillId="5" borderId="4" xfId="10" applyFont="1" applyFill="1" applyBorder="1" applyAlignment="1">
      <alignment horizontal="center"/>
    </xf>
    <xf numFmtId="0" fontId="12" fillId="5" borderId="5" xfId="10" applyFont="1" applyFill="1" applyBorder="1" applyAlignment="1">
      <alignment horizontal="center"/>
    </xf>
    <xf numFmtId="0" fontId="7" fillId="5" borderId="6" xfId="18" applyFont="1" applyFill="1" applyBorder="1" applyAlignment="1">
      <alignment horizontal="center"/>
    </xf>
    <xf numFmtId="0" fontId="7" fillId="5" borderId="5" xfId="18" applyFont="1" applyFill="1" applyBorder="1"/>
    <xf numFmtId="164" fontId="7" fillId="5" borderId="7" xfId="18" applyNumberFormat="1" applyFont="1" applyFill="1" applyBorder="1"/>
    <xf numFmtId="9" fontId="7" fillId="5" borderId="7" xfId="18" applyNumberFormat="1" applyFont="1" applyFill="1" applyBorder="1"/>
    <xf numFmtId="0" fontId="7" fillId="5" borderId="4" xfId="9" applyFont="1" applyFill="1" applyBorder="1"/>
    <xf numFmtId="0" fontId="7" fillId="5" borderId="5" xfId="9" applyFont="1" applyFill="1" applyBorder="1"/>
    <xf numFmtId="0" fontId="7" fillId="5" borderId="7" xfId="0" applyFont="1" applyFill="1" applyBorder="1" applyAlignment="1">
      <alignment horizontal="center"/>
    </xf>
    <xf numFmtId="0" fontId="12" fillId="5" borderId="6" xfId="0" applyFont="1" applyFill="1" applyBorder="1" applyAlignment="1">
      <alignment horizontal="centerContinuous" vertical="center"/>
    </xf>
    <xf numFmtId="0" fontId="41" fillId="0" borderId="0" xfId="0" applyFont="1"/>
    <xf numFmtId="0" fontId="24" fillId="0" borderId="0" xfId="0" applyFont="1"/>
    <xf numFmtId="0" fontId="11" fillId="0" borderId="0" xfId="0" applyFont="1" applyFill="1"/>
    <xf numFmtId="0" fontId="11" fillId="0" borderId="0" xfId="0" applyFont="1" applyFill="1" applyAlignment="1">
      <alignment horizontal="center"/>
    </xf>
    <xf numFmtId="0" fontId="7" fillId="5" borderId="4" xfId="11" applyFont="1" applyFill="1" applyBorder="1"/>
    <xf numFmtId="0" fontId="7" fillId="5" borderId="5" xfId="11" applyFont="1" applyFill="1" applyBorder="1"/>
    <xf numFmtId="0" fontId="24" fillId="5" borderId="3" xfId="10" applyFont="1" applyFill="1" applyBorder="1" applyAlignment="1">
      <alignment horizontal="center"/>
    </xf>
    <xf numFmtId="0" fontId="12" fillId="5" borderId="2" xfId="10" applyFont="1" applyFill="1" applyBorder="1" applyAlignment="1">
      <alignment horizontal="center"/>
    </xf>
    <xf numFmtId="0" fontId="7" fillId="5" borderId="1" xfId="24" applyFont="1" applyFill="1" applyBorder="1" applyAlignment="1">
      <alignment horizontal="center"/>
    </xf>
    <xf numFmtId="0" fontId="7" fillId="5" borderId="2" xfId="24" applyFont="1" applyFill="1" applyBorder="1" applyAlignment="1">
      <alignment horizontal="right"/>
    </xf>
    <xf numFmtId="164" fontId="7" fillId="5" borderId="2" xfId="24" applyNumberFormat="1" applyFont="1" applyFill="1" applyBorder="1" applyAlignment="1">
      <alignment horizontal="right"/>
    </xf>
    <xf numFmtId="164" fontId="7" fillId="5" borderId="18" xfId="24" applyNumberFormat="1" applyFont="1" applyFill="1" applyBorder="1" applyAlignment="1">
      <alignment horizontal="right"/>
    </xf>
    <xf numFmtId="0" fontId="7" fillId="5" borderId="18" xfId="24" applyFont="1" applyFill="1" applyBorder="1" applyAlignment="1">
      <alignment horizontal="right"/>
    </xf>
    <xf numFmtId="164" fontId="12" fillId="5" borderId="2" xfId="23" applyNumberFormat="1" applyFont="1" applyFill="1" applyBorder="1" applyAlignment="1">
      <alignment horizontal="centerContinuous" vertical="center" wrapText="1"/>
    </xf>
    <xf numFmtId="0" fontId="12" fillId="5" borderId="2" xfId="23" applyFont="1" applyFill="1" applyBorder="1" applyAlignment="1">
      <alignment horizontal="centerContinuous" vertical="center" wrapText="1"/>
    </xf>
    <xf numFmtId="0" fontId="12" fillId="5" borderId="5" xfId="0" applyFont="1" applyFill="1" applyBorder="1" applyAlignment="1">
      <alignment horizontal="right" vertical="center" wrapText="1"/>
    </xf>
    <xf numFmtId="164" fontId="12" fillId="5" borderId="7" xfId="0" applyNumberFormat="1" applyFont="1" applyFill="1" applyBorder="1" applyAlignment="1">
      <alignment horizontal="right" vertical="center" wrapText="1"/>
    </xf>
    <xf numFmtId="0" fontId="7" fillId="5" borderId="6" xfId="24" applyFont="1" applyFill="1" applyBorder="1" applyAlignment="1">
      <alignment horizontal="center"/>
    </xf>
    <xf numFmtId="0" fontId="12" fillId="5" borderId="53" xfId="23" applyFont="1" applyFill="1" applyBorder="1" applyAlignment="1">
      <alignment horizontal="center" vertical="center" wrapText="1"/>
    </xf>
    <xf numFmtId="0" fontId="12" fillId="5" borderId="45" xfId="23" applyFont="1" applyFill="1" applyBorder="1" applyAlignment="1">
      <alignment horizontal="centerContinuous" vertical="center" wrapText="1"/>
    </xf>
    <xf numFmtId="164" fontId="12" fillId="5" borderId="18" xfId="23" applyNumberFormat="1" applyFont="1" applyFill="1" applyBorder="1" applyAlignment="1">
      <alignment horizontal="centerContinuous" vertical="center" wrapText="1"/>
    </xf>
    <xf numFmtId="0" fontId="12" fillId="5" borderId="18" xfId="23" applyFont="1" applyFill="1" applyBorder="1" applyAlignment="1">
      <alignment horizontal="centerContinuous" vertical="center" wrapText="1"/>
    </xf>
    <xf numFmtId="0" fontId="12" fillId="0" borderId="0" xfId="0" applyFont="1" applyBorder="1"/>
    <xf numFmtId="0" fontId="7" fillId="0" borderId="0" xfId="0" applyFont="1" applyBorder="1"/>
    <xf numFmtId="37" fontId="0" fillId="0" borderId="0" xfId="0" applyNumberFormat="1"/>
    <xf numFmtId="37" fontId="0" fillId="0" borderId="44" xfId="0" applyNumberFormat="1" applyBorder="1"/>
    <xf numFmtId="164" fontId="7" fillId="5" borderId="6" xfId="18" applyNumberFormat="1" applyFont="1" applyFill="1" applyBorder="1"/>
    <xf numFmtId="0" fontId="0" fillId="0" borderId="6" xfId="0" applyBorder="1"/>
    <xf numFmtId="0" fontId="0" fillId="0" borderId="1" xfId="0" applyBorder="1"/>
    <xf numFmtId="1" fontId="7" fillId="0" borderId="0" xfId="17" applyNumberFormat="1" applyFont="1" applyBorder="1"/>
    <xf numFmtId="0" fontId="25" fillId="0" borderId="1" xfId="22" applyFont="1" applyBorder="1" applyAlignment="1">
      <alignment horizontal="center" vertical="center" wrapText="1"/>
    </xf>
    <xf numFmtId="0" fontId="7" fillId="5" borderId="1" xfId="22" applyFont="1" applyFill="1" applyBorder="1"/>
    <xf numFmtId="0" fontId="42" fillId="0" borderId="0" xfId="0" applyFont="1"/>
    <xf numFmtId="174" fontId="43" fillId="0" borderId="0" xfId="0" applyNumberFormat="1" applyFont="1"/>
    <xf numFmtId="0" fontId="15" fillId="0" borderId="0" xfId="23" applyFont="1" applyBorder="1" applyAlignment="1">
      <alignment horizontal="center"/>
    </xf>
    <xf numFmtId="9" fontId="7" fillId="0" borderId="7" xfId="26" applyFont="1" applyBorder="1" applyAlignment="1">
      <alignment horizontal="right"/>
    </xf>
    <xf numFmtId="9" fontId="12" fillId="5" borderId="7" xfId="26" applyFont="1" applyFill="1" applyBorder="1" applyAlignment="1">
      <alignment horizontal="right" vertical="center" wrapText="1"/>
    </xf>
    <xf numFmtId="0" fontId="17" fillId="0" borderId="9" xfId="23" applyFont="1" applyBorder="1" applyAlignment="1">
      <alignment horizontal="centerContinuous" vertical="center" wrapText="1"/>
    </xf>
    <xf numFmtId="0" fontId="12" fillId="0" borderId="8" xfId="23" applyFont="1" applyBorder="1" applyAlignment="1">
      <alignment horizontal="center"/>
    </xf>
    <xf numFmtId="0" fontId="12" fillId="0" borderId="19" xfId="23" applyFont="1" applyBorder="1" applyAlignment="1">
      <alignment horizontal="center" vertical="top"/>
    </xf>
    <xf numFmtId="0" fontId="17" fillId="0" borderId="12" xfId="23" applyNumberFormat="1" applyFont="1" applyBorder="1" applyAlignment="1">
      <alignment horizontal="centerContinuous" vertical="center" wrapText="1"/>
    </xf>
    <xf numFmtId="0" fontId="12" fillId="5" borderId="1" xfId="0" applyFont="1" applyFill="1" applyBorder="1"/>
    <xf numFmtId="0" fontId="12" fillId="0" borderId="59" xfId="15" applyFont="1" applyBorder="1" applyAlignment="1">
      <alignment horizontal="centerContinuous" wrapText="1"/>
    </xf>
    <xf numFmtId="0" fontId="18" fillId="5" borderId="59" xfId="15" applyFont="1" applyFill="1" applyBorder="1" applyAlignment="1">
      <alignment horizontal="left" wrapText="1"/>
    </xf>
    <xf numFmtId="0" fontId="18" fillId="4" borderId="59" xfId="15" applyFont="1" applyFill="1" applyBorder="1" applyAlignment="1">
      <alignment horizontal="left"/>
    </xf>
    <xf numFmtId="0" fontId="12" fillId="0" borderId="1" xfId="22" applyFont="1" applyBorder="1" applyAlignment="1">
      <alignment horizontal="center"/>
    </xf>
    <xf numFmtId="0" fontId="0" fillId="0" borderId="41" xfId="9" applyFont="1" applyBorder="1"/>
    <xf numFmtId="0" fontId="7" fillId="4" borderId="35" xfId="9" applyFont="1" applyFill="1" applyBorder="1"/>
    <xf numFmtId="0" fontId="7" fillId="0" borderId="35" xfId="0" applyFont="1" applyBorder="1"/>
    <xf numFmtId="0" fontId="7" fillId="5" borderId="35" xfId="9" applyFont="1" applyFill="1" applyBorder="1"/>
    <xf numFmtId="0" fontId="12" fillId="2" borderId="35" xfId="9" applyFont="1" applyFill="1" applyBorder="1" applyAlignment="1">
      <alignment horizontal="center"/>
    </xf>
    <xf numFmtId="0" fontId="12" fillId="0" borderId="0" xfId="0" applyFont="1" applyFill="1" applyAlignment="1">
      <alignment horizontal="center"/>
    </xf>
    <xf numFmtId="37" fontId="7" fillId="0" borderId="0" xfId="0" applyNumberFormat="1" applyFont="1" applyBorder="1"/>
    <xf numFmtId="0" fontId="12" fillId="0" borderId="0" xfId="0" applyFont="1" applyFill="1"/>
    <xf numFmtId="2" fontId="7" fillId="0" borderId="33" xfId="19" applyNumberFormat="1" applyFont="1" applyFill="1" applyBorder="1"/>
    <xf numFmtId="2" fontId="7" fillId="0" borderId="5" xfId="19" applyNumberFormat="1" applyFont="1" applyFill="1" applyBorder="1"/>
    <xf numFmtId="9" fontId="7" fillId="5" borderId="51" xfId="14" applyNumberFormat="1" applyFont="1" applyFill="1" applyBorder="1"/>
    <xf numFmtId="0" fontId="22" fillId="0" borderId="0" xfId="20" applyFont="1" applyFill="1" applyBorder="1" applyAlignment="1">
      <alignment horizontal="center" vertical="center"/>
    </xf>
    <xf numFmtId="0" fontId="44" fillId="0" borderId="0" xfId="0" applyFont="1" applyFill="1"/>
    <xf numFmtId="0" fontId="12" fillId="0" borderId="60" xfId="0" applyFont="1" applyFill="1" applyBorder="1" applyAlignment="1">
      <alignment horizontal="center"/>
    </xf>
    <xf numFmtId="0" fontId="12" fillId="0" borderId="61" xfId="0" applyFont="1" applyFill="1" applyBorder="1" applyAlignment="1">
      <alignment horizontal="center"/>
    </xf>
    <xf numFmtId="0" fontId="12" fillId="0" borderId="62" xfId="0" applyFont="1" applyFill="1" applyBorder="1" applyAlignment="1">
      <alignment horizontal="center"/>
    </xf>
    <xf numFmtId="0" fontId="2" fillId="0" borderId="45" xfId="0" applyFont="1" applyFill="1" applyBorder="1" applyAlignment="1">
      <alignment horizontal="right"/>
    </xf>
    <xf numFmtId="0" fontId="12" fillId="0" borderId="58" xfId="0" applyFont="1" applyFill="1" applyBorder="1" applyAlignment="1">
      <alignment horizontal="center"/>
    </xf>
    <xf numFmtId="9" fontId="2" fillId="0" borderId="18" xfId="26" applyNumberFormat="1" applyFont="1" applyFill="1" applyBorder="1"/>
    <xf numFmtId="0" fontId="2" fillId="0" borderId="51" xfId="0" applyFont="1" applyFill="1" applyBorder="1"/>
    <xf numFmtId="0" fontId="12" fillId="0" borderId="63" xfId="0" applyFont="1" applyFill="1" applyBorder="1" applyAlignment="1">
      <alignment horizontal="right"/>
    </xf>
    <xf numFmtId="0" fontId="12" fillId="0" borderId="21" xfId="0" applyFont="1" applyFill="1" applyBorder="1"/>
    <xf numFmtId="9" fontId="0" fillId="0" borderId="0" xfId="0" applyNumberFormat="1" applyFill="1"/>
    <xf numFmtId="0" fontId="43" fillId="0" borderId="0" xfId="0" applyNumberFormat="1" applyFont="1" applyAlignment="1">
      <alignment horizontal="center"/>
    </xf>
    <xf numFmtId="0" fontId="7" fillId="0" borderId="39" xfId="0" applyFont="1" applyBorder="1"/>
    <xf numFmtId="0" fontId="12" fillId="0" borderId="13" xfId="0" applyFont="1" applyBorder="1"/>
    <xf numFmtId="0" fontId="12" fillId="0" borderId="64" xfId="0" applyFont="1" applyBorder="1"/>
    <xf numFmtId="42" fontId="12" fillId="0" borderId="17" xfId="0" applyNumberFormat="1" applyFont="1" applyBorder="1"/>
    <xf numFmtId="0" fontId="12" fillId="0" borderId="64" xfId="0" applyFont="1" applyFill="1" applyBorder="1"/>
    <xf numFmtId="9" fontId="12" fillId="0" borderId="13" xfId="26" applyFont="1" applyFill="1" applyBorder="1"/>
    <xf numFmtId="0" fontId="22" fillId="0" borderId="0" xfId="0" applyFont="1" applyAlignment="1">
      <alignment horizontal="center"/>
    </xf>
    <xf numFmtId="0" fontId="36" fillId="5" borderId="68" xfId="0" applyFont="1" applyFill="1" applyBorder="1"/>
    <xf numFmtId="0" fontId="36" fillId="5" borderId="52" xfId="0" applyFont="1" applyFill="1" applyBorder="1"/>
    <xf numFmtId="0" fontId="46" fillId="0" borderId="68" xfId="9" applyFont="1" applyBorder="1"/>
    <xf numFmtId="164" fontId="36" fillId="0" borderId="52" xfId="14" applyNumberFormat="1" applyFont="1" applyBorder="1" applyAlignment="1">
      <alignment horizontal="right"/>
    </xf>
    <xf numFmtId="164" fontId="36" fillId="0" borderId="51" xfId="14" applyNumberFormat="1" applyFont="1" applyBorder="1" applyAlignment="1">
      <alignment horizontal="right"/>
    </xf>
    <xf numFmtId="0" fontId="46" fillId="0" borderId="68" xfId="9" quotePrefix="1" applyFont="1" applyBorder="1" applyAlignment="1">
      <alignment horizontal="left"/>
    </xf>
    <xf numFmtId="0" fontId="46" fillId="0" borderId="68" xfId="9" applyFont="1" applyBorder="1" applyAlignment="1">
      <alignment horizontal="right"/>
    </xf>
    <xf numFmtId="0" fontId="46" fillId="0" borderId="68" xfId="9" applyFont="1" applyBorder="1" applyAlignment="1">
      <alignment horizontal="left"/>
    </xf>
    <xf numFmtId="0" fontId="46" fillId="0" borderId="68" xfId="9" applyFont="1" applyBorder="1" applyAlignment="1">
      <alignment wrapText="1"/>
    </xf>
    <xf numFmtId="0" fontId="36" fillId="0" borderId="70" xfId="9" applyFont="1" applyBorder="1"/>
    <xf numFmtId="0" fontId="36" fillId="5" borderId="66" xfId="0" applyFont="1" applyFill="1" applyBorder="1"/>
    <xf numFmtId="0" fontId="36" fillId="5" borderId="51" xfId="0" applyFont="1" applyFill="1" applyBorder="1"/>
    <xf numFmtId="0" fontId="46" fillId="5" borderId="2" xfId="0" applyFont="1" applyFill="1" applyBorder="1"/>
    <xf numFmtId="0" fontId="36" fillId="5" borderId="55" xfId="0" applyFont="1" applyFill="1" applyBorder="1"/>
    <xf numFmtId="164" fontId="36" fillId="0" borderId="71" xfId="14" applyNumberFormat="1" applyFont="1" applyBorder="1" applyAlignment="1">
      <alignment horizontal="right"/>
    </xf>
    <xf numFmtId="0" fontId="23" fillId="0" borderId="0" xfId="9" applyFont="1" applyBorder="1"/>
    <xf numFmtId="0" fontId="23" fillId="0" borderId="0" xfId="9" applyFont="1"/>
    <xf numFmtId="0" fontId="39" fillId="0" borderId="0" xfId="9" applyFont="1"/>
    <xf numFmtId="0" fontId="12" fillId="5" borderId="59" xfId="14" applyFont="1" applyFill="1" applyBorder="1"/>
    <xf numFmtId="0" fontId="2" fillId="2" borderId="59" xfId="14" applyFont="1" applyFill="1" applyBorder="1"/>
    <xf numFmtId="0" fontId="2" fillId="2" borderId="59" xfId="14" applyFont="1" applyFill="1" applyBorder="1" applyAlignment="1"/>
    <xf numFmtId="0" fontId="39" fillId="2" borderId="73" xfId="14" applyFont="1" applyFill="1" applyBorder="1" applyAlignment="1">
      <alignment horizontal="right"/>
    </xf>
    <xf numFmtId="165" fontId="39" fillId="0" borderId="33" xfId="14" applyNumberFormat="1" applyFont="1" applyBorder="1"/>
    <xf numFmtId="165" fontId="39" fillId="0" borderId="74" xfId="14" applyNumberFormat="1" applyFont="1" applyBorder="1"/>
    <xf numFmtId="164" fontId="39" fillId="0" borderId="29" xfId="14" applyNumberFormat="1" applyFont="1" applyBorder="1" applyAlignment="1">
      <alignment horizontal="right"/>
    </xf>
    <xf numFmtId="0" fontId="39" fillId="0" borderId="0" xfId="14" applyFont="1"/>
    <xf numFmtId="0" fontId="12" fillId="5" borderId="75" xfId="14" applyFont="1" applyFill="1" applyBorder="1"/>
    <xf numFmtId="1" fontId="7" fillId="5" borderId="3" xfId="14" applyNumberFormat="1" applyFont="1" applyFill="1" applyBorder="1"/>
    <xf numFmtId="9" fontId="7" fillId="5" borderId="3" xfId="14" applyNumberFormat="1" applyFont="1" applyFill="1" applyBorder="1"/>
    <xf numFmtId="0" fontId="2" fillId="2" borderId="75" xfId="14" applyFont="1" applyFill="1" applyBorder="1"/>
    <xf numFmtId="165" fontId="7" fillId="0" borderId="2" xfId="14" applyNumberFormat="1" applyFont="1" applyBorder="1"/>
    <xf numFmtId="165" fontId="7" fillId="0" borderId="3" xfId="14" applyNumberFormat="1" applyFont="1" applyBorder="1"/>
    <xf numFmtId="164" fontId="12" fillId="0" borderId="51" xfId="14" applyNumberFormat="1" applyFont="1" applyBorder="1" applyAlignment="1">
      <alignment horizontal="right"/>
    </xf>
    <xf numFmtId="0" fontId="39" fillId="2" borderId="75" xfId="14" applyFont="1" applyFill="1" applyBorder="1" applyAlignment="1">
      <alignment horizontal="right"/>
    </xf>
    <xf numFmtId="165" fontId="39" fillId="0" borderId="2" xfId="14" applyNumberFormat="1" applyFont="1" applyBorder="1"/>
    <xf numFmtId="165" fontId="39" fillId="0" borderId="3" xfId="14" applyNumberFormat="1" applyFont="1" applyBorder="1"/>
    <xf numFmtId="165" fontId="39" fillId="0" borderId="51" xfId="14" applyNumberFormat="1" applyFont="1" applyBorder="1"/>
    <xf numFmtId="164" fontId="39" fillId="0" borderId="51" xfId="14" applyNumberFormat="1" applyFont="1" applyBorder="1" applyAlignment="1">
      <alignment horizontal="right"/>
    </xf>
    <xf numFmtId="0" fontId="24" fillId="2" borderId="76" xfId="14" applyFont="1" applyFill="1" applyBorder="1" applyAlignment="1">
      <alignment horizontal="right"/>
    </xf>
    <xf numFmtId="165" fontId="24" fillId="0" borderId="77" xfId="14" applyNumberFormat="1" applyFont="1" applyBorder="1"/>
    <xf numFmtId="165" fontId="24" fillId="0" borderId="78" xfId="14" applyNumberFormat="1" applyFont="1" applyBorder="1"/>
    <xf numFmtId="165" fontId="24" fillId="0" borderId="79" xfId="14" applyNumberFormat="1" applyFont="1" applyBorder="1"/>
    <xf numFmtId="164" fontId="24" fillId="0" borderId="79" xfId="14" applyNumberFormat="1" applyFont="1" applyBorder="1" applyAlignment="1">
      <alignment horizontal="right"/>
    </xf>
    <xf numFmtId="0" fontId="11" fillId="0" borderId="0" xfId="14" applyFont="1"/>
    <xf numFmtId="0" fontId="2" fillId="2" borderId="0" xfId="14" applyFont="1" applyFill="1" applyBorder="1"/>
    <xf numFmtId="164" fontId="12" fillId="0" borderId="0" xfId="14" applyNumberFormat="1" applyFont="1" applyBorder="1" applyAlignment="1">
      <alignment horizontal="right"/>
    </xf>
    <xf numFmtId="164" fontId="12" fillId="0" borderId="52" xfId="14" applyNumberFormat="1" applyFont="1" applyBorder="1" applyAlignment="1">
      <alignment horizontal="right"/>
    </xf>
    <xf numFmtId="0" fontId="2" fillId="2" borderId="73" xfId="14" applyFont="1" applyFill="1" applyBorder="1"/>
    <xf numFmtId="0" fontId="2" fillId="2" borderId="0" xfId="14" applyFont="1" applyFill="1" applyBorder="1" applyAlignment="1">
      <alignment horizontal="right"/>
    </xf>
    <xf numFmtId="1" fontId="7" fillId="5" borderId="2" xfId="14" applyNumberFormat="1" applyFont="1" applyFill="1" applyBorder="1"/>
    <xf numFmtId="9" fontId="7" fillId="5" borderId="2" xfId="14" applyNumberFormat="1" applyFont="1" applyFill="1" applyBorder="1"/>
    <xf numFmtId="9" fontId="7" fillId="5" borderId="18" xfId="14" applyNumberFormat="1" applyFont="1" applyFill="1" applyBorder="1"/>
    <xf numFmtId="0" fontId="7" fillId="0" borderId="37" xfId="14" applyFont="1" applyBorder="1"/>
    <xf numFmtId="165" fontId="39" fillId="0" borderId="52" xfId="14" applyNumberFormat="1" applyFont="1" applyBorder="1"/>
    <xf numFmtId="0" fontId="39" fillId="2" borderId="59" xfId="14" applyFont="1" applyFill="1" applyBorder="1" applyAlignment="1">
      <alignment horizontal="right"/>
    </xf>
    <xf numFmtId="164" fontId="12" fillId="0" borderId="18" xfId="14" applyNumberFormat="1" applyFont="1" applyBorder="1" applyAlignment="1">
      <alignment horizontal="right"/>
    </xf>
    <xf numFmtId="0" fontId="0" fillId="5" borderId="3" xfId="0" applyFill="1" applyBorder="1"/>
    <xf numFmtId="0" fontId="0" fillId="5" borderId="51" xfId="0" applyFill="1" applyBorder="1"/>
    <xf numFmtId="0" fontId="0" fillId="5" borderId="2" xfId="0" applyFill="1" applyBorder="1"/>
    <xf numFmtId="0" fontId="39" fillId="2" borderId="0" xfId="14" applyFont="1" applyFill="1" applyBorder="1" applyAlignment="1">
      <alignment horizontal="right"/>
    </xf>
    <xf numFmtId="165" fontId="39" fillId="0" borderId="0" xfId="14" applyNumberFormat="1" applyFont="1" applyBorder="1"/>
    <xf numFmtId="164" fontId="39" fillId="0" borderId="0" xfId="14" applyNumberFormat="1" applyFont="1" applyBorder="1" applyAlignment="1">
      <alignment horizontal="right"/>
    </xf>
    <xf numFmtId="0" fontId="36" fillId="5" borderId="87" xfId="14" applyFont="1" applyFill="1" applyBorder="1"/>
    <xf numFmtId="165" fontId="36" fillId="5" borderId="88" xfId="14" applyNumberFormat="1" applyFont="1" applyFill="1" applyBorder="1"/>
    <xf numFmtId="0" fontId="46" fillId="0" borderId="0" xfId="14" applyFont="1"/>
    <xf numFmtId="0" fontId="39" fillId="2" borderId="90" xfId="14" applyFont="1" applyFill="1" applyBorder="1" applyAlignment="1">
      <alignment horizontal="right"/>
    </xf>
    <xf numFmtId="164" fontId="24" fillId="0" borderId="91" xfId="14" applyNumberFormat="1" applyFont="1" applyBorder="1" applyAlignment="1">
      <alignment horizontal="right"/>
    </xf>
    <xf numFmtId="165" fontId="36" fillId="5" borderId="92" xfId="14" applyNumberFormat="1" applyFont="1" applyFill="1" applyBorder="1"/>
    <xf numFmtId="164" fontId="12" fillId="0" borderId="94" xfId="14" applyNumberFormat="1" applyFont="1" applyBorder="1" applyAlignment="1">
      <alignment horizontal="right"/>
    </xf>
    <xf numFmtId="165" fontId="7" fillId="0" borderId="0" xfId="17" applyNumberFormat="1" applyFont="1" applyBorder="1"/>
    <xf numFmtId="0" fontId="9" fillId="5" borderId="69" xfId="0" applyFont="1" applyFill="1" applyBorder="1"/>
    <xf numFmtId="0" fontId="9" fillId="5" borderId="70" xfId="0" applyFont="1" applyFill="1" applyBorder="1"/>
    <xf numFmtId="164" fontId="9" fillId="5" borderId="71" xfId="0" applyNumberFormat="1" applyFont="1" applyFill="1" applyBorder="1"/>
    <xf numFmtId="0" fontId="12" fillId="5" borderId="3" xfId="23" applyFont="1" applyFill="1" applyBorder="1" applyAlignment="1">
      <alignment horizontal="centerContinuous" vertical="center" wrapText="1"/>
    </xf>
    <xf numFmtId="164" fontId="12" fillId="5" borderId="3" xfId="23" applyNumberFormat="1" applyFont="1" applyFill="1" applyBorder="1" applyAlignment="1">
      <alignment horizontal="centerContinuous" vertical="center" wrapText="1"/>
    </xf>
    <xf numFmtId="164" fontId="12" fillId="5" borderId="30" xfId="23" applyNumberFormat="1" applyFont="1" applyFill="1" applyBorder="1" applyAlignment="1">
      <alignment horizontal="centerContinuous" vertical="center" wrapText="1"/>
    </xf>
    <xf numFmtId="0" fontId="17" fillId="5" borderId="1" xfId="23" applyFont="1" applyFill="1" applyBorder="1" applyAlignment="1">
      <alignment horizontal="centerContinuous" vertical="center" wrapText="1"/>
    </xf>
    <xf numFmtId="164" fontId="7" fillId="0" borderId="30" xfId="23" applyNumberFormat="1" applyFont="1" applyBorder="1" applyAlignment="1">
      <alignment horizontal="right"/>
    </xf>
    <xf numFmtId="0" fontId="7" fillId="0" borderId="1" xfId="23" applyFont="1" applyBorder="1" applyAlignment="1">
      <alignment horizontal="right"/>
    </xf>
    <xf numFmtId="0" fontId="7" fillId="0" borderId="3" xfId="23" applyFont="1" applyBorder="1"/>
    <xf numFmtId="164" fontId="7" fillId="0" borderId="3" xfId="23" applyNumberFormat="1" applyFont="1" applyBorder="1"/>
    <xf numFmtId="0" fontId="7" fillId="0" borderId="1" xfId="23" applyFont="1" applyBorder="1"/>
    <xf numFmtId="0" fontId="7" fillId="0" borderId="7" xfId="0" applyFont="1" applyBorder="1" applyAlignment="1">
      <alignment horizontal="centerContinuous" wrapText="1"/>
    </xf>
    <xf numFmtId="0" fontId="0" fillId="0" borderId="2" xfId="0" applyFill="1" applyBorder="1" applyAlignment="1">
      <alignment horizontal="center"/>
    </xf>
    <xf numFmtId="164" fontId="39" fillId="0" borderId="18" xfId="14" applyNumberFormat="1" applyFont="1" applyBorder="1" applyAlignment="1">
      <alignment horizontal="right"/>
    </xf>
    <xf numFmtId="0" fontId="46" fillId="0" borderId="3" xfId="13" applyFont="1" applyBorder="1"/>
    <xf numFmtId="0" fontId="36" fillId="0" borderId="33" xfId="9" applyFont="1" applyBorder="1"/>
    <xf numFmtId="0" fontId="36" fillId="0" borderId="5" xfId="13" applyFont="1" applyBorder="1" applyAlignment="1">
      <alignment horizontal="center"/>
    </xf>
    <xf numFmtId="0" fontId="36" fillId="0" borderId="5" xfId="25" applyFont="1" applyBorder="1" applyAlignment="1">
      <alignment horizontal="center"/>
    </xf>
    <xf numFmtId="0" fontId="46" fillId="2" borderId="3" xfId="13" applyFont="1" applyFill="1" applyBorder="1"/>
    <xf numFmtId="0" fontId="36" fillId="0" borderId="35" xfId="25" applyFont="1" applyBorder="1"/>
    <xf numFmtId="0" fontId="36" fillId="0" borderId="7" xfId="13" applyFont="1" applyBorder="1" applyAlignment="1">
      <alignment horizontal="center"/>
    </xf>
    <xf numFmtId="0" fontId="36" fillId="5" borderId="35" xfId="0" applyFont="1" applyFill="1" applyBorder="1"/>
    <xf numFmtId="0" fontId="46" fillId="0" borderId="35" xfId="9" applyFont="1" applyBorder="1"/>
    <xf numFmtId="0" fontId="46" fillId="0" borderId="35" xfId="9" applyFont="1" applyBorder="1" applyAlignment="1">
      <alignment horizontal="right"/>
    </xf>
    <xf numFmtId="0" fontId="46" fillId="0" borderId="35" xfId="9" applyFont="1" applyBorder="1" applyAlignment="1">
      <alignment wrapText="1"/>
    </xf>
    <xf numFmtId="0" fontId="46" fillId="0" borderId="35" xfId="9" applyFont="1" applyBorder="1" applyAlignment="1">
      <alignment horizontal="left"/>
    </xf>
    <xf numFmtId="0" fontId="36" fillId="0" borderId="95" xfId="9" applyFont="1" applyBorder="1" applyAlignment="1">
      <alignment horizontal="right"/>
    </xf>
    <xf numFmtId="0" fontId="46" fillId="0" borderId="45" xfId="13" applyFont="1" applyBorder="1"/>
    <xf numFmtId="0" fontId="36" fillId="0" borderId="96" xfId="9" applyFont="1" applyBorder="1" applyAlignment="1">
      <alignment horizontal="right"/>
    </xf>
    <xf numFmtId="0" fontId="9" fillId="5" borderId="63" xfId="0" applyFont="1" applyFill="1" applyBorder="1"/>
    <xf numFmtId="0" fontId="9" fillId="5" borderId="64" xfId="0" applyFont="1" applyFill="1" applyBorder="1"/>
    <xf numFmtId="0" fontId="9" fillId="5" borderId="17" xfId="0" applyFont="1" applyFill="1" applyBorder="1"/>
    <xf numFmtId="0" fontId="36" fillId="0" borderId="97" xfId="9" applyFont="1" applyBorder="1" applyAlignment="1">
      <alignment horizontal="right"/>
    </xf>
    <xf numFmtId="0" fontId="36" fillId="0" borderId="24" xfId="9" applyFont="1" applyBorder="1"/>
    <xf numFmtId="0" fontId="39" fillId="0" borderId="0" xfId="14" applyFont="1" applyFill="1" applyBorder="1" applyAlignment="1">
      <alignment horizontal="right"/>
    </xf>
    <xf numFmtId="165" fontId="39" fillId="0" borderId="0" xfId="14" applyNumberFormat="1" applyFont="1" applyFill="1" applyBorder="1"/>
    <xf numFmtId="164" fontId="39" fillId="0" borderId="0" xfId="14" applyNumberFormat="1" applyFont="1" applyFill="1" applyBorder="1" applyAlignment="1">
      <alignment horizontal="right"/>
    </xf>
    <xf numFmtId="0" fontId="2" fillId="0" borderId="0" xfId="14" applyFont="1" applyFill="1" applyBorder="1" applyAlignment="1">
      <alignment horizontal="right"/>
    </xf>
    <xf numFmtId="164" fontId="12" fillId="0" borderId="0" xfId="14" applyNumberFormat="1" applyFont="1" applyFill="1" applyBorder="1" applyAlignment="1">
      <alignment horizontal="right"/>
    </xf>
    <xf numFmtId="0" fontId="7" fillId="0" borderId="0" xfId="14" applyFont="1" applyFill="1" applyBorder="1"/>
    <xf numFmtId="0" fontId="2" fillId="0" borderId="0" xfId="14" applyFont="1" applyFill="1" applyBorder="1" applyAlignment="1">
      <alignment horizontal="left"/>
    </xf>
    <xf numFmtId="0" fontId="47" fillId="8" borderId="5" xfId="13" applyFont="1" applyFill="1" applyBorder="1" applyAlignment="1">
      <alignment horizontal="center"/>
    </xf>
    <xf numFmtId="0" fontId="46" fillId="0" borderId="3" xfId="9" applyFont="1" applyBorder="1"/>
    <xf numFmtId="0" fontId="36" fillId="0" borderId="3" xfId="13" applyFont="1" applyBorder="1"/>
    <xf numFmtId="0" fontId="36" fillId="0" borderId="51" xfId="13" applyFont="1" applyBorder="1"/>
    <xf numFmtId="0" fontId="36" fillId="0" borderId="15" xfId="13" applyFont="1" applyBorder="1"/>
    <xf numFmtId="0" fontId="36" fillId="0" borderId="98" xfId="13" applyFont="1" applyBorder="1"/>
    <xf numFmtId="0" fontId="36" fillId="0" borderId="15" xfId="9" applyFont="1" applyBorder="1"/>
    <xf numFmtId="0" fontId="36" fillId="0" borderId="16" xfId="13" applyFont="1" applyBorder="1"/>
    <xf numFmtId="0" fontId="36" fillId="0" borderId="38" xfId="13" applyFont="1" applyBorder="1"/>
    <xf numFmtId="0" fontId="36" fillId="0" borderId="47" xfId="13" applyFont="1" applyBorder="1"/>
    <xf numFmtId="0" fontId="36" fillId="0" borderId="36" xfId="9" applyFont="1" applyBorder="1"/>
    <xf numFmtId="0" fontId="36" fillId="0" borderId="29" xfId="13" applyFont="1" applyBorder="1"/>
    <xf numFmtId="0" fontId="2" fillId="0" borderId="0" xfId="14" applyFont="1" applyAlignment="1">
      <alignment horizontal="left"/>
    </xf>
    <xf numFmtId="0" fontId="12" fillId="0" borderId="52" xfId="14" applyFont="1" applyBorder="1" applyAlignment="1">
      <alignment horizontal="centerContinuous" vertical="center" wrapText="1"/>
    </xf>
    <xf numFmtId="164" fontId="39" fillId="0" borderId="74" xfId="14" applyNumberFormat="1" applyFont="1" applyBorder="1" applyAlignment="1">
      <alignment horizontal="right"/>
    </xf>
    <xf numFmtId="164" fontId="39" fillId="0" borderId="52" xfId="14" applyNumberFormat="1" applyFont="1" applyBorder="1" applyAlignment="1">
      <alignment horizontal="right"/>
    </xf>
    <xf numFmtId="164" fontId="36" fillId="0" borderId="86" xfId="14" applyNumberFormat="1" applyFont="1" applyBorder="1" applyAlignment="1">
      <alignment horizontal="right"/>
    </xf>
    <xf numFmtId="164" fontId="9" fillId="5" borderId="86" xfId="0" applyNumberFormat="1" applyFont="1" applyFill="1" applyBorder="1"/>
    <xf numFmtId="0" fontId="7" fillId="0" borderId="0" xfId="17" applyFont="1" applyBorder="1" applyAlignment="1">
      <alignment horizontal="center"/>
    </xf>
    <xf numFmtId="0" fontId="12" fillId="0" borderId="66" xfId="15" applyFont="1" applyBorder="1"/>
    <xf numFmtId="165" fontId="39" fillId="0" borderId="22" xfId="14" applyNumberFormat="1" applyFont="1" applyBorder="1"/>
    <xf numFmtId="165" fontId="7" fillId="0" borderId="18" xfId="14" applyNumberFormat="1" applyFont="1" applyBorder="1"/>
    <xf numFmtId="164" fontId="39" fillId="0" borderId="22" xfId="14" applyNumberFormat="1" applyFont="1" applyBorder="1" applyAlignment="1">
      <alignment horizontal="right"/>
    </xf>
    <xf numFmtId="165" fontId="2" fillId="0" borderId="0" xfId="14" applyNumberFormat="1" applyFont="1" applyAlignment="1">
      <alignment horizontal="left"/>
    </xf>
    <xf numFmtId="0" fontId="48" fillId="0" borderId="0" xfId="3" applyFont="1" applyAlignment="1" applyProtection="1"/>
    <xf numFmtId="0" fontId="7" fillId="0" borderId="3" xfId="12" applyFont="1" applyBorder="1"/>
    <xf numFmtId="0" fontId="12" fillId="0" borderId="100" xfId="15" applyFont="1" applyBorder="1" applyAlignment="1">
      <alignment horizontal="centerContinuous"/>
    </xf>
    <xf numFmtId="0" fontId="19" fillId="5" borderId="68" xfId="15" applyFont="1" applyFill="1" applyBorder="1"/>
    <xf numFmtId="164" fontId="17" fillId="0" borderId="22" xfId="23" applyNumberFormat="1" applyFont="1" applyBorder="1" applyAlignment="1">
      <alignment horizontal="center" vertical="center" wrapText="1"/>
    </xf>
    <xf numFmtId="1" fontId="7" fillId="0" borderId="7" xfId="23" applyNumberFormat="1" applyFont="1" applyBorder="1" applyAlignment="1">
      <alignment horizontal="right"/>
    </xf>
    <xf numFmtId="0" fontId="12" fillId="0" borderId="35" xfId="0" applyFont="1" applyBorder="1"/>
    <xf numFmtId="0" fontId="12" fillId="0" borderId="37" xfId="0" applyFont="1" applyBorder="1" applyAlignment="1">
      <alignment horizontal="center"/>
    </xf>
    <xf numFmtId="0" fontId="12" fillId="0" borderId="0" xfId="0" applyFont="1" applyBorder="1" applyAlignment="1">
      <alignment horizontal="center"/>
    </xf>
    <xf numFmtId="0" fontId="7" fillId="0" borderId="0" xfId="0" applyFont="1" applyFill="1" applyBorder="1"/>
    <xf numFmtId="0" fontId="0" fillId="0" borderId="0" xfId="0" applyBorder="1"/>
    <xf numFmtId="37" fontId="0" fillId="0" borderId="0" xfId="0" applyNumberFormat="1" applyBorder="1"/>
    <xf numFmtId="37" fontId="12" fillId="0" borderId="0" xfId="0" applyNumberFormat="1" applyFont="1" applyBorder="1"/>
    <xf numFmtId="3" fontId="12" fillId="0" borderId="36" xfId="0" applyNumberFormat="1" applyFont="1" applyBorder="1" applyAlignment="1">
      <alignment horizontal="center"/>
    </xf>
    <xf numFmtId="3" fontId="12" fillId="0" borderId="50" xfId="0" applyNumberFormat="1" applyFont="1" applyBorder="1" applyAlignment="1">
      <alignment horizontal="center"/>
    </xf>
    <xf numFmtId="3" fontId="12" fillId="0" borderId="4" xfId="0" applyNumberFormat="1" applyFont="1" applyBorder="1" applyAlignment="1">
      <alignment horizontal="center"/>
    </xf>
    <xf numFmtId="3" fontId="12" fillId="0" borderId="54" xfId="0" applyNumberFormat="1" applyFont="1" applyBorder="1" applyAlignment="1">
      <alignment horizontal="center"/>
    </xf>
    <xf numFmtId="3" fontId="12" fillId="0" borderId="37" xfId="0" applyNumberFormat="1" applyFont="1" applyBorder="1" applyAlignment="1">
      <alignment horizontal="center"/>
    </xf>
    <xf numFmtId="3" fontId="7" fillId="0" borderId="0" xfId="0" applyNumberFormat="1" applyFont="1" applyBorder="1"/>
    <xf numFmtId="0" fontId="7" fillId="0" borderId="0" xfId="0" applyFont="1" applyBorder="1" applyAlignment="1">
      <alignment horizontal="centerContinuous"/>
    </xf>
    <xf numFmtId="0" fontId="7" fillId="0" borderId="0" xfId="0" applyNumberFormat="1" applyFont="1" applyBorder="1" applyAlignment="1">
      <alignment horizontal="centerContinuous"/>
    </xf>
    <xf numFmtId="3" fontId="7" fillId="0" borderId="0" xfId="0" applyNumberFormat="1" applyFont="1" applyBorder="1" applyAlignment="1">
      <alignment horizontal="centerContinuous"/>
    </xf>
    <xf numFmtId="0" fontId="7" fillId="0" borderId="0" xfId="0" applyFont="1" applyBorder="1" applyAlignment="1">
      <alignment horizontal="center"/>
    </xf>
    <xf numFmtId="0" fontId="7" fillId="0" borderId="0" xfId="0" applyFont="1" applyBorder="1" applyAlignment="1">
      <alignment horizontal="left"/>
    </xf>
    <xf numFmtId="2" fontId="12" fillId="0" borderId="33" xfId="19" applyNumberFormat="1" applyFont="1" applyFill="1" applyBorder="1"/>
    <xf numFmtId="0" fontId="12" fillId="0" borderId="45" xfId="0" applyFont="1" applyBorder="1" applyAlignment="1">
      <alignment horizontal="center"/>
    </xf>
    <xf numFmtId="0" fontId="12" fillId="0" borderId="2" xfId="0" applyFont="1" applyBorder="1" applyAlignment="1">
      <alignment horizontal="centerContinuous"/>
    </xf>
    <xf numFmtId="0" fontId="12" fillId="0" borderId="51" xfId="0" applyFont="1" applyFill="1" applyBorder="1" applyAlignment="1">
      <alignment horizontal="center"/>
    </xf>
    <xf numFmtId="0" fontId="29" fillId="5" borderId="6" xfId="0" applyFont="1" applyFill="1" applyBorder="1"/>
    <xf numFmtId="0" fontId="7" fillId="5" borderId="35" xfId="0" applyFont="1" applyFill="1" applyBorder="1"/>
    <xf numFmtId="0" fontId="7" fillId="5" borderId="51" xfId="0" applyFont="1" applyFill="1" applyBorder="1"/>
    <xf numFmtId="164" fontId="7" fillId="0" borderId="51" xfId="26" applyNumberFormat="1" applyFont="1" applyBorder="1"/>
    <xf numFmtId="0" fontId="7" fillId="0" borderId="6" xfId="0" applyFont="1" applyFill="1" applyBorder="1"/>
    <xf numFmtId="0" fontId="7" fillId="0" borderId="5" xfId="0" applyFont="1" applyFill="1" applyBorder="1"/>
    <xf numFmtId="42" fontId="7" fillId="0" borderId="7" xfId="0" applyNumberFormat="1" applyFont="1" applyFill="1" applyBorder="1"/>
    <xf numFmtId="0" fontId="7" fillId="0" borderId="35" xfId="0" applyFont="1" applyFill="1" applyBorder="1"/>
    <xf numFmtId="42" fontId="7" fillId="0" borderId="5" xfId="0" applyNumberFormat="1" applyFont="1" applyFill="1" applyBorder="1"/>
    <xf numFmtId="164" fontId="7" fillId="0" borderId="51" xfId="26" applyNumberFormat="1" applyFont="1" applyFill="1" applyBorder="1"/>
    <xf numFmtId="0" fontId="43" fillId="0" borderId="0" xfId="0" applyNumberFormat="1" applyFont="1" applyFill="1" applyAlignment="1">
      <alignment horizontal="center"/>
    </xf>
    <xf numFmtId="174" fontId="7" fillId="0" borderId="0" xfId="0" applyNumberFormat="1" applyFont="1" applyFill="1"/>
    <xf numFmtId="0" fontId="7" fillId="0" borderId="0" xfId="0" applyNumberFormat="1" applyFont="1" applyFill="1" applyAlignment="1">
      <alignment horizontal="center"/>
    </xf>
    <xf numFmtId="164" fontId="7" fillId="0" borderId="0" xfId="0" applyNumberFormat="1" applyFont="1" applyFill="1"/>
    <xf numFmtId="164" fontId="7" fillId="0" borderId="0" xfId="26" applyNumberFormat="1" applyFont="1" applyFill="1"/>
    <xf numFmtId="42" fontId="12" fillId="0" borderId="5" xfId="0" applyNumberFormat="1" applyFont="1" applyBorder="1"/>
    <xf numFmtId="0" fontId="7" fillId="0" borderId="0" xfId="0" applyNumberFormat="1" applyFont="1" applyAlignment="1">
      <alignment horizontal="center"/>
    </xf>
    <xf numFmtId="164" fontId="7" fillId="0" borderId="0" xfId="26" applyNumberFormat="1" applyFont="1"/>
    <xf numFmtId="177" fontId="7" fillId="0" borderId="0" xfId="2" applyNumberFormat="1" applyFont="1"/>
    <xf numFmtId="0" fontId="30" fillId="0" borderId="6" xfId="0" applyFont="1" applyFill="1" applyBorder="1"/>
    <xf numFmtId="0" fontId="12" fillId="0" borderId="5" xfId="0" applyFont="1" applyFill="1" applyBorder="1"/>
    <xf numFmtId="42" fontId="12" fillId="0" borderId="7" xfId="0" applyNumberFormat="1" applyFont="1" applyFill="1" applyBorder="1"/>
    <xf numFmtId="0" fontId="12" fillId="0" borderId="35" xfId="0" applyFont="1" applyFill="1" applyBorder="1"/>
    <xf numFmtId="42" fontId="12" fillId="0" borderId="5" xfId="0" applyNumberFormat="1" applyFont="1" applyFill="1" applyBorder="1"/>
    <xf numFmtId="0" fontId="12" fillId="0" borderId="63" xfId="0" applyFont="1" applyBorder="1"/>
    <xf numFmtId="42" fontId="12" fillId="0" borderId="64" xfId="0" applyNumberFormat="1" applyFont="1" applyBorder="1"/>
    <xf numFmtId="164" fontId="7" fillId="0" borderId="16" xfId="26" applyNumberFormat="1" applyFont="1" applyBorder="1"/>
    <xf numFmtId="0" fontId="7" fillId="0" borderId="0" xfId="12" applyFont="1" applyFill="1"/>
    <xf numFmtId="0" fontId="12" fillId="0" borderId="3" xfId="12" applyFont="1" applyFill="1" applyBorder="1" applyAlignment="1">
      <alignment horizontal="center"/>
    </xf>
    <xf numFmtId="0" fontId="12" fillId="0" borderId="2" xfId="12" applyFont="1" applyFill="1" applyBorder="1" applyAlignment="1">
      <alignment horizontal="center"/>
    </xf>
    <xf numFmtId="0" fontId="7" fillId="0" borderId="4" xfId="12" applyFont="1" applyFill="1" applyBorder="1" applyAlignment="1">
      <alignment horizontal="left"/>
    </xf>
    <xf numFmtId="0" fontId="7" fillId="0" borderId="5" xfId="12" applyFont="1" applyFill="1" applyBorder="1" applyAlignment="1">
      <alignment horizontal="right"/>
    </xf>
    <xf numFmtId="0" fontId="7" fillId="0" borderId="4" xfId="12" applyFont="1" applyFill="1" applyBorder="1"/>
    <xf numFmtId="0" fontId="7" fillId="0" borderId="5" xfId="12" applyFont="1" applyFill="1" applyBorder="1"/>
    <xf numFmtId="0" fontId="12" fillId="0" borderId="4" xfId="12" applyFont="1" applyFill="1" applyBorder="1"/>
    <xf numFmtId="0" fontId="12" fillId="0" borderId="5" xfId="12" applyFont="1" applyFill="1" applyBorder="1"/>
    <xf numFmtId="165" fontId="2" fillId="0" borderId="0" xfId="14" applyNumberFormat="1" applyFont="1"/>
    <xf numFmtId="0" fontId="46" fillId="0" borderId="0" xfId="0" applyFont="1"/>
    <xf numFmtId="0" fontId="45" fillId="8" borderId="52" xfId="25" applyFont="1" applyFill="1" applyBorder="1" applyAlignment="1">
      <alignment horizontal="center"/>
    </xf>
    <xf numFmtId="0" fontId="36" fillId="0" borderId="33" xfId="25" applyFont="1" applyBorder="1" applyAlignment="1">
      <alignment horizontal="center"/>
    </xf>
    <xf numFmtId="0" fontId="45" fillId="8" borderId="74" xfId="25" applyFont="1" applyFill="1" applyBorder="1" applyAlignment="1">
      <alignment horizontal="center"/>
    </xf>
    <xf numFmtId="0" fontId="46" fillId="5" borderId="4" xfId="0" applyFont="1" applyFill="1" applyBorder="1"/>
    <xf numFmtId="0" fontId="9" fillId="0" borderId="15" xfId="9" applyFont="1" applyBorder="1"/>
    <xf numFmtId="0" fontId="36" fillId="0" borderId="68" xfId="25" applyFont="1" applyBorder="1"/>
    <xf numFmtId="0" fontId="36" fillId="0" borderId="52" xfId="25" applyFont="1" applyBorder="1" applyAlignment="1">
      <alignment horizontal="center" wrapText="1"/>
    </xf>
    <xf numFmtId="0" fontId="46" fillId="0" borderId="4" xfId="9" applyFont="1" applyBorder="1"/>
    <xf numFmtId="0" fontId="36" fillId="0" borderId="102" xfId="9" applyFont="1" applyBorder="1"/>
    <xf numFmtId="0" fontId="9" fillId="5" borderId="21" xfId="0" applyFont="1" applyFill="1" applyBorder="1"/>
    <xf numFmtId="0" fontId="7" fillId="0" borderId="4" xfId="9" applyFont="1" applyFill="1" applyBorder="1"/>
    <xf numFmtId="0" fontId="7" fillId="0" borderId="5" xfId="9" applyFont="1" applyFill="1" applyBorder="1"/>
    <xf numFmtId="0" fontId="42" fillId="0" borderId="0" xfId="0" applyFont="1" applyAlignment="1">
      <alignment horizontal="center"/>
    </xf>
    <xf numFmtId="0" fontId="7" fillId="0" borderId="4" xfId="23" applyFont="1" applyBorder="1" applyAlignment="1">
      <alignment horizontal="right"/>
    </xf>
    <xf numFmtId="164" fontId="7" fillId="0" borderId="4" xfId="23" applyNumberFormat="1" applyFont="1" applyBorder="1" applyAlignment="1">
      <alignment horizontal="right"/>
    </xf>
    <xf numFmtId="0" fontId="7" fillId="0" borderId="6" xfId="23" applyFont="1" applyBorder="1" applyAlignment="1">
      <alignment horizontal="right"/>
    </xf>
    <xf numFmtId="0" fontId="7" fillId="0" borderId="21" xfId="23" applyFont="1" applyBorder="1" applyAlignment="1">
      <alignment horizontal="right"/>
    </xf>
    <xf numFmtId="164" fontId="7" fillId="0" borderId="21" xfId="23" applyNumberFormat="1" applyFont="1" applyBorder="1" applyAlignment="1">
      <alignment horizontal="right"/>
    </xf>
    <xf numFmtId="0" fontId="12" fillId="0" borderId="51" xfId="14" applyFont="1" applyBorder="1" applyAlignment="1">
      <alignment horizontal="centerContinuous" vertical="center" wrapText="1"/>
    </xf>
    <xf numFmtId="0" fontId="12" fillId="0" borderId="52" xfId="14" applyFont="1" applyBorder="1" applyAlignment="1">
      <alignment horizontal="center" vertical="center" wrapText="1"/>
    </xf>
    <xf numFmtId="0" fontId="2" fillId="0" borderId="0" xfId="14" applyFont="1" applyBorder="1"/>
    <xf numFmtId="0" fontId="12" fillId="0" borderId="4" xfId="14" applyFont="1" applyBorder="1" applyAlignment="1">
      <alignment horizontal="center" vertical="center" wrapText="1"/>
    </xf>
    <xf numFmtId="165" fontId="7" fillId="0" borderId="45" xfId="14" applyNumberFormat="1" applyFont="1" applyBorder="1"/>
    <xf numFmtId="0" fontId="7" fillId="5" borderId="4" xfId="12" applyFont="1" applyFill="1" applyBorder="1"/>
    <xf numFmtId="0" fontId="7" fillId="5" borderId="5" xfId="12" applyFont="1" applyFill="1" applyBorder="1"/>
    <xf numFmtId="0" fontId="12" fillId="5" borderId="4" xfId="12" applyFont="1" applyFill="1" applyBorder="1" applyAlignment="1">
      <alignment horizontal="center"/>
    </xf>
    <xf numFmtId="0" fontId="12" fillId="5" borderId="5" xfId="12" applyFont="1" applyFill="1" applyBorder="1" applyAlignment="1">
      <alignment horizontal="center"/>
    </xf>
    <xf numFmtId="0" fontId="0" fillId="4" borderId="0" xfId="0" applyFill="1"/>
    <xf numFmtId="0" fontId="12" fillId="0" borderId="58" xfId="15" applyFont="1" applyBorder="1" applyAlignment="1">
      <alignment horizontal="centerContinuous"/>
    </xf>
    <xf numFmtId="0" fontId="12" fillId="0" borderId="6" xfId="15" applyFont="1" applyBorder="1" applyAlignment="1">
      <alignment horizontal="centerContinuous" wrapText="1"/>
    </xf>
    <xf numFmtId="0" fontId="18" fillId="5" borderId="6" xfId="15" applyFont="1" applyFill="1" applyBorder="1" applyAlignment="1">
      <alignment horizontal="left" wrapText="1"/>
    </xf>
    <xf numFmtId="0" fontId="18" fillId="4" borderId="6" xfId="15" applyFont="1" applyFill="1" applyBorder="1" applyAlignment="1">
      <alignment horizontal="left"/>
    </xf>
    <xf numFmtId="0" fontId="18" fillId="5" borderId="13" xfId="15" applyFont="1" applyFill="1" applyBorder="1" applyAlignment="1">
      <alignment horizontal="left" wrapText="1"/>
    </xf>
    <xf numFmtId="0" fontId="20" fillId="5" borderId="64" xfId="15" applyFont="1" applyFill="1" applyBorder="1"/>
    <xf numFmtId="0" fontId="20" fillId="5" borderId="17" xfId="15" applyFont="1" applyFill="1" applyBorder="1"/>
    <xf numFmtId="0" fontId="20" fillId="5" borderId="21" xfId="15" applyFont="1" applyFill="1" applyBorder="1"/>
    <xf numFmtId="0" fontId="20" fillId="5" borderId="103" xfId="15" applyFont="1" applyFill="1" applyBorder="1"/>
    <xf numFmtId="0" fontId="12" fillId="0" borderId="75" xfId="15" applyFont="1" applyBorder="1" applyAlignment="1">
      <alignment horizontal="centerContinuous"/>
    </xf>
    <xf numFmtId="0" fontId="12" fillId="0" borderId="18" xfId="15" applyFont="1" applyBorder="1" applyAlignment="1">
      <alignment horizontal="centerContinuous"/>
    </xf>
    <xf numFmtId="0" fontId="49" fillId="8" borderId="5" xfId="13" applyFont="1" applyFill="1" applyBorder="1" applyAlignment="1">
      <alignment horizontal="center"/>
    </xf>
    <xf numFmtId="0" fontId="7" fillId="0" borderId="3" xfId="9" applyNumberFormat="1" applyFont="1" applyBorder="1"/>
    <xf numFmtId="0" fontId="12" fillId="0" borderId="5" xfId="9" applyFont="1" applyFill="1" applyBorder="1"/>
    <xf numFmtId="0" fontId="12" fillId="5" borderId="5" xfId="9" applyFont="1" applyFill="1" applyBorder="1"/>
    <xf numFmtId="164" fontId="36" fillId="5" borderId="92" xfId="14" applyNumberFormat="1" applyFont="1" applyFill="1" applyBorder="1" applyAlignment="1">
      <alignment horizontal="right"/>
    </xf>
    <xf numFmtId="164" fontId="36" fillId="0" borderId="22" xfId="14" applyNumberFormat="1" applyFont="1" applyBorder="1" applyAlignment="1">
      <alignment horizontal="right"/>
    </xf>
    <xf numFmtId="0" fontId="46" fillId="0" borderId="68" xfId="0" applyFont="1" applyFill="1" applyBorder="1"/>
    <xf numFmtId="0" fontId="46" fillId="0" borderId="45" xfId="9" applyFont="1" applyBorder="1"/>
    <xf numFmtId="0" fontId="46" fillId="0" borderId="45" xfId="9" applyFont="1" applyBorder="1" applyAlignment="1">
      <alignment horizontal="right"/>
    </xf>
    <xf numFmtId="0" fontId="46" fillId="0" borderId="45" xfId="9" applyFont="1" applyBorder="1" applyAlignment="1">
      <alignment wrapText="1"/>
    </xf>
    <xf numFmtId="0" fontId="46" fillId="0" borderId="45" xfId="9" applyFont="1" applyBorder="1" applyAlignment="1">
      <alignment horizontal="left"/>
    </xf>
    <xf numFmtId="0" fontId="12" fillId="5" borderId="106" xfId="14" applyFont="1" applyFill="1" applyBorder="1"/>
    <xf numFmtId="0" fontId="2" fillId="0" borderId="0" xfId="14" applyFont="1" applyFill="1"/>
    <xf numFmtId="165" fontId="39" fillId="0" borderId="78" xfId="14" applyNumberFormat="1" applyFont="1" applyBorder="1"/>
    <xf numFmtId="165" fontId="39" fillId="0" borderId="77" xfId="14" applyNumberFormat="1" applyFont="1" applyBorder="1"/>
    <xf numFmtId="164" fontId="39" fillId="0" borderId="80" xfId="14" applyNumberFormat="1" applyFont="1" applyBorder="1" applyAlignment="1">
      <alignment horizontal="right"/>
    </xf>
    <xf numFmtId="165" fontId="39" fillId="0" borderId="99" xfId="14" applyNumberFormat="1" applyFont="1" applyBorder="1"/>
    <xf numFmtId="164" fontId="39" fillId="0" borderId="109" xfId="14" applyNumberFormat="1" applyFont="1" applyBorder="1" applyAlignment="1">
      <alignment horizontal="right"/>
    </xf>
    <xf numFmtId="0" fontId="12" fillId="0" borderId="2" xfId="0" applyFont="1" applyFill="1" applyBorder="1" applyAlignment="1">
      <alignment horizontal="center" vertical="center" wrapText="1"/>
    </xf>
    <xf numFmtId="0" fontId="0" fillId="0" borderId="5" xfId="0" applyFill="1" applyBorder="1"/>
    <xf numFmtId="164" fontId="0" fillId="0" borderId="5" xfId="0" applyNumberFormat="1" applyFill="1" applyBorder="1" applyAlignment="1">
      <alignment horizontal="right"/>
    </xf>
    <xf numFmtId="0" fontId="12" fillId="0" borderId="0" xfId="0" applyFont="1" applyFill="1" applyAlignment="1">
      <alignment horizontal="center" vertical="center" textRotation="90" wrapText="1"/>
    </xf>
    <xf numFmtId="164" fontId="0" fillId="0" borderId="0" xfId="0" applyNumberFormat="1" applyFill="1"/>
    <xf numFmtId="164" fontId="7" fillId="0" borderId="5" xfId="0" applyNumberFormat="1" applyFont="1" applyFill="1" applyBorder="1"/>
    <xf numFmtId="0" fontId="36" fillId="0" borderId="78" xfId="9" applyFont="1" applyBorder="1"/>
    <xf numFmtId="0" fontId="36" fillId="0" borderId="63" xfId="9" applyFont="1" applyBorder="1" applyAlignment="1">
      <alignment horizontal="right"/>
    </xf>
    <xf numFmtId="0" fontId="12" fillId="0" borderId="57" xfId="0" applyFont="1" applyBorder="1" applyAlignment="1">
      <alignment horizontal="centerContinuous" vertical="center" wrapText="1"/>
    </xf>
    <xf numFmtId="0" fontId="12" fillId="0" borderId="110" xfId="0" applyFont="1" applyBorder="1" applyAlignment="1">
      <alignment horizontal="center" vertical="center" wrapText="1"/>
    </xf>
    <xf numFmtId="0" fontId="12" fillId="0" borderId="110" xfId="0" applyFont="1" applyBorder="1" applyAlignment="1">
      <alignment horizontal="centerContinuous" vertical="center" wrapText="1"/>
    </xf>
    <xf numFmtId="0" fontId="12" fillId="0" borderId="58" xfId="0" applyFont="1" applyBorder="1" applyAlignment="1">
      <alignment horizontal="center" vertical="center" wrapText="1"/>
    </xf>
    <xf numFmtId="0" fontId="12" fillId="0" borderId="58" xfId="0" applyFont="1" applyBorder="1" applyAlignment="1">
      <alignment horizontal="centerContinuous" vertical="center" wrapText="1"/>
    </xf>
    <xf numFmtId="0" fontId="7" fillId="0" borderId="13" xfId="0" applyFont="1" applyBorder="1" applyAlignment="1">
      <alignment horizontal="center"/>
    </xf>
    <xf numFmtId="0" fontId="7" fillId="0" borderId="64" xfId="0" applyFont="1" applyBorder="1" applyAlignment="1">
      <alignment horizontal="right"/>
    </xf>
    <xf numFmtId="164" fontId="7" fillId="0" borderId="17" xfId="0" applyNumberFormat="1" applyFont="1" applyBorder="1" applyAlignment="1">
      <alignment horizontal="right"/>
    </xf>
    <xf numFmtId="0" fontId="7" fillId="5" borderId="45" xfId="24" applyFont="1" applyFill="1" applyBorder="1" applyAlignment="1">
      <alignment horizontal="right"/>
    </xf>
    <xf numFmtId="164" fontId="7" fillId="5" borderId="0" xfId="24" applyNumberFormat="1" applyFont="1" applyFill="1" applyBorder="1" applyAlignment="1">
      <alignment horizontal="right"/>
    </xf>
    <xf numFmtId="0" fontId="7" fillId="5" borderId="1" xfId="24" applyFont="1" applyFill="1" applyBorder="1" applyAlignment="1">
      <alignment horizontal="right"/>
    </xf>
    <xf numFmtId="164" fontId="7" fillId="0" borderId="31" xfId="24" applyNumberFormat="1" applyFont="1" applyBorder="1" applyAlignment="1">
      <alignment horizontal="right"/>
    </xf>
    <xf numFmtId="0" fontId="7" fillId="0" borderId="1" xfId="1" applyNumberFormat="1" applyFont="1" applyBorder="1" applyAlignment="1">
      <alignment horizontal="right"/>
    </xf>
    <xf numFmtId="164" fontId="7" fillId="5" borderId="3" xfId="24" applyNumberFormat="1" applyFont="1" applyFill="1" applyBorder="1" applyAlignment="1">
      <alignment horizontal="right"/>
    </xf>
    <xf numFmtId="0" fontId="7" fillId="5" borderId="3" xfId="24" applyFont="1" applyFill="1" applyBorder="1" applyAlignment="1">
      <alignment horizontal="right"/>
    </xf>
    <xf numFmtId="0" fontId="7" fillId="2" borderId="3" xfId="24" applyFont="1" applyFill="1" applyBorder="1" applyAlignment="1">
      <alignment horizontal="right"/>
    </xf>
    <xf numFmtId="164" fontId="12" fillId="0" borderId="111" xfId="24" applyNumberFormat="1" applyFont="1" applyBorder="1" applyAlignment="1">
      <alignment horizontal="center" vertical="center" wrapText="1"/>
    </xf>
    <xf numFmtId="0" fontId="12" fillId="0" borderId="23" xfId="24" applyFont="1" applyBorder="1" applyAlignment="1">
      <alignment horizontal="center" vertical="top"/>
    </xf>
    <xf numFmtId="164" fontId="7" fillId="5" borderId="31" xfId="24" applyNumberFormat="1" applyFont="1" applyFill="1" applyBorder="1" applyAlignment="1">
      <alignment horizontal="right"/>
    </xf>
    <xf numFmtId="0" fontId="7" fillId="5" borderId="6" xfId="24" applyFont="1" applyFill="1" applyBorder="1" applyAlignment="1">
      <alignment horizontal="right"/>
    </xf>
    <xf numFmtId="0" fontId="7" fillId="5" borderId="60" xfId="24" applyFont="1" applyFill="1" applyBorder="1" applyAlignment="1">
      <alignment horizontal="right"/>
    </xf>
    <xf numFmtId="0" fontId="7" fillId="2" borderId="97" xfId="24" applyFont="1" applyFill="1" applyBorder="1" applyAlignment="1">
      <alignment horizontal="right"/>
    </xf>
    <xf numFmtId="0" fontId="7" fillId="0" borderId="6" xfId="0" applyFont="1" applyFill="1" applyBorder="1" applyAlignment="1">
      <alignment horizontal="center"/>
    </xf>
    <xf numFmtId="0" fontId="7" fillId="0" borderId="7" xfId="0" applyFont="1" applyFill="1" applyBorder="1" applyAlignment="1">
      <alignment horizontal="center"/>
    </xf>
    <xf numFmtId="0" fontId="7" fillId="0" borderId="5" xfId="0" applyFont="1" applyFill="1" applyBorder="1" applyAlignment="1">
      <alignment horizontal="right"/>
    </xf>
    <xf numFmtId="0" fontId="7" fillId="0" borderId="7" xfId="0" applyFont="1" applyFill="1" applyBorder="1" applyAlignment="1">
      <alignment horizontal="right"/>
    </xf>
    <xf numFmtId="0" fontId="52" fillId="0" borderId="0" xfId="0" applyFont="1"/>
    <xf numFmtId="0" fontId="7" fillId="0" borderId="0" xfId="23" applyFont="1" applyBorder="1"/>
    <xf numFmtId="0" fontId="7" fillId="0" borderId="63" xfId="23" applyFont="1" applyBorder="1" applyAlignment="1">
      <alignment horizontal="right"/>
    </xf>
    <xf numFmtId="0" fontId="7" fillId="0" borderId="2" xfId="23" applyFont="1" applyBorder="1"/>
    <xf numFmtId="0" fontId="12" fillId="5" borderId="1" xfId="23" applyFont="1" applyFill="1" applyBorder="1" applyAlignment="1">
      <alignment horizontal="center" vertical="center"/>
    </xf>
    <xf numFmtId="0" fontId="7" fillId="0" borderId="6" xfId="23" applyFont="1" applyBorder="1" applyAlignment="1">
      <alignment horizontal="centerContinuous"/>
    </xf>
    <xf numFmtId="0" fontId="7" fillId="0" borderId="1" xfId="23" applyFont="1" applyBorder="1" applyAlignment="1">
      <alignment horizontal="center"/>
    </xf>
    <xf numFmtId="164" fontId="17" fillId="0" borderId="37" xfId="23" applyNumberFormat="1" applyFont="1" applyBorder="1" applyAlignment="1">
      <alignment horizontal="center" vertical="center" wrapText="1"/>
    </xf>
    <xf numFmtId="164" fontId="12" fillId="5" borderId="31" xfId="23" applyNumberFormat="1" applyFont="1" applyFill="1" applyBorder="1" applyAlignment="1">
      <alignment horizontal="centerContinuous" vertical="center" wrapText="1"/>
    </xf>
    <xf numFmtId="164" fontId="7" fillId="0" borderId="31" xfId="23" applyNumberFormat="1" applyFont="1" applyBorder="1" applyAlignment="1">
      <alignment horizontal="right"/>
    </xf>
    <xf numFmtId="164" fontId="7" fillId="0" borderId="31" xfId="23" applyNumberFormat="1" applyFont="1" applyBorder="1"/>
    <xf numFmtId="164" fontId="7" fillId="0" borderId="44" xfId="23" applyNumberFormat="1" applyFont="1" applyBorder="1" applyAlignment="1">
      <alignment horizontal="right"/>
    </xf>
    <xf numFmtId="0" fontId="17" fillId="0" borderId="3" xfId="23" applyFont="1" applyBorder="1" applyAlignment="1">
      <alignment horizontal="center" vertical="center"/>
    </xf>
    <xf numFmtId="0" fontId="17" fillId="0" borderId="61" xfId="23" applyFont="1" applyBorder="1" applyAlignment="1">
      <alignment horizontal="centerContinuous" vertical="center" wrapText="1"/>
    </xf>
    <xf numFmtId="0" fontId="19" fillId="5" borderId="66" xfId="15" applyFont="1" applyFill="1" applyBorder="1"/>
    <xf numFmtId="0" fontId="46" fillId="0" borderId="68" xfId="9" applyFont="1" applyFill="1" applyBorder="1"/>
    <xf numFmtId="164" fontId="36" fillId="0" borderId="52" xfId="14" applyNumberFormat="1" applyFont="1" applyFill="1" applyBorder="1" applyAlignment="1">
      <alignment horizontal="right"/>
    </xf>
    <xf numFmtId="0" fontId="7" fillId="0" borderId="0" xfId="18" applyFont="1" applyFill="1" applyBorder="1"/>
    <xf numFmtId="164" fontId="7" fillId="0" borderId="0" xfId="18" applyNumberFormat="1" applyFont="1" applyFill="1" applyBorder="1"/>
    <xf numFmtId="9" fontId="7" fillId="0" borderId="0" xfId="18" applyNumberFormat="1" applyFont="1" applyFill="1" applyBorder="1"/>
    <xf numFmtId="165" fontId="7" fillId="0" borderId="35" xfId="14" applyNumberFormat="1" applyFont="1" applyBorder="1"/>
    <xf numFmtId="165" fontId="24" fillId="0" borderId="109" xfId="14" applyNumberFormat="1" applyFont="1" applyBorder="1"/>
    <xf numFmtId="165" fontId="24" fillId="0" borderId="99" xfId="14" applyNumberFormat="1" applyFont="1" applyBorder="1"/>
    <xf numFmtId="0" fontId="3" fillId="0" borderId="0" xfId="8" applyFont="1"/>
    <xf numFmtId="0" fontId="3" fillId="0" borderId="0" xfId="8" applyFont="1" applyAlignment="1">
      <alignment horizontal="centerContinuous"/>
    </xf>
    <xf numFmtId="0" fontId="3" fillId="0" borderId="0" xfId="8" applyFont="1" applyBorder="1"/>
    <xf numFmtId="0" fontId="12" fillId="5" borderId="35" xfId="8" applyFont="1" applyFill="1" applyBorder="1"/>
    <xf numFmtId="0" fontId="3" fillId="5" borderId="5" xfId="8" applyFont="1" applyFill="1" applyBorder="1"/>
    <xf numFmtId="0" fontId="3" fillId="5" borderId="4" xfId="8" applyFont="1" applyFill="1" applyBorder="1"/>
    <xf numFmtId="0" fontId="3" fillId="0" borderId="35" xfId="8" applyFont="1" applyBorder="1" applyAlignment="1">
      <alignment horizontal="center"/>
    </xf>
    <xf numFmtId="0" fontId="3" fillId="0" borderId="4" xfId="8" applyFont="1" applyBorder="1"/>
    <xf numFmtId="165" fontId="3" fillId="0" borderId="0" xfId="26" applyNumberFormat="1" applyFont="1"/>
    <xf numFmtId="0" fontId="3" fillId="0" borderId="33" xfId="8" applyFont="1" applyBorder="1"/>
    <xf numFmtId="0" fontId="3" fillId="0" borderId="36" xfId="8" applyFont="1" applyBorder="1"/>
    <xf numFmtId="0" fontId="3" fillId="0" borderId="0" xfId="8" applyFont="1" applyFill="1"/>
    <xf numFmtId="0" fontId="12" fillId="0" borderId="75" xfId="8" applyFont="1" applyFill="1" applyBorder="1" applyAlignment="1">
      <alignment horizontal="centerContinuous" vertical="center"/>
    </xf>
    <xf numFmtId="0" fontId="12" fillId="0" borderId="2" xfId="8" applyFont="1" applyFill="1" applyBorder="1" applyAlignment="1">
      <alignment horizontal="centerContinuous" vertical="center" wrapText="1"/>
    </xf>
    <xf numFmtId="0" fontId="12" fillId="0" borderId="18" xfId="8" applyFont="1" applyFill="1" applyBorder="1" applyAlignment="1">
      <alignment horizontal="centerContinuous" vertical="center" wrapText="1"/>
    </xf>
    <xf numFmtId="0" fontId="12" fillId="5" borderId="59" xfId="8" applyFont="1" applyFill="1" applyBorder="1" applyAlignment="1">
      <alignment horizontal="centerContinuous" vertical="center"/>
    </xf>
    <xf numFmtId="0" fontId="12" fillId="5" borderId="5" xfId="8" applyFont="1" applyFill="1" applyBorder="1" applyAlignment="1">
      <alignment horizontal="centerContinuous" vertical="center" wrapText="1"/>
    </xf>
    <xf numFmtId="0" fontId="12" fillId="5" borderId="4" xfId="8" applyFont="1" applyFill="1" applyBorder="1" applyAlignment="1">
      <alignment horizontal="centerContinuous" vertical="center" wrapText="1"/>
    </xf>
    <xf numFmtId="0" fontId="12" fillId="5" borderId="7" xfId="8" applyFont="1" applyFill="1" applyBorder="1" applyAlignment="1">
      <alignment horizontal="centerContinuous" vertical="center" wrapText="1"/>
    </xf>
    <xf numFmtId="0" fontId="3" fillId="0" borderId="59" xfId="8" applyFont="1" applyFill="1" applyBorder="1"/>
    <xf numFmtId="1" fontId="3" fillId="0" borderId="5" xfId="8" applyNumberFormat="1" applyFont="1" applyFill="1" applyBorder="1"/>
    <xf numFmtId="1" fontId="3" fillId="0" borderId="4" xfId="8" applyNumberFormat="1" applyFont="1" applyFill="1" applyBorder="1"/>
    <xf numFmtId="1" fontId="3" fillId="0" borderId="7" xfId="8" applyNumberFormat="1" applyFont="1" applyFill="1" applyBorder="1"/>
    <xf numFmtId="1" fontId="12" fillId="0" borderId="7" xfId="8" applyNumberFormat="1" applyFont="1" applyFill="1" applyBorder="1"/>
    <xf numFmtId="0" fontId="3" fillId="0" borderId="59" xfId="8" applyFont="1" applyFill="1" applyBorder="1" applyAlignment="1">
      <alignment vertical="center"/>
    </xf>
    <xf numFmtId="0" fontId="12" fillId="0" borderId="59" xfId="8" applyFont="1" applyFill="1" applyBorder="1"/>
    <xf numFmtId="1" fontId="12" fillId="0" borderId="5" xfId="8" applyNumberFormat="1" applyFont="1" applyFill="1" applyBorder="1"/>
    <xf numFmtId="1" fontId="12" fillId="0" borderId="4" xfId="8" applyNumberFormat="1" applyFont="1" applyFill="1" applyBorder="1"/>
    <xf numFmtId="1" fontId="12" fillId="0" borderId="1" xfId="8" applyNumberFormat="1" applyFont="1" applyFill="1" applyBorder="1"/>
    <xf numFmtId="0" fontId="16" fillId="0" borderId="0" xfId="8" applyFont="1"/>
    <xf numFmtId="0" fontId="9" fillId="0" borderId="0" xfId="8" applyFont="1" applyFill="1" applyAlignment="1">
      <alignment horizontal="centerContinuous" vertical="center" wrapText="1"/>
    </xf>
    <xf numFmtId="0" fontId="3" fillId="0" borderId="0" xfId="8" applyFont="1" applyFill="1" applyBorder="1"/>
    <xf numFmtId="0" fontId="12" fillId="0" borderId="60" xfId="8" applyFont="1" applyFill="1" applyBorder="1" applyAlignment="1">
      <alignment horizontal="centerContinuous" vertical="center" wrapText="1"/>
    </xf>
    <xf numFmtId="0" fontId="12" fillId="0" borderId="110" xfId="8" applyFont="1" applyFill="1" applyBorder="1" applyAlignment="1">
      <alignment horizontal="centerContinuous" vertical="center" wrapText="1"/>
    </xf>
    <xf numFmtId="0" fontId="12" fillId="0" borderId="62" xfId="8" applyFont="1" applyFill="1" applyBorder="1" applyAlignment="1">
      <alignment horizontal="centerContinuous" vertical="center" wrapText="1"/>
    </xf>
    <xf numFmtId="0" fontId="12" fillId="5" borderId="45" xfId="8" applyFont="1" applyFill="1" applyBorder="1" applyAlignment="1">
      <alignment horizontal="left" wrapText="1"/>
    </xf>
    <xf numFmtId="0" fontId="12" fillId="5" borderId="2" xfId="8" applyFont="1" applyFill="1" applyBorder="1" applyAlignment="1">
      <alignment horizontal="centerContinuous" vertical="center" wrapText="1"/>
    </xf>
    <xf numFmtId="0" fontId="12" fillId="5" borderId="52" xfId="8" applyFont="1" applyFill="1" applyBorder="1" applyAlignment="1">
      <alignment horizontal="centerContinuous" vertical="center" wrapText="1"/>
    </xf>
    <xf numFmtId="0" fontId="3" fillId="0" borderId="35" xfId="8" applyFont="1" applyFill="1" applyBorder="1"/>
    <xf numFmtId="0" fontId="3" fillId="0" borderId="5" xfId="8" applyFont="1" applyFill="1" applyBorder="1"/>
    <xf numFmtId="0" fontId="3" fillId="0" borderId="52" xfId="8" applyFont="1" applyFill="1" applyBorder="1"/>
    <xf numFmtId="0" fontId="12" fillId="0" borderId="63" xfId="8" applyFont="1" applyFill="1" applyBorder="1"/>
    <xf numFmtId="0" fontId="12" fillId="0" borderId="64" xfId="8" applyFont="1" applyFill="1" applyBorder="1"/>
    <xf numFmtId="0" fontId="12" fillId="0" borderId="17" xfId="8" applyFont="1" applyFill="1" applyBorder="1"/>
    <xf numFmtId="0" fontId="16" fillId="0" borderId="0" xfId="8" applyFont="1" applyAlignment="1">
      <alignment horizontal="centerContinuous"/>
    </xf>
    <xf numFmtId="0" fontId="12" fillId="0" borderId="60" xfId="8" applyFont="1" applyBorder="1" applyAlignment="1">
      <alignment horizontal="center"/>
    </xf>
    <xf numFmtId="0" fontId="12" fillId="0" borderId="110" xfId="8" applyFont="1" applyBorder="1" applyAlignment="1">
      <alignment horizontal="center"/>
    </xf>
    <xf numFmtId="0" fontId="12" fillId="0" borderId="58" xfId="8" applyFont="1" applyBorder="1" applyAlignment="1">
      <alignment horizontal="center"/>
    </xf>
    <xf numFmtId="0" fontId="12" fillId="5" borderId="35" xfId="8" applyFont="1" applyFill="1" applyBorder="1" applyAlignment="1">
      <alignment horizontal="center"/>
    </xf>
    <xf numFmtId="0" fontId="12" fillId="5" borderId="4" xfId="8" applyFont="1" applyFill="1" applyBorder="1" applyAlignment="1">
      <alignment horizontal="center"/>
    </xf>
    <xf numFmtId="0" fontId="12" fillId="5" borderId="7" xfId="8" applyFont="1" applyFill="1" applyBorder="1" applyAlignment="1">
      <alignment horizontal="center"/>
    </xf>
    <xf numFmtId="0" fontId="3" fillId="0" borderId="35" xfId="8" applyFont="1" applyBorder="1"/>
    <xf numFmtId="0" fontId="3" fillId="0" borderId="7" xfId="8" applyFont="1" applyBorder="1"/>
    <xf numFmtId="0" fontId="12" fillId="0" borderId="97" xfId="8" applyFont="1" applyBorder="1"/>
    <xf numFmtId="0" fontId="12" fillId="0" borderId="15" xfId="8" applyFont="1" applyBorder="1"/>
    <xf numFmtId="0" fontId="12" fillId="0" borderId="16" xfId="8" applyFont="1" applyBorder="1"/>
    <xf numFmtId="0" fontId="16" fillId="0" borderId="0" xfId="8" applyFont="1" applyBorder="1" applyAlignment="1">
      <alignment horizontal="left" wrapText="1"/>
    </xf>
    <xf numFmtId="0" fontId="3" fillId="0" borderId="22" xfId="8" applyFont="1" applyBorder="1"/>
    <xf numFmtId="0" fontId="12" fillId="0" borderId="3" xfId="8" applyFont="1" applyBorder="1" applyAlignment="1">
      <alignment horizontal="center"/>
    </xf>
    <xf numFmtId="0" fontId="12" fillId="0" borderId="2" xfId="8" applyFont="1" applyBorder="1" applyAlignment="1">
      <alignment horizontal="center"/>
    </xf>
    <xf numFmtId="42" fontId="3" fillId="0" borderId="5" xfId="8" applyNumberFormat="1" applyFont="1" applyBorder="1"/>
    <xf numFmtId="42" fontId="3" fillId="0" borderId="4" xfId="8" applyNumberFormat="1" applyFont="1" applyBorder="1"/>
    <xf numFmtId="0" fontId="3" fillId="0" borderId="3" xfId="8" applyFont="1" applyBorder="1"/>
    <xf numFmtId="42" fontId="3" fillId="0" borderId="2" xfId="8" applyNumberFormat="1" applyFont="1" applyBorder="1"/>
    <xf numFmtId="42" fontId="3" fillId="0" borderId="3" xfId="8" applyNumberFormat="1" applyFont="1" applyBorder="1"/>
    <xf numFmtId="0" fontId="22" fillId="0" borderId="0" xfId="8" applyFont="1" applyAlignment="1">
      <alignment horizontal="centerContinuous" vertical="center" wrapText="1"/>
    </xf>
    <xf numFmtId="0" fontId="3" fillId="0" borderId="0" xfId="8" applyFont="1" applyAlignment="1">
      <alignment horizontal="centerContinuous" vertical="center"/>
    </xf>
    <xf numFmtId="0" fontId="3" fillId="0" borderId="0" xfId="8" applyFont="1" applyAlignment="1"/>
    <xf numFmtId="0" fontId="3" fillId="0" borderId="0" xfId="8" applyFont="1" applyAlignment="1">
      <alignment horizontal="right"/>
    </xf>
    <xf numFmtId="0" fontId="12" fillId="0" borderId="3" xfId="8" applyFont="1" applyBorder="1" applyAlignment="1">
      <alignment horizontal="centerContinuous" vertical="center" wrapText="1"/>
    </xf>
    <xf numFmtId="0" fontId="12" fillId="0" borderId="2" xfId="8" applyFont="1" applyBorder="1" applyAlignment="1">
      <alignment horizontal="centerContinuous" vertical="center" wrapText="1"/>
    </xf>
    <xf numFmtId="0" fontId="3" fillId="0" borderId="50" xfId="8" applyFont="1" applyBorder="1"/>
    <xf numFmtId="0" fontId="12" fillId="5" borderId="5" xfId="8" applyFont="1" applyFill="1" applyBorder="1" applyAlignment="1">
      <alignment horizontal="center"/>
    </xf>
    <xf numFmtId="9" fontId="3" fillId="0" borderId="50" xfId="26" applyFont="1" applyBorder="1"/>
    <xf numFmtId="42" fontId="3" fillId="0" borderId="2" xfId="8" applyNumberFormat="1" applyFont="1" applyBorder="1" applyAlignment="1">
      <alignment horizontal="right"/>
    </xf>
    <xf numFmtId="42" fontId="3" fillId="0" borderId="3" xfId="8" applyNumberFormat="1" applyFont="1" applyBorder="1" applyAlignment="1">
      <alignment horizontal="right"/>
    </xf>
    <xf numFmtId="42" fontId="3" fillId="0" borderId="50" xfId="26" applyNumberFormat="1" applyFont="1" applyBorder="1"/>
    <xf numFmtId="42" fontId="3" fillId="0" borderId="0" xfId="26" applyNumberFormat="1" applyFont="1" applyBorder="1"/>
    <xf numFmtId="0" fontId="16" fillId="0" borderId="0" xfId="8" applyFont="1" applyBorder="1" applyAlignment="1">
      <alignment horizontal="centerContinuous" vertical="center" wrapText="1"/>
    </xf>
    <xf numFmtId="165" fontId="39" fillId="0" borderId="114" xfId="14" applyNumberFormat="1" applyFont="1" applyBorder="1"/>
    <xf numFmtId="0" fontId="11" fillId="0" borderId="0" xfId="0" applyFont="1" applyAlignment="1"/>
    <xf numFmtId="0" fontId="36" fillId="0" borderId="41" xfId="9" applyFont="1" applyBorder="1" applyAlignment="1">
      <alignment horizontal="right"/>
    </xf>
    <xf numFmtId="0" fontId="36" fillId="0" borderId="27" xfId="9" applyFont="1" applyBorder="1"/>
    <xf numFmtId="0" fontId="9" fillId="0" borderId="27" xfId="9" applyFont="1" applyBorder="1"/>
    <xf numFmtId="0" fontId="9" fillId="0" borderId="47" xfId="9" applyFont="1" applyBorder="1"/>
    <xf numFmtId="0" fontId="36" fillId="0" borderId="38" xfId="9" applyFont="1" applyBorder="1"/>
    <xf numFmtId="0" fontId="9" fillId="0" borderId="38" xfId="9" applyFont="1" applyBorder="1"/>
    <xf numFmtId="0" fontId="0" fillId="0" borderId="3" xfId="0" applyBorder="1"/>
    <xf numFmtId="0" fontId="3" fillId="0" borderId="0" xfId="8"/>
    <xf numFmtId="0" fontId="36" fillId="5" borderId="45" xfId="8" applyFont="1" applyFill="1" applyBorder="1"/>
    <xf numFmtId="0" fontId="36" fillId="5" borderId="3" xfId="8" applyFont="1" applyFill="1" applyBorder="1"/>
    <xf numFmtId="0" fontId="46" fillId="5" borderId="3" xfId="8" applyFont="1" applyFill="1" applyBorder="1"/>
    <xf numFmtId="0" fontId="46" fillId="5" borderId="52" xfId="8" applyFont="1" applyFill="1" applyBorder="1"/>
    <xf numFmtId="0" fontId="46" fillId="0" borderId="45" xfId="8" applyFont="1" applyFill="1" applyBorder="1"/>
    <xf numFmtId="0" fontId="46" fillId="0" borderId="3" xfId="8" applyFont="1" applyFill="1" applyBorder="1"/>
    <xf numFmtId="0" fontId="46" fillId="5" borderId="7" xfId="8" applyFont="1" applyFill="1" applyBorder="1"/>
    <xf numFmtId="0" fontId="36" fillId="5" borderId="35" xfId="8" applyFont="1" applyFill="1" applyBorder="1"/>
    <xf numFmtId="0" fontId="36" fillId="5" borderId="5" xfId="8" applyFont="1" applyFill="1" applyBorder="1"/>
    <xf numFmtId="0" fontId="46" fillId="5" borderId="5" xfId="8" applyFont="1" applyFill="1" applyBorder="1"/>
    <xf numFmtId="0" fontId="46" fillId="5" borderId="44" xfId="8" applyFont="1" applyFill="1" applyBorder="1"/>
    <xf numFmtId="0" fontId="36" fillId="5" borderId="2" xfId="8" applyFont="1" applyFill="1" applyBorder="1"/>
    <xf numFmtId="0" fontId="46" fillId="5" borderId="2" xfId="8" applyFont="1" applyFill="1" applyBorder="1"/>
    <xf numFmtId="0" fontId="46" fillId="5" borderId="31" xfId="8" applyFont="1" applyFill="1" applyBorder="1"/>
    <xf numFmtId="0" fontId="46" fillId="5" borderId="18" xfId="8" applyFont="1" applyFill="1" applyBorder="1"/>
    <xf numFmtId="0" fontId="9" fillId="5" borderId="120" xfId="8" applyFont="1" applyFill="1" applyBorder="1"/>
    <xf numFmtId="0" fontId="9" fillId="5" borderId="121" xfId="8" applyFont="1" applyFill="1" applyBorder="1"/>
    <xf numFmtId="0" fontId="9" fillId="5" borderId="118" xfId="8" applyFont="1" applyFill="1" applyBorder="1"/>
    <xf numFmtId="0" fontId="9" fillId="5" borderId="122" xfId="8" applyFont="1" applyFill="1" applyBorder="1"/>
    <xf numFmtId="0" fontId="3" fillId="0" borderId="4" xfId="10" applyFont="1" applyBorder="1"/>
    <xf numFmtId="0" fontId="3" fillId="0" borderId="4" xfId="12" applyFont="1" applyFill="1" applyBorder="1" applyAlignment="1">
      <alignment horizontal="left"/>
    </xf>
    <xf numFmtId="0" fontId="3" fillId="0" borderId="4" xfId="12" applyFont="1" applyFill="1" applyBorder="1"/>
    <xf numFmtId="0" fontId="8" fillId="0" borderId="0" xfId="0" applyFont="1"/>
    <xf numFmtId="0" fontId="46" fillId="0" borderId="4" xfId="13" applyFont="1" applyBorder="1"/>
    <xf numFmtId="0" fontId="3" fillId="0" borderId="4" xfId="9" applyFont="1" applyBorder="1"/>
    <xf numFmtId="0" fontId="3" fillId="0" borderId="0" xfId="0" applyFont="1" applyAlignment="1">
      <alignment horizontal="center"/>
    </xf>
    <xf numFmtId="0" fontId="3" fillId="0" borderId="0" xfId="0" applyFont="1" applyAlignment="1">
      <alignment horizontal="centerContinuous" wrapText="1"/>
    </xf>
    <xf numFmtId="0" fontId="7" fillId="0" borderId="23" xfId="23" applyFont="1" applyBorder="1" applyAlignment="1">
      <alignment horizontal="centerContinuous"/>
    </xf>
    <xf numFmtId="0" fontId="19" fillId="5" borderId="52" xfId="15" applyFont="1" applyFill="1" applyBorder="1"/>
    <xf numFmtId="0" fontId="20" fillId="4" borderId="52" xfId="15" applyFont="1" applyFill="1" applyBorder="1"/>
    <xf numFmtId="0" fontId="19" fillId="5" borderId="51" xfId="15" applyFont="1" applyFill="1" applyBorder="1"/>
    <xf numFmtId="0" fontId="20" fillId="5" borderId="65" xfId="15" applyFont="1" applyFill="1" applyBorder="1"/>
    <xf numFmtId="0" fontId="3" fillId="0" borderId="0" xfId="15" applyFont="1"/>
    <xf numFmtId="0" fontId="3" fillId="0" borderId="0" xfId="15" applyFont="1" applyAlignment="1">
      <alignment horizontal="centerContinuous" vertical="center"/>
    </xf>
    <xf numFmtId="0" fontId="3" fillId="0" borderId="57" xfId="15" applyFont="1" applyBorder="1" applyAlignment="1">
      <alignment horizontal="right"/>
    </xf>
    <xf numFmtId="0" fontId="12" fillId="0" borderId="123" xfId="15" applyFont="1" applyFill="1" applyBorder="1" applyAlignment="1">
      <alignment horizontal="center"/>
    </xf>
    <xf numFmtId="0" fontId="12" fillId="0" borderId="124" xfId="15" applyFont="1" applyFill="1" applyBorder="1" applyAlignment="1">
      <alignment horizontal="centerContinuous"/>
    </xf>
    <xf numFmtId="0" fontId="12" fillId="0" borderId="123" xfId="15" applyFont="1" applyFill="1" applyBorder="1" applyAlignment="1">
      <alignment horizontal="centerContinuous"/>
    </xf>
    <xf numFmtId="0" fontId="12" fillId="0" borderId="125" xfId="15" applyFont="1" applyFill="1" applyBorder="1" applyAlignment="1">
      <alignment horizontal="center"/>
    </xf>
    <xf numFmtId="0" fontId="12" fillId="0" borderId="126" xfId="15" applyFont="1" applyFill="1" applyBorder="1" applyAlignment="1"/>
    <xf numFmtId="0" fontId="12" fillId="0" borderId="123" xfId="15" applyFont="1" applyFill="1" applyBorder="1" applyAlignment="1"/>
    <xf numFmtId="0" fontId="12" fillId="0" borderId="58" xfId="15" applyFont="1" applyFill="1" applyBorder="1" applyAlignment="1"/>
    <xf numFmtId="0" fontId="12" fillId="0" borderId="126" xfId="15" applyFont="1" applyFill="1" applyBorder="1"/>
    <xf numFmtId="0" fontId="12" fillId="0" borderId="58" xfId="15" applyFont="1" applyFill="1" applyBorder="1"/>
    <xf numFmtId="0" fontId="12" fillId="0" borderId="127" xfId="15" applyFont="1" applyFill="1" applyBorder="1"/>
    <xf numFmtId="0" fontId="12" fillId="0" borderId="123" xfId="15" applyFont="1" applyFill="1" applyBorder="1"/>
    <xf numFmtId="0" fontId="3" fillId="0" borderId="1" xfId="15" applyFont="1" applyBorder="1" applyAlignment="1">
      <alignment horizontal="right"/>
    </xf>
    <xf numFmtId="0" fontId="12" fillId="0" borderId="31" xfId="15" applyFont="1" applyFill="1" applyBorder="1" applyAlignment="1">
      <alignment horizontal="centerContinuous"/>
    </xf>
    <xf numFmtId="0" fontId="12" fillId="0" borderId="32" xfId="15" applyFont="1" applyFill="1" applyBorder="1" applyAlignment="1">
      <alignment horizontal="centerContinuous"/>
    </xf>
    <xf numFmtId="0" fontId="12" fillId="0" borderId="30" xfId="15" applyFont="1" applyFill="1" applyBorder="1" applyAlignment="1">
      <alignment horizontal="centerContinuous"/>
    </xf>
    <xf numFmtId="0" fontId="12" fillId="0" borderId="128" xfId="15" applyFont="1" applyFill="1" applyBorder="1" applyAlignment="1">
      <alignment horizontal="centerContinuous"/>
    </xf>
    <xf numFmtId="0" fontId="3" fillId="0" borderId="5" xfId="15" applyFont="1" applyBorder="1" applyAlignment="1">
      <alignment horizontal="center"/>
    </xf>
    <xf numFmtId="0" fontId="3" fillId="0" borderId="7" xfId="15" applyFont="1" applyBorder="1" applyAlignment="1">
      <alignment horizontal="center"/>
    </xf>
    <xf numFmtId="0" fontId="3" fillId="0" borderId="4" xfId="15" applyFont="1" applyBorder="1" applyAlignment="1">
      <alignment horizontal="center"/>
    </xf>
    <xf numFmtId="0" fontId="3" fillId="0" borderId="51" xfId="15" applyFont="1" applyBorder="1" applyAlignment="1">
      <alignment horizontal="center"/>
    </xf>
    <xf numFmtId="0" fontId="3" fillId="0" borderId="43" xfId="15" applyFont="1" applyBorder="1" applyAlignment="1">
      <alignment horizontal="center"/>
    </xf>
    <xf numFmtId="0" fontId="3" fillId="0" borderId="68" xfId="15" applyFont="1" applyBorder="1" applyAlignment="1">
      <alignment horizontal="center"/>
    </xf>
    <xf numFmtId="0" fontId="3" fillId="0" borderId="7" xfId="15" applyFont="1" applyBorder="1" applyAlignment="1">
      <alignment horizontal="center" wrapText="1"/>
    </xf>
    <xf numFmtId="0" fontId="19" fillId="5" borderId="44" xfId="15" applyFont="1" applyFill="1" applyBorder="1"/>
    <xf numFmtId="0" fontId="3" fillId="0" borderId="6" xfId="15" applyFont="1" applyBorder="1" applyAlignment="1">
      <alignment horizontal="left"/>
    </xf>
    <xf numFmtId="0" fontId="3" fillId="0" borderId="5" xfId="15" applyFont="1" applyBorder="1"/>
    <xf numFmtId="0" fontId="3" fillId="0" borderId="7" xfId="15" applyFont="1" applyBorder="1"/>
    <xf numFmtId="0" fontId="3" fillId="0" borderId="4" xfId="15" applyFont="1" applyBorder="1"/>
    <xf numFmtId="0" fontId="3" fillId="0" borderId="51" xfId="15" applyFont="1" applyBorder="1"/>
    <xf numFmtId="0" fontId="3" fillId="0" borderId="31" xfId="15" applyFont="1" applyBorder="1"/>
    <xf numFmtId="0" fontId="3" fillId="0" borderId="52" xfId="15" applyFont="1" applyBorder="1"/>
    <xf numFmtId="0" fontId="3" fillId="0" borderId="43" xfId="15" applyFont="1" applyBorder="1"/>
    <xf numFmtId="0" fontId="3" fillId="0" borderId="66" xfId="15" applyFont="1" applyBorder="1"/>
    <xf numFmtId="9" fontId="3" fillId="0" borderId="7" xfId="27" applyFont="1" applyBorder="1"/>
    <xf numFmtId="0" fontId="3" fillId="4" borderId="6" xfId="15" applyFont="1" applyFill="1" applyBorder="1" applyAlignment="1">
      <alignment horizontal="left"/>
    </xf>
    <xf numFmtId="0" fontId="3" fillId="4" borderId="5" xfId="15" applyFont="1" applyFill="1" applyBorder="1"/>
    <xf numFmtId="0" fontId="3" fillId="4" borderId="4" xfId="15" applyFont="1" applyFill="1" applyBorder="1"/>
    <xf numFmtId="0" fontId="3" fillId="4" borderId="66" xfId="15" applyFont="1" applyFill="1" applyBorder="1"/>
    <xf numFmtId="0" fontId="3" fillId="4" borderId="7" xfId="15" applyFont="1" applyFill="1" applyBorder="1"/>
    <xf numFmtId="0" fontId="3" fillId="4" borderId="52" xfId="15" applyFont="1" applyFill="1" applyBorder="1"/>
    <xf numFmtId="0" fontId="3" fillId="4" borderId="31" xfId="15" applyFont="1" applyFill="1" applyBorder="1"/>
    <xf numFmtId="0" fontId="3" fillId="4" borderId="51" xfId="15" applyFont="1" applyFill="1" applyBorder="1"/>
    <xf numFmtId="0" fontId="3" fillId="4" borderId="43" xfId="15" applyFont="1" applyFill="1" applyBorder="1"/>
    <xf numFmtId="0" fontId="3" fillId="4" borderId="30" xfId="15" applyFont="1" applyFill="1" applyBorder="1"/>
    <xf numFmtId="0" fontId="12" fillId="0" borderId="5" xfId="15" applyFont="1" applyBorder="1"/>
    <xf numFmtId="9" fontId="12" fillId="0" borderId="7" xfId="27" applyFont="1" applyBorder="1"/>
    <xf numFmtId="0" fontId="3" fillId="0" borderId="56" xfId="15" applyFont="1" applyBorder="1"/>
    <xf numFmtId="0" fontId="3" fillId="4" borderId="56" xfId="15" applyFont="1" applyFill="1" applyBorder="1"/>
    <xf numFmtId="0" fontId="3" fillId="4" borderId="44" xfId="15" applyFont="1" applyFill="1" applyBorder="1"/>
    <xf numFmtId="0" fontId="12" fillId="0" borderId="52" xfId="15" applyFont="1" applyBorder="1"/>
    <xf numFmtId="0" fontId="12" fillId="9" borderId="112" xfId="15" applyFont="1" applyFill="1" applyBorder="1"/>
    <xf numFmtId="0" fontId="12" fillId="9" borderId="16" xfId="15" applyFont="1" applyFill="1" applyBorder="1"/>
    <xf numFmtId="9" fontId="20" fillId="5" borderId="17" xfId="27" applyFont="1" applyFill="1" applyBorder="1"/>
    <xf numFmtId="0" fontId="16" fillId="0" borderId="0" xfId="15" applyFont="1" applyAlignment="1">
      <alignment horizontal="left"/>
    </xf>
    <xf numFmtId="0" fontId="3" fillId="0" borderId="0" xfId="15" applyFont="1" applyBorder="1"/>
    <xf numFmtId="0" fontId="3" fillId="0" borderId="0" xfId="15" applyFont="1" applyAlignment="1">
      <alignment horizontal="right"/>
    </xf>
    <xf numFmtId="0" fontId="3" fillId="0" borderId="4" xfId="12" applyFont="1" applyBorder="1"/>
    <xf numFmtId="176" fontId="7" fillId="5" borderId="51" xfId="14" applyNumberFormat="1" applyFont="1" applyFill="1" applyBorder="1"/>
    <xf numFmtId="165" fontId="2" fillId="0" borderId="0" xfId="14" applyNumberFormat="1" applyFont="1" applyFill="1" applyBorder="1" applyAlignment="1">
      <alignment horizontal="left"/>
    </xf>
    <xf numFmtId="165" fontId="7" fillId="0" borderId="0" xfId="14" applyNumberFormat="1" applyFont="1"/>
    <xf numFmtId="0" fontId="9" fillId="10" borderId="0" xfId="0" applyFont="1" applyFill="1" applyAlignment="1">
      <alignment horizontal="centerContinuous" vertical="center" wrapText="1"/>
    </xf>
    <xf numFmtId="0" fontId="3" fillId="0" borderId="73" xfId="15" applyFont="1" applyBorder="1" applyAlignment="1">
      <alignment horizontal="right"/>
    </xf>
    <xf numFmtId="0" fontId="3" fillId="0" borderId="66" xfId="15" applyFont="1" applyBorder="1" applyAlignment="1">
      <alignment horizontal="center"/>
    </xf>
    <xf numFmtId="0" fontId="3" fillId="0" borderId="43" xfId="15" applyFont="1" applyBorder="1" applyAlignment="1">
      <alignment horizontal="center" wrapText="1"/>
    </xf>
    <xf numFmtId="0" fontId="3" fillId="0" borderId="59" xfId="15" applyFont="1" applyBorder="1" applyAlignment="1">
      <alignment horizontal="left"/>
    </xf>
    <xf numFmtId="9" fontId="3" fillId="0" borderId="43" xfId="27" applyFont="1" applyBorder="1"/>
    <xf numFmtId="0" fontId="3" fillId="4" borderId="59" xfId="15" applyFont="1" applyFill="1" applyBorder="1" applyAlignment="1">
      <alignment horizontal="left"/>
    </xf>
    <xf numFmtId="9" fontId="12" fillId="0" borderId="43" xfId="27" applyFont="1" applyBorder="1"/>
    <xf numFmtId="0" fontId="19" fillId="5" borderId="56" xfId="15" applyFont="1" applyFill="1" applyBorder="1"/>
    <xf numFmtId="0" fontId="12" fillId="5" borderId="45" xfId="14" applyFont="1" applyFill="1" applyBorder="1"/>
    <xf numFmtId="0" fontId="2" fillId="2" borderId="45" xfId="14" applyFont="1" applyFill="1" applyBorder="1"/>
    <xf numFmtId="0" fontId="39" fillId="2" borderId="45" xfId="14" applyFont="1" applyFill="1" applyBorder="1" applyAlignment="1">
      <alignment horizontal="right"/>
    </xf>
    <xf numFmtId="0" fontId="24" fillId="2" borderId="97" xfId="14" applyFont="1" applyFill="1" applyBorder="1" applyAlignment="1">
      <alignment horizontal="right"/>
    </xf>
    <xf numFmtId="0" fontId="12" fillId="5" borderId="51" xfId="14" applyFont="1" applyFill="1" applyBorder="1"/>
    <xf numFmtId="165" fontId="7" fillId="0" borderId="3" xfId="14" applyNumberFormat="1" applyFont="1" applyFill="1" applyBorder="1"/>
    <xf numFmtId="165" fontId="24" fillId="0" borderId="15" xfId="14" applyNumberFormat="1" applyFont="1" applyBorder="1"/>
    <xf numFmtId="164" fontId="24" fillId="0" borderId="16" xfId="14" applyNumberFormat="1" applyFont="1" applyBorder="1" applyAlignment="1">
      <alignment horizontal="right"/>
    </xf>
    <xf numFmtId="0" fontId="0" fillId="2" borderId="45" xfId="14" applyFont="1" applyFill="1" applyBorder="1"/>
    <xf numFmtId="0" fontId="36" fillId="5" borderId="120" xfId="14" applyFont="1" applyFill="1" applyBorder="1"/>
    <xf numFmtId="165" fontId="36" fillId="5" borderId="117" xfId="14" applyNumberFormat="1" applyFont="1" applyFill="1" applyBorder="1"/>
    <xf numFmtId="164" fontId="36" fillId="5" borderId="118" xfId="14" applyNumberFormat="1" applyFont="1" applyFill="1" applyBorder="1" applyAlignment="1">
      <alignment horizontal="right"/>
    </xf>
    <xf numFmtId="0" fontId="12" fillId="5" borderId="60" xfId="14" applyFont="1" applyFill="1" applyBorder="1"/>
    <xf numFmtId="0" fontId="12" fillId="5" borderId="61" xfId="14" applyFont="1" applyFill="1" applyBorder="1"/>
    <xf numFmtId="9" fontId="7" fillId="5" borderId="61" xfId="14" applyNumberFormat="1" applyFont="1" applyFill="1" applyBorder="1"/>
    <xf numFmtId="9" fontId="7" fillId="5" borderId="62" xfId="14" applyNumberFormat="1" applyFont="1" applyFill="1" applyBorder="1"/>
    <xf numFmtId="0" fontId="39" fillId="2" borderId="97" xfId="14" applyFont="1" applyFill="1" applyBorder="1" applyAlignment="1">
      <alignment horizontal="right"/>
    </xf>
    <xf numFmtId="165" fontId="39" fillId="0" borderId="15" xfId="14" applyNumberFormat="1" applyFont="1" applyBorder="1"/>
    <xf numFmtId="164" fontId="39" fillId="0" borderId="16" xfId="14" applyNumberFormat="1" applyFont="1" applyBorder="1" applyAlignment="1">
      <alignment horizontal="right"/>
    </xf>
    <xf numFmtId="165" fontId="7" fillId="0" borderId="2" xfId="14" applyNumberFormat="1" applyFont="1" applyFill="1" applyBorder="1"/>
    <xf numFmtId="165" fontId="24" fillId="0" borderId="24" xfId="14" applyNumberFormat="1" applyFont="1" applyBorder="1"/>
    <xf numFmtId="165" fontId="24" fillId="0" borderId="16" xfId="14" applyNumberFormat="1" applyFont="1" applyBorder="1"/>
    <xf numFmtId="165" fontId="24" fillId="0" borderId="98" xfId="14" applyNumberFormat="1" applyFont="1" applyBorder="1"/>
    <xf numFmtId="165" fontId="39" fillId="0" borderId="51" xfId="14" applyNumberFormat="1" applyFont="1" applyBorder="1" applyAlignment="1">
      <alignment horizontal="right"/>
    </xf>
    <xf numFmtId="0" fontId="12" fillId="5" borderId="110" xfId="14" applyFont="1" applyFill="1" applyBorder="1"/>
    <xf numFmtId="1" fontId="7" fillId="5" borderId="110" xfId="14" applyNumberFormat="1" applyFont="1" applyFill="1" applyBorder="1"/>
    <xf numFmtId="165" fontId="39" fillId="0" borderId="24" xfId="14" applyNumberFormat="1" applyFont="1" applyBorder="1"/>
    <xf numFmtId="0" fontId="12" fillId="5" borderId="62" xfId="14" applyFont="1" applyFill="1" applyBorder="1"/>
    <xf numFmtId="164" fontId="36" fillId="9" borderId="118" xfId="14" applyNumberFormat="1" applyFont="1" applyFill="1" applyBorder="1" applyAlignment="1">
      <alignment horizontal="right"/>
    </xf>
    <xf numFmtId="165" fontId="36" fillId="5" borderId="118" xfId="14" applyNumberFormat="1" applyFont="1" applyFill="1" applyBorder="1"/>
    <xf numFmtId="165" fontId="39" fillId="0" borderId="18" xfId="14" applyNumberFormat="1" applyFont="1" applyBorder="1"/>
    <xf numFmtId="0" fontId="12" fillId="5" borderId="52" xfId="14" applyFont="1" applyFill="1" applyBorder="1"/>
    <xf numFmtId="0" fontId="12" fillId="5" borderId="31" xfId="14" applyFont="1" applyFill="1" applyBorder="1"/>
    <xf numFmtId="0" fontId="39" fillId="2" borderId="51" xfId="14" applyFont="1" applyFill="1" applyBorder="1" applyAlignment="1">
      <alignment horizontal="right"/>
    </xf>
    <xf numFmtId="0" fontId="12" fillId="5" borderId="18" xfId="14" applyFont="1" applyFill="1" applyBorder="1"/>
    <xf numFmtId="165" fontId="36" fillId="9" borderId="88" xfId="14" applyNumberFormat="1" applyFont="1" applyFill="1" applyBorder="1"/>
    <xf numFmtId="165" fontId="36" fillId="9" borderId="92" xfId="14" applyNumberFormat="1" applyFont="1" applyFill="1" applyBorder="1"/>
    <xf numFmtId="164" fontId="36" fillId="9" borderId="104" xfId="14" applyNumberFormat="1" applyFont="1" applyFill="1" applyBorder="1" applyAlignment="1">
      <alignment horizontal="right"/>
    </xf>
    <xf numFmtId="164" fontId="36" fillId="9" borderId="89" xfId="14" applyNumberFormat="1" applyFont="1" applyFill="1" applyBorder="1" applyAlignment="1">
      <alignment horizontal="right"/>
    </xf>
    <xf numFmtId="0" fontId="12" fillId="5" borderId="82" xfId="14" applyFont="1" applyFill="1" applyBorder="1"/>
    <xf numFmtId="0" fontId="36" fillId="9" borderId="87" xfId="14" applyFont="1" applyFill="1" applyBorder="1"/>
    <xf numFmtId="0" fontId="3" fillId="0" borderId="5" xfId="10" applyFont="1" applyBorder="1"/>
    <xf numFmtId="0" fontId="36" fillId="0" borderId="25" xfId="9" applyFont="1" applyBorder="1"/>
    <xf numFmtId="0" fontId="17" fillId="5" borderId="6" xfId="23" applyFont="1" applyFill="1" applyBorder="1" applyAlignment="1">
      <alignment horizontal="centerContinuous" vertical="center" wrapText="1"/>
    </xf>
    <xf numFmtId="0" fontId="12" fillId="0" borderId="1" xfId="23" applyFont="1" applyBorder="1" applyAlignment="1">
      <alignment horizontal="center" vertical="center"/>
    </xf>
    <xf numFmtId="165" fontId="39" fillId="0" borderId="79" xfId="14" applyNumberFormat="1" applyFont="1" applyBorder="1"/>
    <xf numFmtId="0" fontId="39" fillId="2" borderId="9" xfId="14" applyFont="1" applyFill="1" applyBorder="1" applyAlignment="1">
      <alignment horizontal="right"/>
    </xf>
    <xf numFmtId="0" fontId="2" fillId="2" borderId="9" xfId="14" applyFont="1" applyFill="1" applyBorder="1" applyAlignment="1">
      <alignment horizontal="right"/>
    </xf>
    <xf numFmtId="165" fontId="39" fillId="0" borderId="9" xfId="14" applyNumberFormat="1" applyFont="1" applyBorder="1"/>
    <xf numFmtId="164" fontId="39" fillId="0" borderId="9" xfId="14" applyNumberFormat="1" applyFont="1" applyBorder="1" applyAlignment="1">
      <alignment horizontal="right"/>
    </xf>
    <xf numFmtId="165" fontId="7" fillId="0" borderId="4" xfId="14" applyNumberFormat="1" applyFont="1" applyBorder="1"/>
    <xf numFmtId="165" fontId="39" fillId="0" borderId="36" xfId="14" applyNumberFormat="1" applyFont="1" applyBorder="1"/>
    <xf numFmtId="164" fontId="39" fillId="0" borderId="34" xfId="14" applyNumberFormat="1" applyFont="1" applyBorder="1" applyAlignment="1">
      <alignment horizontal="right"/>
    </xf>
    <xf numFmtId="165" fontId="36" fillId="9" borderId="129" xfId="14" applyNumberFormat="1" applyFont="1" applyFill="1" applyBorder="1"/>
    <xf numFmtId="164" fontId="24" fillId="9" borderId="92" xfId="14" applyNumberFormat="1" applyFont="1" applyFill="1" applyBorder="1" applyAlignment="1">
      <alignment horizontal="right"/>
    </xf>
    <xf numFmtId="164" fontId="39" fillId="0" borderId="79" xfId="14" applyNumberFormat="1" applyFont="1" applyBorder="1" applyAlignment="1">
      <alignment horizontal="right"/>
    </xf>
    <xf numFmtId="165" fontId="39" fillId="0" borderId="16" xfId="14" applyNumberFormat="1" applyFont="1" applyBorder="1"/>
    <xf numFmtId="165" fontId="39" fillId="0" borderId="45" xfId="14" applyNumberFormat="1" applyFont="1" applyBorder="1"/>
    <xf numFmtId="0" fontId="12" fillId="0" borderId="6" xfId="22" applyFont="1" applyBorder="1"/>
    <xf numFmtId="0" fontId="12" fillId="0" borderId="6" xfId="22" applyFont="1" applyFill="1" applyBorder="1"/>
    <xf numFmtId="165" fontId="3" fillId="0" borderId="45" xfId="14" applyNumberFormat="1" applyFont="1" applyBorder="1"/>
    <xf numFmtId="0" fontId="24" fillId="5" borderId="87" xfId="14" applyFont="1" applyFill="1" applyBorder="1"/>
    <xf numFmtId="165" fontId="24" fillId="5" borderId="88" xfId="14" applyNumberFormat="1" applyFont="1" applyFill="1" applyBorder="1"/>
    <xf numFmtId="165" fontId="24" fillId="5" borderId="104" xfId="14" applyNumberFormat="1" applyFont="1" applyFill="1" applyBorder="1"/>
    <xf numFmtId="164" fontId="24" fillId="5" borderId="104" xfId="14" applyNumberFormat="1" applyFont="1" applyFill="1" applyBorder="1" applyAlignment="1">
      <alignment horizontal="right"/>
    </xf>
    <xf numFmtId="164" fontId="24" fillId="5" borderId="105" xfId="14" applyNumberFormat="1" applyFont="1" applyFill="1" applyBorder="1" applyAlignment="1">
      <alignment horizontal="right"/>
    </xf>
    <xf numFmtId="165" fontId="24" fillId="9" borderId="88" xfId="14" applyNumberFormat="1" applyFont="1" applyFill="1" applyBorder="1"/>
    <xf numFmtId="1" fontId="7" fillId="5" borderId="53" xfId="14" applyNumberFormat="1" applyFont="1" applyFill="1" applyBorder="1"/>
    <xf numFmtId="9" fontId="7" fillId="5" borderId="31" xfId="14" applyNumberFormat="1" applyFont="1" applyFill="1" applyBorder="1"/>
    <xf numFmtId="1" fontId="7" fillId="5" borderId="42" xfId="14" applyNumberFormat="1" applyFont="1" applyFill="1" applyBorder="1"/>
    <xf numFmtId="0" fontId="12" fillId="0" borderId="35" xfId="14" applyFont="1" applyBorder="1" applyAlignment="1">
      <alignment horizontal="centerContinuous" vertical="center" wrapText="1"/>
    </xf>
    <xf numFmtId="1" fontId="7" fillId="5" borderId="35" xfId="14" applyNumberFormat="1" applyFont="1" applyFill="1" applyBorder="1"/>
    <xf numFmtId="165" fontId="39" fillId="0" borderId="95" xfId="14" applyNumberFormat="1" applyFont="1" applyBorder="1"/>
    <xf numFmtId="1" fontId="7" fillId="5" borderId="45" xfId="14" applyNumberFormat="1" applyFont="1" applyFill="1" applyBorder="1"/>
    <xf numFmtId="165" fontId="39" fillId="0" borderId="35" xfId="14" applyNumberFormat="1" applyFont="1" applyBorder="1"/>
    <xf numFmtId="0" fontId="0" fillId="5" borderId="45" xfId="0" applyFill="1" applyBorder="1"/>
    <xf numFmtId="165" fontId="36" fillId="5" borderId="132" xfId="14" applyNumberFormat="1" applyFont="1" applyFill="1" applyBorder="1"/>
    <xf numFmtId="164" fontId="36" fillId="5" borderId="133" xfId="14" applyNumberFormat="1" applyFont="1" applyFill="1" applyBorder="1" applyAlignment="1">
      <alignment horizontal="right"/>
    </xf>
    <xf numFmtId="164" fontId="24" fillId="5" borderId="92" xfId="14" applyNumberFormat="1" applyFont="1" applyFill="1" applyBorder="1" applyAlignment="1">
      <alignment horizontal="right"/>
    </xf>
    <xf numFmtId="165" fontId="7" fillId="0" borderId="31" xfId="14" applyNumberFormat="1" applyFont="1" applyBorder="1"/>
    <xf numFmtId="165" fontId="39" fillId="0" borderId="31" xfId="14" applyNumberFormat="1" applyFont="1" applyBorder="1"/>
    <xf numFmtId="165" fontId="24" fillId="0" borderId="14" xfId="14" applyNumberFormat="1" applyFont="1" applyBorder="1"/>
    <xf numFmtId="164" fontId="24" fillId="0" borderId="25" xfId="14" applyNumberFormat="1" applyFont="1" applyBorder="1" applyAlignment="1">
      <alignment horizontal="right"/>
    </xf>
    <xf numFmtId="165" fontId="39" fillId="0" borderId="98" xfId="14" applyNumberFormat="1" applyFont="1" applyBorder="1"/>
    <xf numFmtId="165" fontId="39" fillId="0" borderId="31" xfId="14" applyNumberFormat="1" applyFont="1" applyBorder="1" applyAlignment="1">
      <alignment horizontal="right"/>
    </xf>
    <xf numFmtId="1" fontId="7" fillId="5" borderId="31" xfId="14" applyNumberFormat="1" applyFont="1" applyFill="1" applyBorder="1"/>
    <xf numFmtId="165" fontId="36" fillId="5" borderId="121" xfId="14" applyNumberFormat="1" applyFont="1" applyFill="1" applyBorder="1"/>
    <xf numFmtId="0" fontId="54" fillId="0" borderId="0" xfId="22" applyFont="1"/>
    <xf numFmtId="0" fontId="54" fillId="0" borderId="0" xfId="17" applyFont="1"/>
    <xf numFmtId="0" fontId="3" fillId="0" borderId="35" xfId="9" applyFont="1" applyBorder="1"/>
    <xf numFmtId="0" fontId="3" fillId="0" borderId="5" xfId="9" applyFont="1" applyBorder="1"/>
    <xf numFmtId="0" fontId="3" fillId="0" borderId="35" xfId="0" applyFont="1" applyBorder="1"/>
    <xf numFmtId="0" fontId="7" fillId="0" borderId="2" xfId="0" applyFont="1" applyBorder="1"/>
    <xf numFmtId="0" fontId="7" fillId="0" borderId="3" xfId="9" applyFont="1" applyBorder="1" applyAlignment="1">
      <alignment horizontal="left"/>
    </xf>
    <xf numFmtId="0" fontId="12" fillId="0" borderId="51" xfId="9" applyFont="1" applyBorder="1" applyAlignment="1">
      <alignment horizontal="center"/>
    </xf>
    <xf numFmtId="0" fontId="7" fillId="4" borderId="52" xfId="9" applyFont="1" applyFill="1" applyBorder="1"/>
    <xf numFmtId="0" fontId="7" fillId="0" borderId="52" xfId="9" applyFont="1" applyBorder="1"/>
    <xf numFmtId="0" fontId="7" fillId="0" borderId="51" xfId="0" applyFont="1" applyBorder="1"/>
    <xf numFmtId="0" fontId="7" fillId="0" borderId="51" xfId="9" applyFont="1" applyBorder="1"/>
    <xf numFmtId="0" fontId="7" fillId="0" borderId="52" xfId="0" applyFont="1" applyBorder="1"/>
    <xf numFmtId="0" fontId="7" fillId="5" borderId="51" xfId="9" applyFont="1" applyFill="1" applyBorder="1"/>
    <xf numFmtId="0" fontId="12" fillId="0" borderId="52" xfId="9" applyFont="1" applyBorder="1"/>
    <xf numFmtId="0" fontId="7" fillId="0" borderId="3" xfId="12" applyFont="1" applyFill="1" applyBorder="1"/>
    <xf numFmtId="0" fontId="0" fillId="0" borderId="3" xfId="0" applyBorder="1" applyAlignment="1">
      <alignment horizontal="left"/>
    </xf>
    <xf numFmtId="0" fontId="12" fillId="0" borderId="5" xfId="10" applyFont="1" applyFill="1" applyBorder="1"/>
    <xf numFmtId="0" fontId="12" fillId="0" borderId="5" xfId="11" applyFont="1" applyFill="1" applyBorder="1"/>
    <xf numFmtId="0" fontId="3" fillId="0" borderId="4" xfId="9" applyFont="1" applyFill="1" applyBorder="1"/>
    <xf numFmtId="0" fontId="0" fillId="0" borderId="0" xfId="0" applyAlignment="1">
      <alignment wrapText="1"/>
    </xf>
    <xf numFmtId="0" fontId="46" fillId="0" borderId="51" xfId="13" applyFont="1" applyBorder="1"/>
    <xf numFmtId="0" fontId="46" fillId="0" borderId="2" xfId="13" applyFont="1" applyBorder="1"/>
    <xf numFmtId="0" fontId="12" fillId="0" borderId="23" xfId="24" applyFont="1" applyBorder="1" applyAlignment="1">
      <alignment horizontal="center" vertical="center"/>
    </xf>
    <xf numFmtId="1" fontId="3" fillId="0" borderId="5" xfId="8" applyNumberFormat="1" applyFont="1" applyBorder="1" applyAlignment="1">
      <alignment horizontal="center"/>
    </xf>
    <xf numFmtId="165" fontId="3" fillId="0" borderId="4" xfId="26" applyNumberFormat="1" applyFont="1" applyBorder="1" applyAlignment="1">
      <alignment horizontal="center"/>
    </xf>
    <xf numFmtId="0" fontId="3" fillId="5" borderId="5" xfId="8" applyFont="1" applyFill="1" applyBorder="1" applyAlignment="1">
      <alignment horizontal="center"/>
    </xf>
    <xf numFmtId="0" fontId="3" fillId="5" borderId="4" xfId="8" applyFont="1" applyFill="1" applyBorder="1" applyAlignment="1">
      <alignment horizontal="center"/>
    </xf>
    <xf numFmtId="165" fontId="3" fillId="0" borderId="4" xfId="8" applyNumberFormat="1" applyFont="1" applyBorder="1" applyAlignment="1">
      <alignment horizontal="center"/>
    </xf>
    <xf numFmtId="165" fontId="3" fillId="5" borderId="4" xfId="8" applyNumberFormat="1" applyFont="1" applyFill="1" applyBorder="1" applyAlignment="1">
      <alignment horizontal="center"/>
    </xf>
    <xf numFmtId="0" fontId="13" fillId="0" borderId="0" xfId="8" applyFont="1" applyFill="1" applyAlignment="1">
      <alignment horizontal="centerContinuous"/>
    </xf>
    <xf numFmtId="0" fontId="3" fillId="0" borderId="0" xfId="8" applyFont="1" applyFill="1" applyAlignment="1">
      <alignment horizontal="left"/>
    </xf>
    <xf numFmtId="0" fontId="3" fillId="0" borderId="0" xfId="8" applyFont="1" applyFill="1" applyAlignment="1">
      <alignment horizontal="right"/>
    </xf>
    <xf numFmtId="0" fontId="12" fillId="0" borderId="0" xfId="8" applyFont="1"/>
    <xf numFmtId="0" fontId="7" fillId="0" borderId="0" xfId="24" applyFont="1" applyFill="1"/>
    <xf numFmtId="0" fontId="17" fillId="0" borderId="140" xfId="23" applyNumberFormat="1" applyFont="1" applyBorder="1" applyAlignment="1">
      <alignment horizontal="centerContinuous" vertical="center"/>
    </xf>
    <xf numFmtId="0" fontId="17" fillId="0" borderId="9" xfId="23" applyFont="1" applyBorder="1" applyAlignment="1">
      <alignment horizontal="centerContinuous" vertical="center"/>
    </xf>
    <xf numFmtId="1" fontId="7" fillId="0" borderId="4" xfId="23" applyNumberFormat="1" applyFont="1" applyBorder="1" applyAlignment="1">
      <alignment horizontal="right"/>
    </xf>
    <xf numFmtId="1" fontId="7" fillId="0" borderId="3" xfId="23" applyNumberFormat="1" applyFont="1" applyBorder="1" applyAlignment="1">
      <alignment horizontal="right"/>
    </xf>
    <xf numFmtId="1" fontId="7" fillId="0" borderId="21" xfId="23" applyNumberFormat="1" applyFont="1" applyBorder="1" applyAlignment="1">
      <alignment horizontal="right"/>
    </xf>
    <xf numFmtId="0" fontId="17" fillId="0" borderId="141" xfId="23" applyFont="1" applyBorder="1" applyAlignment="1">
      <alignment horizontal="centerContinuous" vertical="center"/>
    </xf>
    <xf numFmtId="2" fontId="2" fillId="0" borderId="0" xfId="19" applyNumberFormat="1" applyFont="1"/>
    <xf numFmtId="2" fontId="2" fillId="0" borderId="33" xfId="19" applyNumberFormat="1" applyFont="1" applyFill="1" applyBorder="1"/>
    <xf numFmtId="0" fontId="2" fillId="0" borderId="0" xfId="19" applyFont="1"/>
    <xf numFmtId="0" fontId="2" fillId="0" borderId="119" xfId="30" applyBorder="1" applyAlignment="1"/>
    <xf numFmtId="0" fontId="2" fillId="0" borderId="122" xfId="30" applyBorder="1" applyAlignment="1"/>
    <xf numFmtId="0" fontId="50" fillId="0" borderId="0" xfId="30" applyFont="1" applyBorder="1" applyAlignment="1"/>
    <xf numFmtId="0" fontId="12" fillId="0" borderId="3" xfId="30" applyFont="1" applyBorder="1" applyAlignment="1">
      <alignment horizontal="left"/>
    </xf>
    <xf numFmtId="0" fontId="2" fillId="0" borderId="0" xfId="30" applyBorder="1" applyAlignment="1"/>
    <xf numFmtId="0" fontId="12" fillId="0" borderId="3" xfId="30" applyFont="1" applyBorder="1" applyAlignment="1">
      <alignment horizontal="center"/>
    </xf>
    <xf numFmtId="9" fontId="12" fillId="0" borderId="3" xfId="30" applyNumberFormat="1" applyFont="1" applyBorder="1" applyAlignment="1">
      <alignment horizontal="center"/>
    </xf>
    <xf numFmtId="0" fontId="9" fillId="0" borderId="0" xfId="30" applyFont="1" applyBorder="1" applyAlignment="1">
      <alignment horizontal="center"/>
    </xf>
    <xf numFmtId="0" fontId="55" fillId="0" borderId="0" xfId="30" applyFont="1" applyBorder="1"/>
    <xf numFmtId="0" fontId="2" fillId="0" borderId="3" xfId="30" applyFont="1" applyBorder="1" applyAlignment="1">
      <alignment horizontal="left"/>
    </xf>
    <xf numFmtId="0" fontId="2" fillId="0" borderId="3" xfId="30" applyFont="1" applyBorder="1" applyAlignment="1">
      <alignment horizontal="center"/>
    </xf>
    <xf numFmtId="175" fontId="2" fillId="0" borderId="3" xfId="30" applyNumberFormat="1" applyFont="1" applyBorder="1" applyAlignment="1">
      <alignment horizontal="right"/>
    </xf>
    <xf numFmtId="164" fontId="2" fillId="0" borderId="3" xfId="31" applyNumberFormat="1" applyFont="1" applyBorder="1" applyAlignment="1">
      <alignment horizontal="right"/>
    </xf>
    <xf numFmtId="175" fontId="2" fillId="0" borderId="3" xfId="30" applyNumberFormat="1" applyFont="1" applyBorder="1"/>
    <xf numFmtId="0" fontId="50" fillId="0" borderId="0" xfId="30" applyFont="1" applyBorder="1"/>
    <xf numFmtId="0" fontId="2" fillId="0" borderId="3" xfId="30" applyFont="1" applyFill="1" applyBorder="1" applyAlignment="1">
      <alignment horizontal="center"/>
    </xf>
    <xf numFmtId="175" fontId="2" fillId="0" borderId="3" xfId="30" applyNumberFormat="1" applyFont="1" applyFill="1" applyBorder="1"/>
    <xf numFmtId="175" fontId="12" fillId="0" borderId="3" xfId="30" applyNumberFormat="1" applyFont="1" applyBorder="1" applyAlignment="1">
      <alignment horizontal="right"/>
    </xf>
    <xf numFmtId="175" fontId="12" fillId="0" borderId="3" xfId="30" applyNumberFormat="1" applyFont="1" applyBorder="1"/>
    <xf numFmtId="0" fontId="2" fillId="0" borderId="0" xfId="30" applyFont="1" applyBorder="1" applyAlignment="1">
      <alignment horizontal="left"/>
    </xf>
    <xf numFmtId="0" fontId="2" fillId="0" borderId="0" xfId="30" applyFont="1" applyBorder="1" applyAlignment="1">
      <alignment horizontal="center"/>
    </xf>
    <xf numFmtId="175" fontId="2" fillId="0" borderId="0" xfId="30" applyNumberFormat="1" applyFont="1" applyBorder="1"/>
    <xf numFmtId="175" fontId="12" fillId="0" borderId="30" xfId="30" applyNumberFormat="1" applyFont="1" applyBorder="1" applyAlignment="1"/>
    <xf numFmtId="0" fontId="2" fillId="0" borderId="2" xfId="30" applyFont="1" applyBorder="1" applyAlignment="1"/>
    <xf numFmtId="0" fontId="2" fillId="0" borderId="3" xfId="30" quotePrefix="1" applyNumberFormat="1" applyFont="1" applyBorder="1" applyAlignment="1">
      <alignment horizontal="center"/>
    </xf>
    <xf numFmtId="0" fontId="2" fillId="0" borderId="3" xfId="30" applyNumberFormat="1" applyFont="1" applyBorder="1" applyAlignment="1">
      <alignment horizontal="center"/>
    </xf>
    <xf numFmtId="175" fontId="12" fillId="0" borderId="3" xfId="30" applyNumberFormat="1" applyFont="1" applyBorder="1" applyAlignment="1">
      <alignment horizontal="center"/>
    </xf>
    <xf numFmtId="0" fontId="50" fillId="0" borderId="14" xfId="30" applyFont="1" applyBorder="1"/>
    <xf numFmtId="9" fontId="2" fillId="0" borderId="3" xfId="31" applyNumberFormat="1" applyFont="1" applyBorder="1" applyAlignment="1">
      <alignment horizontal="right"/>
    </xf>
    <xf numFmtId="175" fontId="2" fillId="0" borderId="0" xfId="30" applyNumberFormat="1" applyFont="1" applyBorder="1" applyAlignment="1">
      <alignment horizontal="right"/>
    </xf>
    <xf numFmtId="175" fontId="2" fillId="0" borderId="38" xfId="30" applyNumberFormat="1" applyFont="1" applyBorder="1" applyAlignment="1">
      <alignment horizontal="right"/>
    </xf>
    <xf numFmtId="9" fontId="2" fillId="0" borderId="38" xfId="31" applyNumberFormat="1" applyFont="1" applyBorder="1" applyAlignment="1">
      <alignment horizontal="right"/>
    </xf>
    <xf numFmtId="175" fontId="2" fillId="0" borderId="38" xfId="30" applyNumberFormat="1" applyFont="1" applyBorder="1"/>
    <xf numFmtId="0" fontId="12" fillId="5" borderId="115" xfId="30" applyFont="1" applyFill="1" applyBorder="1" applyAlignment="1">
      <alignment horizontal="left"/>
    </xf>
    <xf numFmtId="0" fontId="12" fillId="5" borderId="115" xfId="30" applyFont="1" applyFill="1" applyBorder="1" applyAlignment="1">
      <alignment horizontal="center"/>
    </xf>
    <xf numFmtId="175" fontId="12" fillId="5" borderId="115" xfId="30" applyNumberFormat="1" applyFont="1" applyFill="1" applyBorder="1" applyAlignment="1">
      <alignment horizontal="right"/>
    </xf>
    <xf numFmtId="175" fontId="12" fillId="9" borderId="115" xfId="30" applyNumberFormat="1" applyFont="1" applyFill="1" applyBorder="1" applyAlignment="1">
      <alignment horizontal="right"/>
    </xf>
    <xf numFmtId="9" fontId="12" fillId="9" borderId="115" xfId="31" applyNumberFormat="1" applyFont="1" applyFill="1" applyBorder="1" applyAlignment="1">
      <alignment horizontal="right"/>
    </xf>
    <xf numFmtId="0" fontId="12" fillId="9" borderId="115" xfId="30" applyFont="1" applyFill="1" applyBorder="1" applyAlignment="1">
      <alignment horizontal="center"/>
    </xf>
    <xf numFmtId="1" fontId="12" fillId="9" borderId="115" xfId="30" applyNumberFormat="1" applyFont="1" applyFill="1" applyBorder="1" applyAlignment="1">
      <alignment horizontal="center"/>
    </xf>
    <xf numFmtId="175" fontId="12" fillId="9" borderId="115" xfId="30" applyNumberFormat="1" applyFont="1" applyFill="1" applyBorder="1" applyAlignment="1">
      <alignment horizontal="center"/>
    </xf>
    <xf numFmtId="175" fontId="12" fillId="9" borderId="115" xfId="30" applyNumberFormat="1" applyFont="1" applyFill="1" applyBorder="1"/>
    <xf numFmtId="164" fontId="12" fillId="9" borderId="115" xfId="31" applyNumberFormat="1" applyFont="1" applyFill="1" applyBorder="1" applyAlignment="1">
      <alignment horizontal="right"/>
    </xf>
    <xf numFmtId="1" fontId="12" fillId="5" borderId="116" xfId="30" applyNumberFormat="1" applyFont="1" applyFill="1" applyBorder="1" applyAlignment="1">
      <alignment horizontal="center"/>
    </xf>
    <xf numFmtId="175" fontId="12" fillId="5" borderId="116" xfId="30" applyNumberFormat="1" applyFont="1" applyFill="1" applyBorder="1" applyAlignment="1">
      <alignment horizontal="center"/>
    </xf>
    <xf numFmtId="175" fontId="12" fillId="0" borderId="116" xfId="30" applyNumberFormat="1" applyFont="1" applyFill="1" applyBorder="1" applyAlignment="1">
      <alignment horizontal="center"/>
    </xf>
    <xf numFmtId="175" fontId="12" fillId="5" borderId="115" xfId="30" applyNumberFormat="1" applyFont="1" applyFill="1" applyBorder="1" applyAlignment="1">
      <alignment horizontal="center"/>
    </xf>
    <xf numFmtId="0" fontId="2" fillId="0" borderId="0" xfId="30" applyFont="1"/>
    <xf numFmtId="3" fontId="2" fillId="0" borderId="0" xfId="30" applyNumberFormat="1" applyFont="1"/>
    <xf numFmtId="9" fontId="2" fillId="0" borderId="0" xfId="30" applyNumberFormat="1" applyFont="1"/>
    <xf numFmtId="0" fontId="2" fillId="0" borderId="0" xfId="30"/>
    <xf numFmtId="0" fontId="2" fillId="0" borderId="0" xfId="30" applyFont="1" applyFill="1" applyBorder="1"/>
    <xf numFmtId="0" fontId="12" fillId="0" borderId="74" xfId="14" applyFont="1" applyBorder="1" applyAlignment="1">
      <alignment horizontal="centerContinuous" vertical="center" wrapText="1"/>
    </xf>
    <xf numFmtId="0" fontId="2" fillId="0" borderId="0" xfId="15" applyFont="1" applyBorder="1"/>
    <xf numFmtId="0" fontId="36" fillId="0" borderId="41" xfId="9" applyFont="1" applyBorder="1"/>
    <xf numFmtId="164" fontId="36" fillId="0" borderId="74" xfId="14" applyNumberFormat="1" applyFont="1" applyBorder="1" applyAlignment="1">
      <alignment horizontal="right"/>
    </xf>
    <xf numFmtId="164" fontId="36" fillId="0" borderId="29" xfId="14" applyNumberFormat="1" applyFont="1" applyBorder="1" applyAlignment="1">
      <alignment horizontal="right"/>
    </xf>
    <xf numFmtId="0" fontId="36" fillId="0" borderId="35" xfId="25" applyFont="1" applyBorder="1" applyAlignment="1">
      <alignment horizontal="center"/>
    </xf>
    <xf numFmtId="0" fontId="2" fillId="0" borderId="4" xfId="12" applyFont="1" applyFill="1" applyBorder="1"/>
    <xf numFmtId="0" fontId="2" fillId="0" borderId="3" xfId="0" applyFont="1" applyBorder="1" applyAlignment="1">
      <alignment horizontal="left"/>
    </xf>
    <xf numFmtId="0" fontId="3" fillId="0" borderId="142" xfId="15" applyFont="1" applyBorder="1" applyAlignment="1">
      <alignment horizontal="right"/>
    </xf>
    <xf numFmtId="0" fontId="12" fillId="0" borderId="144" xfId="15" applyFont="1" applyFill="1" applyBorder="1" applyAlignment="1">
      <alignment horizontal="centerContinuous"/>
    </xf>
    <xf numFmtId="0" fontId="12" fillId="0" borderId="143" xfId="15" applyFont="1" applyFill="1" applyBorder="1" applyAlignment="1">
      <alignment horizontal="centerContinuous"/>
    </xf>
    <xf numFmtId="0" fontId="12" fillId="0" borderId="113" xfId="15" applyFont="1" applyFill="1" applyBorder="1" applyAlignment="1"/>
    <xf numFmtId="0" fontId="12" fillId="0" borderId="143" xfId="15" applyFont="1" applyFill="1" applyBorder="1" applyAlignment="1"/>
    <xf numFmtId="0" fontId="12" fillId="0" borderId="83" xfId="15" applyFont="1" applyFill="1" applyBorder="1" applyAlignment="1"/>
    <xf numFmtId="0" fontId="12" fillId="0" borderId="113" xfId="15" applyFont="1" applyFill="1" applyBorder="1"/>
    <xf numFmtId="0" fontId="12" fillId="0" borderId="83" xfId="15" applyFont="1" applyFill="1" applyBorder="1"/>
    <xf numFmtId="0" fontId="12" fillId="0" borderId="131" xfId="15" applyFont="1" applyFill="1" applyBorder="1"/>
    <xf numFmtId="0" fontId="12" fillId="0" borderId="143" xfId="15" applyFont="1" applyFill="1" applyBorder="1"/>
    <xf numFmtId="0" fontId="12" fillId="0" borderId="145" xfId="15" applyFont="1" applyFill="1" applyBorder="1" applyAlignment="1">
      <alignment horizontal="center"/>
    </xf>
    <xf numFmtId="0" fontId="12" fillId="0" borderId="143" xfId="15" applyFont="1" applyFill="1" applyBorder="1" applyAlignment="1">
      <alignment horizontal="center"/>
    </xf>
    <xf numFmtId="0" fontId="12" fillId="0" borderId="146" xfId="15" applyFont="1" applyBorder="1" applyAlignment="1">
      <alignment horizontal="centerContinuous"/>
    </xf>
    <xf numFmtId="0" fontId="12" fillId="0" borderId="83" xfId="15" applyFont="1" applyBorder="1" applyAlignment="1">
      <alignment horizontal="centerContinuous"/>
    </xf>
    <xf numFmtId="0" fontId="12" fillId="0" borderId="84" xfId="15" applyFont="1" applyBorder="1" applyAlignment="1">
      <alignment horizontal="centerContinuous"/>
    </xf>
    <xf numFmtId="0" fontId="18" fillId="5" borderId="85" xfId="15" applyFont="1" applyFill="1" applyBorder="1" applyAlignment="1">
      <alignment horizontal="left" wrapText="1"/>
    </xf>
    <xf numFmtId="0" fontId="20" fillId="5" borderId="70" xfId="15" applyFont="1" applyFill="1" applyBorder="1"/>
    <xf numFmtId="0" fontId="20" fillId="5" borderId="86" xfId="15" applyFont="1" applyFill="1" applyBorder="1"/>
    <xf numFmtId="0" fontId="20" fillId="5" borderId="102" xfId="15" applyFont="1" applyFill="1" applyBorder="1"/>
    <xf numFmtId="0" fontId="20" fillId="5" borderId="71" xfId="15" applyFont="1" applyFill="1" applyBorder="1"/>
    <xf numFmtId="0" fontId="20" fillId="5" borderId="147" xfId="15" applyFont="1" applyFill="1" applyBorder="1"/>
    <xf numFmtId="0" fontId="12" fillId="9" borderId="101" xfId="15" applyFont="1" applyFill="1" applyBorder="1"/>
    <xf numFmtId="0" fontId="12" fillId="9" borderId="71" xfId="15" applyFont="1" applyFill="1" applyBorder="1"/>
    <xf numFmtId="9" fontId="20" fillId="5" borderId="72" xfId="27" applyFont="1" applyFill="1" applyBorder="1"/>
    <xf numFmtId="0" fontId="36" fillId="0" borderId="148" xfId="9" applyFont="1" applyBorder="1" applyAlignment="1">
      <alignment horizontal="right"/>
    </xf>
    <xf numFmtId="0" fontId="12" fillId="0" borderId="2" xfId="10" applyFont="1" applyFill="1" applyBorder="1" applyAlignment="1">
      <alignment horizontal="center"/>
    </xf>
    <xf numFmtId="0" fontId="56" fillId="0" borderId="0" xfId="22" applyFont="1"/>
    <xf numFmtId="0" fontId="12" fillId="0" borderId="4" xfId="14" applyFont="1" applyFill="1" applyBorder="1" applyAlignment="1">
      <alignment horizontal="center" vertical="center" wrapText="1"/>
    </xf>
    <xf numFmtId="165" fontId="39" fillId="0" borderId="33" xfId="14" applyNumberFormat="1" applyFont="1" applyFill="1" applyBorder="1"/>
    <xf numFmtId="165" fontId="39" fillId="0" borderId="2" xfId="14" applyNumberFormat="1" applyFont="1" applyFill="1" applyBorder="1"/>
    <xf numFmtId="165" fontId="39" fillId="0" borderId="3" xfId="14" applyNumberFormat="1" applyFont="1" applyFill="1" applyBorder="1"/>
    <xf numFmtId="0" fontId="39" fillId="0" borderId="0" xfId="14" applyFont="1" applyFill="1"/>
    <xf numFmtId="0" fontId="22" fillId="0" borderId="0" xfId="14" applyFont="1" applyFill="1" applyBorder="1" applyAlignment="1">
      <alignment horizontal="center" vertical="center"/>
    </xf>
    <xf numFmtId="164" fontId="2" fillId="4" borderId="5" xfId="0" applyNumberFormat="1" applyFont="1" applyFill="1" applyBorder="1" applyAlignment="1">
      <alignment horizontal="center"/>
    </xf>
    <xf numFmtId="0" fontId="36" fillId="0" borderId="4" xfId="13" applyFont="1" applyBorder="1" applyAlignment="1">
      <alignment horizontal="center"/>
    </xf>
    <xf numFmtId="165" fontId="7" fillId="0" borderId="0" xfId="19" applyNumberFormat="1" applyFont="1"/>
    <xf numFmtId="164" fontId="7" fillId="0" borderId="51" xfId="23" applyNumberFormat="1" applyFont="1" applyBorder="1" applyAlignment="1">
      <alignment horizontal="right"/>
    </xf>
    <xf numFmtId="164" fontId="7" fillId="0" borderId="65" xfId="23" applyNumberFormat="1" applyFont="1" applyBorder="1" applyAlignment="1">
      <alignment horizontal="right"/>
    </xf>
    <xf numFmtId="1" fontId="7" fillId="0" borderId="18" xfId="23" applyNumberFormat="1" applyFont="1" applyBorder="1" applyAlignment="1">
      <alignment horizontal="right"/>
    </xf>
    <xf numFmtId="1" fontId="7" fillId="0" borderId="17" xfId="23" applyNumberFormat="1" applyFont="1" applyBorder="1" applyAlignment="1">
      <alignment horizontal="right"/>
    </xf>
    <xf numFmtId="0" fontId="2" fillId="0" borderId="4" xfId="9" applyFont="1" applyBorder="1" applyAlignment="1">
      <alignment horizontal="left"/>
    </xf>
    <xf numFmtId="0" fontId="2" fillId="0" borderId="4" xfId="9" applyFont="1" applyBorder="1"/>
    <xf numFmtId="0" fontId="2" fillId="0" borderId="0" xfId="32" applyFont="1"/>
    <xf numFmtId="3" fontId="2" fillId="0" borderId="0" xfId="32" applyNumberFormat="1" applyFont="1"/>
    <xf numFmtId="0" fontId="2" fillId="0" borderId="0" xfId="32" applyFont="1" applyAlignment="1">
      <alignment horizontal="left" wrapText="1"/>
    </xf>
    <xf numFmtId="0" fontId="16" fillId="0" borderId="0" xfId="32" applyFont="1"/>
    <xf numFmtId="0" fontId="58" fillId="0" borderId="0" xfId="32" applyFont="1" applyAlignment="1">
      <alignment horizontal="right"/>
    </xf>
    <xf numFmtId="0" fontId="12" fillId="0" borderId="149" xfId="32" applyFont="1" applyBorder="1" applyAlignment="1">
      <alignment horizontal="center" wrapText="1"/>
    </xf>
    <xf numFmtId="0" fontId="12" fillId="0" borderId="149" xfId="32" applyFont="1" applyBorder="1" applyAlignment="1">
      <alignment horizontal="center"/>
    </xf>
    <xf numFmtId="0" fontId="2" fillId="5" borderId="149" xfId="32" applyFont="1" applyFill="1" applyBorder="1" applyAlignment="1">
      <alignment horizontal="left" wrapText="1"/>
    </xf>
    <xf numFmtId="0" fontId="2" fillId="5" borderId="149" xfId="32" applyFont="1" applyFill="1" applyBorder="1"/>
    <xf numFmtId="0" fontId="2" fillId="0" borderId="149" xfId="32" applyFont="1" applyBorder="1" applyAlignment="1">
      <alignment horizontal="left" wrapText="1"/>
    </xf>
    <xf numFmtId="0" fontId="2" fillId="0" borderId="149" xfId="32" applyFont="1" applyBorder="1"/>
    <xf numFmtId="0" fontId="2" fillId="4" borderId="149" xfId="32" applyFont="1" applyFill="1" applyBorder="1" applyAlignment="1">
      <alignment horizontal="left" wrapText="1"/>
    </xf>
    <xf numFmtId="0" fontId="2" fillId="4" borderId="149" xfId="32" applyFont="1" applyFill="1" applyBorder="1"/>
    <xf numFmtId="3" fontId="2" fillId="4" borderId="149" xfId="32" applyNumberFormat="1" applyFont="1" applyFill="1" applyBorder="1"/>
    <xf numFmtId="3" fontId="2" fillId="4" borderId="149" xfId="32" applyNumberFormat="1" applyFont="1" applyFill="1" applyBorder="1" applyAlignment="1">
      <alignment horizontal="right"/>
    </xf>
    <xf numFmtId="3" fontId="2" fillId="4" borderId="149" xfId="32" applyNumberFormat="1" applyFill="1" applyBorder="1" applyAlignment="1">
      <alignment horizontal="right"/>
    </xf>
    <xf numFmtId="3" fontId="29" fillId="4" borderId="149" xfId="32" applyNumberFormat="1" applyFont="1" applyFill="1" applyBorder="1"/>
    <xf numFmtId="0" fontId="2" fillId="4" borderId="149" xfId="32" applyFont="1" applyFill="1" applyBorder="1" applyAlignment="1">
      <alignment horizontal="right"/>
    </xf>
    <xf numFmtId="0" fontId="2" fillId="5" borderId="149" xfId="32" applyFont="1" applyFill="1" applyBorder="1" applyAlignment="1">
      <alignment horizontal="right"/>
    </xf>
    <xf numFmtId="0" fontId="2" fillId="0" borderId="149" xfId="32" applyFont="1" applyBorder="1" applyAlignment="1">
      <alignment horizontal="right"/>
    </xf>
    <xf numFmtId="3" fontId="2" fillId="0" borderId="149" xfId="32" applyNumberFormat="1" applyFont="1" applyBorder="1"/>
    <xf numFmtId="3" fontId="2" fillId="0" borderId="149" xfId="32" applyNumberFormat="1" applyBorder="1" applyAlignment="1">
      <alignment horizontal="right"/>
    </xf>
    <xf numFmtId="3" fontId="2" fillId="0" borderId="149" xfId="32" applyNumberFormat="1" applyFont="1" applyBorder="1" applyAlignment="1">
      <alignment horizontal="right"/>
    </xf>
    <xf numFmtId="3" fontId="2" fillId="0" borderId="149" xfId="32" applyNumberFormat="1" applyBorder="1" applyAlignment="1">
      <alignment horizontal="center"/>
    </xf>
    <xf numFmtId="4" fontId="2" fillId="0" borderId="149" xfId="32" applyNumberFormat="1" applyFont="1" applyBorder="1" applyAlignment="1">
      <alignment horizontal="right"/>
    </xf>
    <xf numFmtId="165" fontId="2" fillId="0" borderId="149" xfId="32" applyNumberFormat="1" applyFont="1" applyBorder="1"/>
    <xf numFmtId="165" fontId="2" fillId="0" borderId="149" xfId="32" applyNumberFormat="1" applyBorder="1" applyAlignment="1">
      <alignment horizontal="right"/>
    </xf>
    <xf numFmtId="165" fontId="2" fillId="0" borderId="149" xfId="32" applyNumberFormat="1" applyFont="1" applyBorder="1" applyAlignment="1">
      <alignment horizontal="right"/>
    </xf>
    <xf numFmtId="9" fontId="0" fillId="0" borderId="0" xfId="26" applyFont="1"/>
    <xf numFmtId="0" fontId="3" fillId="0" borderId="5" xfId="15" applyFont="1" applyFill="1" applyBorder="1"/>
    <xf numFmtId="0" fontId="3" fillId="0" borderId="7" xfId="15" applyFont="1" applyFill="1" applyBorder="1"/>
    <xf numFmtId="0" fontId="3" fillId="0" borderId="4" xfId="15" applyFont="1" applyFill="1" applyBorder="1"/>
    <xf numFmtId="0" fontId="3" fillId="0" borderId="52" xfId="15" applyFont="1" applyFill="1" applyBorder="1"/>
    <xf numFmtId="0" fontId="3" fillId="0" borderId="31" xfId="15" applyFont="1" applyFill="1" applyBorder="1"/>
    <xf numFmtId="0" fontId="3" fillId="0" borderId="51" xfId="15" applyFont="1" applyFill="1" applyBorder="1"/>
    <xf numFmtId="0" fontId="3" fillId="0" borderId="2" xfId="15" applyFont="1" applyFill="1" applyBorder="1"/>
    <xf numFmtId="0" fontId="3" fillId="0" borderId="55" xfId="15" applyFont="1" applyFill="1" applyBorder="1"/>
    <xf numFmtId="0" fontId="3" fillId="0" borderId="66" xfId="15" applyFont="1" applyFill="1" applyBorder="1"/>
    <xf numFmtId="0" fontId="3" fillId="0" borderId="56" xfId="15" applyFont="1" applyFill="1" applyBorder="1"/>
    <xf numFmtId="0" fontId="3" fillId="0" borderId="68" xfId="15" applyFont="1" applyFill="1" applyBorder="1"/>
    <xf numFmtId="0" fontId="3" fillId="0" borderId="18" xfId="15" applyFont="1" applyFill="1" applyBorder="1"/>
    <xf numFmtId="0" fontId="3" fillId="0" borderId="59" xfId="15" applyFont="1" applyFill="1" applyBorder="1" applyAlignment="1">
      <alignment horizontal="left"/>
    </xf>
    <xf numFmtId="164" fontId="36" fillId="9" borderId="92" xfId="14" applyNumberFormat="1" applyFont="1" applyFill="1" applyBorder="1" applyAlignment="1">
      <alignment horizontal="right"/>
    </xf>
    <xf numFmtId="0" fontId="12" fillId="5" borderId="149" xfId="14" applyFont="1" applyFill="1" applyBorder="1"/>
    <xf numFmtId="165" fontId="2" fillId="2" borderId="149" xfId="14" applyNumberFormat="1" applyFont="1" applyFill="1" applyBorder="1"/>
    <xf numFmtId="165" fontId="7" fillId="0" borderId="149" xfId="14" applyNumberFormat="1" applyFont="1" applyBorder="1"/>
    <xf numFmtId="0" fontId="12" fillId="0" borderId="151" xfId="14" applyFont="1" applyBorder="1" applyAlignment="1">
      <alignment horizontal="center" vertical="center" wrapText="1"/>
    </xf>
    <xf numFmtId="0" fontId="2" fillId="0" borderId="150" xfId="0" applyFont="1" applyBorder="1"/>
    <xf numFmtId="0" fontId="2" fillId="0" borderId="4" xfId="0" applyFont="1" applyBorder="1"/>
    <xf numFmtId="0" fontId="12" fillId="12" borderId="3" xfId="30" applyFont="1" applyFill="1" applyBorder="1" applyAlignment="1">
      <alignment horizontal="left"/>
    </xf>
    <xf numFmtId="0" fontId="54" fillId="0" borderId="0" xfId="0" applyFont="1"/>
    <xf numFmtId="0" fontId="54" fillId="0" borderId="0" xfId="0" applyFont="1" applyBorder="1"/>
    <xf numFmtId="0" fontId="53" fillId="0" borderId="0" xfId="0" applyFont="1" applyBorder="1" applyAlignment="1">
      <alignment horizontal="centerContinuous"/>
    </xf>
    <xf numFmtId="0" fontId="53" fillId="0" borderId="0" xfId="0" applyFont="1" applyBorder="1"/>
    <xf numFmtId="0" fontId="53" fillId="0" borderId="0" xfId="0" applyFont="1" applyBorder="1" applyAlignment="1">
      <alignment horizontal="center"/>
    </xf>
    <xf numFmtId="0" fontId="54" fillId="0" borderId="0" xfId="0" applyFont="1" applyBorder="1" applyAlignment="1">
      <alignment horizontal="right"/>
    </xf>
    <xf numFmtId="0" fontId="12" fillId="0" borderId="149" xfId="14" applyFont="1" applyBorder="1" applyAlignment="1">
      <alignment horizontal="centerContinuous" vertical="center" wrapText="1"/>
    </xf>
    <xf numFmtId="0" fontId="0" fillId="5" borderId="149" xfId="0" applyFill="1" applyBorder="1"/>
    <xf numFmtId="165" fontId="39" fillId="0" borderId="149" xfId="14" applyNumberFormat="1" applyFont="1" applyBorder="1"/>
    <xf numFmtId="164" fontId="36" fillId="0" borderId="65" xfId="14" applyNumberFormat="1" applyFont="1" applyBorder="1" applyAlignment="1">
      <alignment horizontal="right"/>
    </xf>
    <xf numFmtId="0" fontId="8" fillId="5" borderId="151" xfId="0" applyFont="1" applyFill="1" applyBorder="1"/>
    <xf numFmtId="0" fontId="46" fillId="5" borderId="149" xfId="0" applyFont="1" applyFill="1" applyBorder="1"/>
    <xf numFmtId="0" fontId="8" fillId="5" borderId="149" xfId="0" applyFont="1" applyFill="1" applyBorder="1"/>
    <xf numFmtId="0" fontId="9" fillId="0" borderId="151" xfId="9" applyFont="1" applyBorder="1"/>
    <xf numFmtId="0" fontId="46" fillId="0" borderId="149" xfId="9" applyFont="1" applyBorder="1"/>
    <xf numFmtId="0" fontId="9" fillId="0" borderId="149" xfId="9" applyFont="1" applyBorder="1"/>
    <xf numFmtId="0" fontId="9" fillId="5" borderId="151" xfId="0" applyFont="1" applyFill="1" applyBorder="1"/>
    <xf numFmtId="0" fontId="9" fillId="5" borderId="149" xfId="0" applyFont="1" applyFill="1" applyBorder="1"/>
    <xf numFmtId="0" fontId="9" fillId="0" borderId="151" xfId="9" applyFont="1" applyFill="1" applyBorder="1"/>
    <xf numFmtId="0" fontId="46" fillId="0" borderId="149" xfId="9" applyFont="1" applyFill="1" applyBorder="1"/>
    <xf numFmtId="0" fontId="9" fillId="0" borderId="149" xfId="9" applyFont="1" applyFill="1" applyBorder="1"/>
    <xf numFmtId="0" fontId="45" fillId="8" borderId="151" xfId="25" applyFont="1" applyFill="1" applyBorder="1" applyAlignment="1">
      <alignment horizontal="center"/>
    </xf>
    <xf numFmtId="0" fontId="8" fillId="5" borderId="152" xfId="0" applyFont="1" applyFill="1" applyBorder="1"/>
    <xf numFmtId="0" fontId="46" fillId="0" borderId="149" xfId="0" applyFont="1" applyFill="1" applyBorder="1"/>
    <xf numFmtId="0" fontId="46" fillId="0" borderId="149" xfId="9" applyFont="1" applyBorder="1" applyAlignment="1">
      <alignment horizontal="right"/>
    </xf>
    <xf numFmtId="9" fontId="12" fillId="5" borderId="0" xfId="31" applyFont="1" applyFill="1" applyBorder="1" applyAlignment="1">
      <alignment horizontal="right"/>
    </xf>
    <xf numFmtId="0" fontId="54" fillId="0" borderId="0" xfId="21" applyFont="1" applyBorder="1"/>
    <xf numFmtId="0" fontId="11" fillId="0" borderId="0" xfId="12" applyFont="1"/>
    <xf numFmtId="0" fontId="7" fillId="0" borderId="154" xfId="12" applyFont="1" applyFill="1" applyBorder="1"/>
    <xf numFmtId="0" fontId="2" fillId="0" borderId="149" xfId="0" applyFont="1" applyBorder="1" applyAlignment="1">
      <alignment horizontal="left"/>
    </xf>
    <xf numFmtId="0" fontId="7" fillId="0" borderId="149" xfId="12" applyFont="1" applyFill="1" applyBorder="1" applyAlignment="1">
      <alignment horizontal="right"/>
    </xf>
    <xf numFmtId="0" fontId="7" fillId="0" borderId="149" xfId="12" applyFont="1" applyFill="1" applyBorder="1"/>
    <xf numFmtId="0" fontId="7" fillId="11" borderId="5" xfId="21" applyFont="1" applyFill="1" applyBorder="1"/>
    <xf numFmtId="164" fontId="7" fillId="11" borderId="7" xfId="21" applyNumberFormat="1" applyFont="1" applyFill="1" applyBorder="1"/>
    <xf numFmtId="1" fontId="7" fillId="11" borderId="7" xfId="17" applyNumberFormat="1" applyFont="1" applyFill="1" applyBorder="1"/>
    <xf numFmtId="0" fontId="2" fillId="0" borderId="35" xfId="9" applyFont="1" applyBorder="1"/>
    <xf numFmtId="0" fontId="12" fillId="0" borderId="13" xfId="12" applyFont="1" applyBorder="1" applyAlignment="1">
      <alignment horizontal="center"/>
    </xf>
    <xf numFmtId="0" fontId="12" fillId="0" borderId="13" xfId="10" applyFont="1" applyBorder="1" applyAlignment="1">
      <alignment horizontal="center"/>
    </xf>
    <xf numFmtId="0" fontId="12" fillId="0" borderId="162" xfId="10" applyFont="1" applyBorder="1" applyAlignment="1">
      <alignment horizontal="center"/>
    </xf>
    <xf numFmtId="0" fontId="12" fillId="0" borderId="17" xfId="12" applyFont="1" applyBorder="1" applyAlignment="1">
      <alignment horizontal="center"/>
    </xf>
    <xf numFmtId="0" fontId="12" fillId="0" borderId="38" xfId="10" applyFont="1" applyBorder="1" applyAlignment="1">
      <alignment horizontal="center"/>
    </xf>
    <xf numFmtId="0" fontId="24" fillId="5" borderId="149" xfId="12" applyFont="1" applyFill="1" applyBorder="1" applyAlignment="1">
      <alignment horizontal="center"/>
    </xf>
    <xf numFmtId="0" fontId="12" fillId="0" borderId="149" xfId="10" applyFont="1" applyBorder="1" applyAlignment="1">
      <alignment horizontal="center"/>
    </xf>
    <xf numFmtId="0" fontId="12" fillId="0" borderId="47" xfId="10" applyFont="1" applyBorder="1" applyAlignment="1">
      <alignment horizontal="center"/>
    </xf>
    <xf numFmtId="0" fontId="12" fillId="0" borderId="41" xfId="12" applyFont="1" applyBorder="1" applyAlignment="1">
      <alignment horizontal="center"/>
    </xf>
    <xf numFmtId="0" fontId="46" fillId="0" borderId="154" xfId="9" applyFont="1" applyBorder="1"/>
    <xf numFmtId="0" fontId="7" fillId="0" borderId="24" xfId="23" applyFont="1" applyBorder="1" applyAlignment="1">
      <alignment horizontal="right"/>
    </xf>
    <xf numFmtId="164" fontId="7" fillId="0" borderId="15" xfId="23" applyNumberFormat="1" applyFont="1" applyBorder="1" applyAlignment="1">
      <alignment horizontal="right"/>
    </xf>
    <xf numFmtId="0" fontId="7" fillId="0" borderId="15" xfId="23" applyFont="1" applyBorder="1" applyAlignment="1">
      <alignment horizontal="right"/>
    </xf>
    <xf numFmtId="164" fontId="7" fillId="0" borderId="14" xfId="23" applyNumberFormat="1" applyFont="1" applyBorder="1" applyAlignment="1">
      <alignment horizontal="right"/>
    </xf>
    <xf numFmtId="0" fontId="7" fillId="0" borderId="23" xfId="23" applyFont="1" applyBorder="1" applyAlignment="1">
      <alignment horizontal="right"/>
    </xf>
    <xf numFmtId="0" fontId="7" fillId="5" borderId="35" xfId="24" applyFont="1" applyFill="1" applyBorder="1" applyAlignment="1">
      <alignment horizontal="right"/>
    </xf>
    <xf numFmtId="164" fontId="7" fillId="5" borderId="4" xfId="24" applyNumberFormat="1" applyFont="1" applyFill="1" applyBorder="1" applyAlignment="1">
      <alignment horizontal="right"/>
    </xf>
    <xf numFmtId="0" fontId="7" fillId="5" borderId="4" xfId="24" applyFont="1" applyFill="1" applyBorder="1" applyAlignment="1">
      <alignment horizontal="right"/>
    </xf>
    <xf numFmtId="164" fontId="7" fillId="0" borderId="152" xfId="24" applyNumberFormat="1" applyFont="1" applyBorder="1" applyAlignment="1">
      <alignment horizontal="right"/>
    </xf>
    <xf numFmtId="9" fontId="7" fillId="5" borderId="165" xfId="14" applyNumberFormat="1" applyFont="1" applyFill="1" applyBorder="1"/>
    <xf numFmtId="164" fontId="12" fillId="0" borderId="165" xfId="14" applyNumberFormat="1" applyFont="1" applyBorder="1" applyAlignment="1">
      <alignment horizontal="right"/>
    </xf>
    <xf numFmtId="1" fontId="7" fillId="5" borderId="154" xfId="14" applyNumberFormat="1" applyFont="1" applyFill="1" applyBorder="1"/>
    <xf numFmtId="9" fontId="7" fillId="5" borderId="154" xfId="14" applyNumberFormat="1" applyFont="1" applyFill="1" applyBorder="1"/>
    <xf numFmtId="9" fontId="7" fillId="5" borderId="153" xfId="14" applyNumberFormat="1" applyFont="1" applyFill="1" applyBorder="1"/>
    <xf numFmtId="165" fontId="7" fillId="0" borderId="165" xfId="14" applyNumberFormat="1" applyFont="1" applyBorder="1"/>
    <xf numFmtId="165" fontId="7" fillId="0" borderId="154" xfId="14" applyNumberFormat="1" applyFont="1" applyFill="1" applyBorder="1"/>
    <xf numFmtId="165" fontId="7" fillId="0" borderId="154" xfId="14" applyNumberFormat="1" applyFont="1" applyBorder="1"/>
    <xf numFmtId="0" fontId="12" fillId="0" borderId="154" xfId="14" applyFont="1" applyBorder="1" applyAlignment="1">
      <alignment horizontal="centerContinuous" vertical="center" wrapText="1"/>
    </xf>
    <xf numFmtId="0" fontId="12" fillId="0" borderId="165" xfId="14" applyFont="1" applyBorder="1" applyAlignment="1">
      <alignment horizontal="center" vertical="center" wrapText="1"/>
    </xf>
    <xf numFmtId="0" fontId="12" fillId="0" borderId="154" xfId="14" applyFont="1" applyFill="1" applyBorder="1" applyAlignment="1">
      <alignment horizontal="centerContinuous" vertical="center" wrapText="1"/>
    </xf>
    <xf numFmtId="0" fontId="12" fillId="0" borderId="165" xfId="14" applyFont="1" applyFill="1" applyBorder="1" applyAlignment="1">
      <alignment horizontal="center" vertical="center" wrapText="1"/>
    </xf>
    <xf numFmtId="0" fontId="12" fillId="5" borderId="6" xfId="14" applyFont="1" applyFill="1" applyBorder="1"/>
    <xf numFmtId="0" fontId="2" fillId="2" borderId="6" xfId="14" applyFont="1" applyFill="1" applyBorder="1"/>
    <xf numFmtId="164" fontId="12" fillId="0" borderId="165" xfId="14" applyNumberFormat="1" applyFont="1" applyFill="1" applyBorder="1" applyAlignment="1">
      <alignment horizontal="right"/>
    </xf>
    <xf numFmtId="0" fontId="2" fillId="2" borderId="6" xfId="14" applyFont="1" applyFill="1" applyBorder="1" applyAlignment="1"/>
    <xf numFmtId="0" fontId="39" fillId="2" borderId="19" xfId="14" applyFont="1" applyFill="1" applyBorder="1" applyAlignment="1">
      <alignment horizontal="right"/>
    </xf>
    <xf numFmtId="164" fontId="39" fillId="0" borderId="165" xfId="14" applyNumberFormat="1" applyFont="1" applyBorder="1" applyAlignment="1">
      <alignment horizontal="right"/>
    </xf>
    <xf numFmtId="164" fontId="39" fillId="0" borderId="165" xfId="14" applyNumberFormat="1" applyFont="1" applyFill="1" applyBorder="1" applyAlignment="1">
      <alignment horizontal="right"/>
    </xf>
    <xf numFmtId="0" fontId="12" fillId="5" borderId="1" xfId="14" applyFont="1" applyFill="1" applyBorder="1"/>
    <xf numFmtId="0" fontId="2" fillId="2" borderId="1" xfId="14" applyFont="1" applyFill="1" applyBorder="1"/>
    <xf numFmtId="0" fontId="39" fillId="2" borderId="1" xfId="14" applyFont="1" applyFill="1" applyBorder="1" applyAlignment="1">
      <alignment horizontal="right"/>
    </xf>
    <xf numFmtId="0" fontId="24" fillId="2" borderId="23" xfId="14" applyFont="1" applyFill="1" applyBorder="1" applyAlignment="1">
      <alignment horizontal="right"/>
    </xf>
    <xf numFmtId="165" fontId="24" fillId="0" borderId="97" xfId="14" applyNumberFormat="1" applyFont="1" applyBorder="1"/>
    <xf numFmtId="164" fontId="24" fillId="0" borderId="17" xfId="14" applyNumberFormat="1" applyFont="1" applyBorder="1" applyAlignment="1">
      <alignment horizontal="right"/>
    </xf>
    <xf numFmtId="165" fontId="24" fillId="0" borderId="24" xfId="14" applyNumberFormat="1" applyFont="1" applyFill="1" applyBorder="1"/>
    <xf numFmtId="165" fontId="24" fillId="0" borderId="15" xfId="14" applyNumberFormat="1" applyFont="1" applyFill="1" applyBorder="1"/>
    <xf numFmtId="164" fontId="24" fillId="0" borderId="17" xfId="14" applyNumberFormat="1" applyFont="1" applyFill="1" applyBorder="1" applyAlignment="1">
      <alignment horizontal="right"/>
    </xf>
    <xf numFmtId="0" fontId="0" fillId="2" borderId="6" xfId="14" applyFont="1" applyFill="1" applyBorder="1"/>
    <xf numFmtId="0" fontId="39" fillId="2" borderId="28" xfId="14" applyFont="1" applyFill="1" applyBorder="1" applyAlignment="1">
      <alignment horizontal="right"/>
    </xf>
    <xf numFmtId="0" fontId="2" fillId="2" borderId="19" xfId="14" applyFont="1" applyFill="1" applyBorder="1"/>
    <xf numFmtId="165" fontId="24" fillId="0" borderId="25" xfId="14" applyNumberFormat="1" applyFont="1" applyBorder="1"/>
    <xf numFmtId="0" fontId="12" fillId="0" borderId="153" xfId="14" applyFont="1" applyBorder="1" applyAlignment="1">
      <alignment horizontal="center" vertical="center" wrapText="1"/>
    </xf>
    <xf numFmtId="164" fontId="12" fillId="0" borderId="153" xfId="14" applyNumberFormat="1" applyFont="1" applyBorder="1" applyAlignment="1">
      <alignment horizontal="right"/>
    </xf>
    <xf numFmtId="165" fontId="39" fillId="0" borderId="154" xfId="14" applyNumberFormat="1" applyFont="1" applyBorder="1"/>
    <xf numFmtId="165" fontId="39" fillId="0" borderId="165" xfId="14" applyNumberFormat="1" applyFont="1" applyBorder="1"/>
    <xf numFmtId="164" fontId="39" fillId="0" borderId="153" xfId="14" applyNumberFormat="1" applyFont="1" applyBorder="1" applyAlignment="1">
      <alignment horizontal="right"/>
    </xf>
    <xf numFmtId="165" fontId="39" fillId="0" borderId="154" xfId="14" applyNumberFormat="1" applyFont="1" applyFill="1" applyBorder="1"/>
    <xf numFmtId="0" fontId="7" fillId="0" borderId="6" xfId="14" applyFont="1" applyFill="1" applyBorder="1"/>
    <xf numFmtId="0" fontId="39" fillId="2" borderId="6" xfId="14" applyFont="1" applyFill="1" applyBorder="1" applyAlignment="1">
      <alignment horizontal="right"/>
    </xf>
    <xf numFmtId="0" fontId="3" fillId="2" borderId="6" xfId="14" applyFont="1" applyFill="1" applyBorder="1"/>
    <xf numFmtId="165" fontId="24" fillId="0" borderId="64" xfId="14" applyNumberFormat="1" applyFont="1" applyBorder="1"/>
    <xf numFmtId="164" fontId="24" fillId="0" borderId="20" xfId="14" applyNumberFormat="1" applyFont="1" applyBorder="1" applyAlignment="1">
      <alignment horizontal="right"/>
    </xf>
    <xf numFmtId="165" fontId="7" fillId="5" borderId="154" xfId="14" applyNumberFormat="1" applyFont="1" applyFill="1" applyBorder="1"/>
    <xf numFmtId="0" fontId="12" fillId="5" borderId="57" xfId="14" applyFont="1" applyFill="1" applyBorder="1"/>
    <xf numFmtId="9" fontId="7" fillId="5" borderId="110" xfId="14" applyNumberFormat="1" applyFont="1" applyFill="1" applyBorder="1"/>
    <xf numFmtId="9" fontId="7" fillId="5" borderId="58" xfId="14" applyNumberFormat="1" applyFont="1" applyFill="1" applyBorder="1"/>
    <xf numFmtId="0" fontId="39" fillId="2" borderId="13" xfId="14" applyFont="1" applyFill="1" applyBorder="1" applyAlignment="1">
      <alignment horizontal="right"/>
    </xf>
    <xf numFmtId="165" fontId="39" fillId="0" borderId="64" xfId="14" applyNumberFormat="1" applyFont="1" applyBorder="1"/>
    <xf numFmtId="164" fontId="39" fillId="0" borderId="17" xfId="14" applyNumberFormat="1" applyFont="1" applyBorder="1" applyAlignment="1">
      <alignment horizontal="right"/>
    </xf>
    <xf numFmtId="164" fontId="39" fillId="0" borderId="65" xfId="14" applyNumberFormat="1" applyFont="1" applyBorder="1" applyAlignment="1">
      <alignment horizontal="right"/>
    </xf>
    <xf numFmtId="164" fontId="39" fillId="0" borderId="17" xfId="14" applyNumberFormat="1" applyFont="1" applyFill="1" applyBorder="1" applyAlignment="1">
      <alignment horizontal="right"/>
    </xf>
    <xf numFmtId="0" fontId="36" fillId="0" borderId="154" xfId="25" applyFont="1" applyBorder="1" applyAlignment="1">
      <alignment horizontal="center"/>
    </xf>
    <xf numFmtId="0" fontId="36" fillId="0" borderId="165" xfId="25" applyFont="1" applyBorder="1" applyAlignment="1">
      <alignment horizontal="center" wrapText="1"/>
    </xf>
    <xf numFmtId="0" fontId="46" fillId="5" borderId="154" xfId="0" applyFont="1" applyFill="1" applyBorder="1"/>
    <xf numFmtId="0" fontId="36" fillId="5" borderId="165" xfId="0" applyFont="1" applyFill="1" applyBorder="1"/>
    <xf numFmtId="164" fontId="36" fillId="0" borderId="165" xfId="14" applyNumberFormat="1" applyFont="1" applyBorder="1" applyAlignment="1">
      <alignment horizontal="right"/>
    </xf>
    <xf numFmtId="0" fontId="46" fillId="0" borderId="35" xfId="9" quotePrefix="1" applyFont="1" applyBorder="1" applyAlignment="1">
      <alignment horizontal="left"/>
    </xf>
    <xf numFmtId="0" fontId="7" fillId="0" borderId="154" xfId="0" applyFont="1" applyBorder="1"/>
    <xf numFmtId="0" fontId="12" fillId="0" borderId="18" xfId="9" applyFont="1" applyBorder="1" applyAlignment="1">
      <alignment horizontal="center"/>
    </xf>
    <xf numFmtId="0" fontId="0" fillId="0" borderId="6" xfId="9" applyFont="1" applyBorder="1"/>
    <xf numFmtId="0" fontId="12" fillId="5" borderId="168" xfId="9" applyFont="1" applyFill="1" applyBorder="1" applyAlignment="1">
      <alignment horizontal="center"/>
    </xf>
    <xf numFmtId="0" fontId="7" fillId="7" borderId="16" xfId="9" applyFont="1" applyFill="1" applyBorder="1"/>
    <xf numFmtId="0" fontId="7" fillId="7" borderId="24" xfId="9" applyFont="1" applyFill="1" applyBorder="1"/>
    <xf numFmtId="0" fontId="7" fillId="7" borderId="25" xfId="9" applyFont="1" applyFill="1" applyBorder="1"/>
    <xf numFmtId="0" fontId="7" fillId="7" borderId="97" xfId="9" applyFont="1" applyFill="1" applyBorder="1"/>
    <xf numFmtId="0" fontId="36" fillId="0" borderId="154" xfId="13" applyFont="1" applyBorder="1" applyAlignment="1">
      <alignment horizontal="center"/>
    </xf>
    <xf numFmtId="0" fontId="46" fillId="0" borderId="154" xfId="13" applyFont="1" applyBorder="1"/>
    <xf numFmtId="0" fontId="2" fillId="0" borderId="5" xfId="9" applyFont="1" applyBorder="1"/>
    <xf numFmtId="167" fontId="0" fillId="0" borderId="0" xfId="0" applyNumberFormat="1"/>
    <xf numFmtId="164" fontId="0" fillId="0" borderId="0" xfId="26" applyNumberFormat="1" applyFont="1"/>
    <xf numFmtId="0" fontId="12" fillId="0" borderId="20" xfId="8" applyFont="1" applyFill="1" applyBorder="1"/>
    <xf numFmtId="0" fontId="12" fillId="0" borderId="20" xfId="8" applyFont="1" applyFill="1" applyBorder="1" applyAlignment="1">
      <alignment horizontal="center"/>
    </xf>
    <xf numFmtId="0" fontId="12" fillId="0" borderId="0" xfId="8" applyFont="1" applyFill="1"/>
    <xf numFmtId="0" fontId="12" fillId="0" borderId="0" xfId="8" applyFont="1" applyFill="1" applyAlignment="1">
      <alignment horizontal="center"/>
    </xf>
    <xf numFmtId="0" fontId="2" fillId="0" borderId="0" xfId="8" applyFont="1" applyFill="1"/>
    <xf numFmtId="0" fontId="2" fillId="0" borderId="0" xfId="32" applyFont="1" applyFill="1"/>
    <xf numFmtId="0" fontId="2" fillId="0" borderId="0" xfId="8" applyFont="1" applyFill="1" applyAlignment="1">
      <alignment horizontal="center"/>
    </xf>
    <xf numFmtId="0" fontId="2" fillId="0" borderId="0" xfId="32" applyFont="1" applyFill="1" applyAlignment="1">
      <alignment horizontal="center"/>
    </xf>
    <xf numFmtId="0" fontId="2" fillId="0" borderId="20" xfId="8" applyFont="1" applyFill="1" applyBorder="1" applyAlignment="1">
      <alignment horizontal="left"/>
    </xf>
    <xf numFmtId="0" fontId="2" fillId="0" borderId="20" xfId="8" applyFont="1" applyFill="1" applyBorder="1" applyAlignment="1">
      <alignment horizontal="center"/>
    </xf>
    <xf numFmtId="0" fontId="2" fillId="0" borderId="0" xfId="8" applyFont="1" applyFill="1" applyAlignment="1">
      <alignment horizontal="left"/>
    </xf>
    <xf numFmtId="0" fontId="2" fillId="0" borderId="0" xfId="8" applyFont="1" applyFill="1" applyAlignment="1"/>
    <xf numFmtId="0" fontId="2" fillId="0" borderId="0" xfId="8" applyFont="1" applyFill="1" applyAlignment="1">
      <alignment horizontal="right"/>
    </xf>
    <xf numFmtId="0" fontId="2" fillId="0" borderId="20" xfId="8" applyFont="1" applyFill="1" applyBorder="1" applyAlignment="1">
      <alignment horizontal="right"/>
    </xf>
    <xf numFmtId="0" fontId="9" fillId="0" borderId="0" xfId="17" applyFont="1" applyAlignment="1">
      <alignment horizontal="center"/>
    </xf>
    <xf numFmtId="0" fontId="2" fillId="0" borderId="4" xfId="15" applyFont="1" applyBorder="1"/>
    <xf numFmtId="0" fontId="3" fillId="0" borderId="6" xfId="15" applyFont="1" applyFill="1" applyBorder="1"/>
    <xf numFmtId="9" fontId="7" fillId="5" borderId="169" xfId="14" applyNumberFormat="1" applyFont="1" applyFill="1" applyBorder="1"/>
    <xf numFmtId="165" fontId="39" fillId="0" borderId="65" xfId="14" applyNumberFormat="1" applyFont="1" applyBorder="1"/>
    <xf numFmtId="0" fontId="12" fillId="0" borderId="0" xfId="17" applyFont="1" applyBorder="1" applyAlignment="1">
      <alignment horizontal="center"/>
    </xf>
    <xf numFmtId="164" fontId="7" fillId="0" borderId="0" xfId="26" applyNumberFormat="1" applyFont="1" applyFill="1" applyBorder="1" applyAlignment="1">
      <alignment horizontal="center"/>
    </xf>
    <xf numFmtId="164" fontId="3" fillId="0" borderId="0" xfId="27" applyNumberFormat="1" applyFont="1" applyBorder="1"/>
    <xf numFmtId="164" fontId="3" fillId="0" borderId="0" xfId="26" applyNumberFormat="1" applyFont="1" applyAlignment="1">
      <alignment horizontal="right"/>
    </xf>
    <xf numFmtId="164" fontId="3" fillId="0" borderId="0" xfId="26" applyNumberFormat="1" applyFont="1"/>
    <xf numFmtId="0" fontId="7" fillId="0" borderId="0" xfId="17" applyFont="1" applyFill="1"/>
    <xf numFmtId="0" fontId="54" fillId="0" borderId="0" xfId="17" applyFont="1" applyFill="1"/>
    <xf numFmtId="0" fontId="54" fillId="0" borderId="0" xfId="22" applyFont="1" applyFill="1"/>
    <xf numFmtId="0" fontId="2" fillId="0" borderId="0" xfId="22" applyFont="1"/>
    <xf numFmtId="0" fontId="61" fillId="0" borderId="0" xfId="0" applyFont="1"/>
    <xf numFmtId="0" fontId="56" fillId="0" borderId="0" xfId="0" applyFont="1"/>
    <xf numFmtId="164" fontId="7" fillId="0" borderId="153" xfId="24" applyNumberFormat="1" applyFont="1" applyBorder="1" applyAlignment="1">
      <alignment horizontal="right"/>
    </xf>
    <xf numFmtId="0" fontId="7" fillId="2" borderId="154" xfId="24" applyFont="1" applyFill="1" applyBorder="1" applyAlignment="1">
      <alignment horizontal="right"/>
    </xf>
    <xf numFmtId="164" fontId="7" fillId="0" borderId="154" xfId="24" applyNumberFormat="1" applyFont="1" applyBorder="1" applyAlignment="1">
      <alignment horizontal="right"/>
    </xf>
    <xf numFmtId="0" fontId="7" fillId="0" borderId="28" xfId="24" applyFont="1" applyBorder="1" applyAlignment="1">
      <alignment horizontal="center"/>
    </xf>
    <xf numFmtId="0" fontId="7" fillId="2" borderId="41" xfId="24" applyFont="1" applyFill="1" applyBorder="1" applyAlignment="1">
      <alignment horizontal="right"/>
    </xf>
    <xf numFmtId="0" fontId="7" fillId="2" borderId="27" xfId="24" applyFont="1" applyFill="1" applyBorder="1" applyAlignment="1">
      <alignment horizontal="right"/>
    </xf>
    <xf numFmtId="0" fontId="7" fillId="0" borderId="28" xfId="1" applyNumberFormat="1" applyFont="1" applyBorder="1" applyAlignment="1">
      <alignment horizontal="right"/>
    </xf>
    <xf numFmtId="0" fontId="12" fillId="0" borderId="57" xfId="24" applyFont="1" applyBorder="1" applyAlignment="1">
      <alignment horizontal="center"/>
    </xf>
    <xf numFmtId="0" fontId="12" fillId="0" borderId="57" xfId="24" applyFont="1" applyBorder="1" applyAlignment="1">
      <alignment horizontal="centerContinuous" vertical="center"/>
    </xf>
    <xf numFmtId="0" fontId="7" fillId="0" borderId="57" xfId="24" applyFont="1" applyBorder="1" applyAlignment="1">
      <alignment horizontal="center"/>
    </xf>
    <xf numFmtId="0" fontId="7" fillId="0" borderId="25" xfId="1" applyNumberFormat="1" applyFont="1" applyBorder="1" applyAlignment="1">
      <alignment horizontal="right"/>
    </xf>
    <xf numFmtId="0" fontId="7" fillId="2" borderId="15" xfId="24" applyFont="1" applyFill="1" applyBorder="1" applyAlignment="1">
      <alignment horizontal="right"/>
    </xf>
    <xf numFmtId="164" fontId="7" fillId="0" borderId="15" xfId="24" applyNumberFormat="1" applyFont="1" applyBorder="1" applyAlignment="1">
      <alignment horizontal="right"/>
    </xf>
    <xf numFmtId="164" fontId="7" fillId="0" borderId="16" xfId="24" applyNumberFormat="1" applyFont="1" applyBorder="1" applyAlignment="1">
      <alignment horizontal="right"/>
    </xf>
    <xf numFmtId="0" fontId="15" fillId="0" borderId="0" xfId="32" applyFont="1"/>
    <xf numFmtId="0" fontId="12" fillId="2" borderId="57" xfId="32" applyFont="1" applyFill="1" applyBorder="1" applyAlignment="1">
      <alignment horizontal="center" vertical="center" wrapText="1"/>
    </xf>
    <xf numFmtId="0" fontId="12" fillId="0" borderId="57" xfId="32" applyFont="1" applyFill="1" applyBorder="1" applyAlignment="1">
      <alignment horizontal="centerContinuous" vertical="center" wrapText="1"/>
    </xf>
    <xf numFmtId="0" fontId="12" fillId="0" borderId="58" xfId="32" applyFont="1" applyFill="1" applyBorder="1" applyAlignment="1">
      <alignment horizontal="centerContinuous" vertical="center" wrapText="1"/>
    </xf>
    <xf numFmtId="1" fontId="12" fillId="5" borderId="149" xfId="32" applyNumberFormat="1" applyFont="1" applyFill="1" applyBorder="1" applyAlignment="1">
      <alignment horizontal="centerContinuous" vertical="center"/>
    </xf>
    <xf numFmtId="1" fontId="12" fillId="5" borderId="2" xfId="32" applyNumberFormat="1" applyFont="1" applyFill="1" applyBorder="1" applyAlignment="1">
      <alignment horizontal="centerContinuous" vertical="center"/>
    </xf>
    <xf numFmtId="1" fontId="12" fillId="5" borderId="18" xfId="32" applyNumberFormat="1" applyFont="1" applyFill="1" applyBorder="1" applyAlignment="1">
      <alignment horizontal="centerContinuous" vertical="center"/>
    </xf>
    <xf numFmtId="1" fontId="12" fillId="5" borderId="165" xfId="32" applyNumberFormat="1" applyFont="1" applyFill="1" applyBorder="1" applyAlignment="1">
      <alignment horizontal="centerContinuous" vertical="center"/>
    </xf>
    <xf numFmtId="0" fontId="2" fillId="0" borderId="1" xfId="32" applyFont="1" applyBorder="1" applyAlignment="1">
      <alignment horizontal="left"/>
    </xf>
    <xf numFmtId="1" fontId="2" fillId="0" borderId="149" xfId="32" applyNumberFormat="1" applyFont="1" applyBorder="1"/>
    <xf numFmtId="1" fontId="2" fillId="0" borderId="2" xfId="32" applyNumberFormat="1" applyFont="1" applyBorder="1"/>
    <xf numFmtId="1" fontId="2" fillId="0" borderId="18" xfId="32" applyNumberFormat="1" applyFont="1" applyBorder="1"/>
    <xf numFmtId="1" fontId="2" fillId="0" borderId="18" xfId="32" applyNumberFormat="1" applyFont="1" applyFill="1" applyBorder="1"/>
    <xf numFmtId="1" fontId="12" fillId="0" borderId="18" xfId="32" applyNumberFormat="1" applyFont="1" applyBorder="1"/>
    <xf numFmtId="164" fontId="2" fillId="0" borderId="18" xfId="31" applyNumberFormat="1" applyFont="1" applyBorder="1"/>
    <xf numFmtId="1" fontId="12" fillId="0" borderId="1" xfId="32" applyNumberFormat="1" applyFont="1" applyBorder="1" applyAlignment="1">
      <alignment horizontal="left"/>
    </xf>
    <xf numFmtId="1" fontId="12" fillId="0" borderId="149" xfId="32" applyNumberFormat="1" applyFont="1" applyBorder="1"/>
    <xf numFmtId="1" fontId="12" fillId="0" borderId="2" xfId="32" applyNumberFormat="1" applyFont="1" applyBorder="1"/>
    <xf numFmtId="164" fontId="12" fillId="0" borderId="18" xfId="31" applyNumberFormat="1" applyFont="1" applyBorder="1"/>
    <xf numFmtId="1" fontId="2" fillId="0" borderId="0" xfId="32" applyNumberFormat="1" applyFont="1"/>
    <xf numFmtId="0" fontId="2" fillId="11" borderId="1" xfId="32" applyFill="1" applyBorder="1"/>
    <xf numFmtId="1" fontId="2" fillId="0" borderId="152" xfId="32" applyNumberFormat="1" applyFont="1" applyBorder="1"/>
    <xf numFmtId="1" fontId="2" fillId="0" borderId="51" xfId="32" applyNumberFormat="1" applyFont="1" applyBorder="1"/>
    <xf numFmtId="0" fontId="2" fillId="11" borderId="0" xfId="32" applyFont="1" applyFill="1"/>
    <xf numFmtId="0" fontId="2" fillId="0" borderId="1" xfId="32" applyFont="1" applyBorder="1"/>
    <xf numFmtId="1" fontId="2" fillId="0" borderId="31" xfId="32" applyNumberFormat="1" applyFont="1" applyFill="1" applyBorder="1"/>
    <xf numFmtId="1" fontId="2" fillId="0" borderId="149" xfId="32" applyNumberFormat="1" applyFont="1" applyFill="1" applyBorder="1"/>
    <xf numFmtId="1" fontId="2" fillId="0" borderId="51" xfId="32" applyNumberFormat="1" applyFont="1" applyFill="1" applyBorder="1"/>
    <xf numFmtId="0" fontId="12" fillId="0" borderId="1" xfId="32" applyFont="1" applyBorder="1" applyAlignment="1">
      <alignment horizontal="left"/>
    </xf>
    <xf numFmtId="0" fontId="2" fillId="0" borderId="1" xfId="32" applyFont="1" applyFill="1" applyBorder="1" applyAlignment="1">
      <alignment horizontal="left"/>
    </xf>
    <xf numFmtId="1" fontId="2" fillId="0" borderId="149" xfId="32" applyNumberFormat="1" applyFont="1" applyFill="1" applyBorder="1" applyAlignment="1">
      <alignment horizontal="right" vertical="center"/>
    </xf>
    <xf numFmtId="1" fontId="2" fillId="0" borderId="2" xfId="32" applyNumberFormat="1" applyFont="1" applyFill="1" applyBorder="1" applyAlignment="1">
      <alignment horizontal="right" vertical="center"/>
    </xf>
    <xf numFmtId="1" fontId="2" fillId="0" borderId="18" xfId="32" applyNumberFormat="1" applyFont="1" applyFill="1" applyBorder="1" applyAlignment="1">
      <alignment horizontal="right" vertical="center"/>
    </xf>
    <xf numFmtId="1" fontId="12" fillId="0" borderId="51" xfId="32" applyNumberFormat="1" applyFont="1" applyBorder="1"/>
    <xf numFmtId="0" fontId="2" fillId="0" borderId="1" xfId="32" applyFont="1" applyFill="1" applyBorder="1"/>
    <xf numFmtId="1" fontId="12" fillId="5" borderId="149" xfId="32" applyNumberFormat="1" applyFont="1" applyFill="1" applyBorder="1" applyAlignment="1">
      <alignment horizontal="center" vertical="center"/>
    </xf>
    <xf numFmtId="0" fontId="2" fillId="0" borderId="1" xfId="32" applyBorder="1"/>
    <xf numFmtId="1" fontId="12" fillId="11" borderId="149" xfId="32" applyNumberFormat="1" applyFont="1" applyFill="1" applyBorder="1" applyAlignment="1">
      <alignment horizontal="centerContinuous" vertical="center"/>
    </xf>
    <xf numFmtId="1" fontId="12" fillId="11" borderId="2" xfId="32" applyNumberFormat="1" applyFont="1" applyFill="1" applyBorder="1" applyAlignment="1">
      <alignment horizontal="centerContinuous" vertical="center"/>
    </xf>
    <xf numFmtId="1" fontId="12" fillId="11" borderId="18" xfId="32" applyNumberFormat="1" applyFont="1" applyFill="1" applyBorder="1" applyAlignment="1">
      <alignment horizontal="centerContinuous" vertical="center"/>
    </xf>
    <xf numFmtId="1" fontId="12" fillId="11" borderId="165" xfId="32" applyNumberFormat="1" applyFont="1" applyFill="1" applyBorder="1" applyAlignment="1">
      <alignment horizontal="centerContinuous" vertical="center"/>
    </xf>
    <xf numFmtId="1" fontId="2" fillId="0" borderId="149" xfId="32" applyNumberFormat="1" applyFont="1" applyFill="1" applyBorder="1" applyAlignment="1">
      <alignment vertical="center"/>
    </xf>
    <xf numFmtId="1" fontId="2" fillId="0" borderId="2" xfId="32" applyNumberFormat="1" applyFont="1" applyFill="1" applyBorder="1" applyAlignment="1">
      <alignment vertical="center"/>
    </xf>
    <xf numFmtId="1" fontId="2" fillId="0" borderId="18" xfId="32" applyNumberFormat="1" applyFont="1" applyFill="1" applyBorder="1" applyAlignment="1">
      <alignment vertical="center"/>
    </xf>
    <xf numFmtId="1" fontId="12" fillId="5" borderId="149" xfId="32" applyNumberFormat="1" applyFont="1" applyFill="1" applyBorder="1" applyAlignment="1">
      <alignment horizontal="right" vertical="center"/>
    </xf>
    <xf numFmtId="1" fontId="12" fillId="5" borderId="2" xfId="32" applyNumberFormat="1" applyFont="1" applyFill="1" applyBorder="1" applyAlignment="1">
      <alignment horizontal="right" vertical="center"/>
    </xf>
    <xf numFmtId="1" fontId="12" fillId="5" borderId="18" xfId="32" applyNumberFormat="1" applyFont="1" applyFill="1" applyBorder="1" applyAlignment="1">
      <alignment horizontal="right" vertical="center"/>
    </xf>
    <xf numFmtId="1" fontId="2" fillId="0" borderId="2" xfId="32" applyNumberFormat="1" applyFont="1" applyFill="1" applyBorder="1"/>
    <xf numFmtId="1" fontId="12" fillId="5" borderId="15" xfId="32" applyNumberFormat="1" applyFont="1" applyFill="1" applyBorder="1" applyAlignment="1">
      <alignment horizontal="right" vertical="center"/>
    </xf>
    <xf numFmtId="1" fontId="12" fillId="5" borderId="24" xfId="32" applyNumberFormat="1" applyFont="1" applyFill="1" applyBorder="1" applyAlignment="1">
      <alignment horizontal="right" vertical="center"/>
    </xf>
    <xf numFmtId="1" fontId="12" fillId="5" borderId="25" xfId="32" applyNumberFormat="1" applyFont="1" applyFill="1" applyBorder="1" applyAlignment="1">
      <alignment horizontal="right" vertical="center"/>
    </xf>
    <xf numFmtId="1" fontId="12" fillId="0" borderId="0" xfId="32" applyNumberFormat="1" applyFont="1"/>
    <xf numFmtId="0" fontId="12" fillId="0" borderId="0" xfId="32" applyFont="1"/>
    <xf numFmtId="1" fontId="12" fillId="9" borderId="25" xfId="32" applyNumberFormat="1" applyFont="1" applyFill="1" applyBorder="1" applyAlignment="1">
      <alignment horizontal="right" vertical="center"/>
    </xf>
    <xf numFmtId="1" fontId="12" fillId="9" borderId="18" xfId="32" applyNumberFormat="1" applyFont="1" applyFill="1" applyBorder="1"/>
    <xf numFmtId="1" fontId="12" fillId="9" borderId="18" xfId="32" applyNumberFormat="1" applyFont="1" applyFill="1" applyBorder="1" applyAlignment="1">
      <alignment horizontal="right" vertical="center"/>
    </xf>
    <xf numFmtId="1" fontId="12" fillId="9" borderId="165" xfId="32" applyNumberFormat="1" applyFont="1" applyFill="1" applyBorder="1" applyAlignment="1">
      <alignment horizontal="center" vertical="center"/>
    </xf>
    <xf numFmtId="0" fontId="12" fillId="9" borderId="1" xfId="32" applyFont="1" applyFill="1" applyBorder="1"/>
    <xf numFmtId="0" fontId="12" fillId="9" borderId="23" xfId="32" applyFont="1" applyFill="1" applyBorder="1"/>
    <xf numFmtId="1" fontId="12" fillId="9" borderId="165" xfId="32" applyNumberFormat="1" applyFont="1" applyFill="1" applyBorder="1" applyAlignment="1">
      <alignment horizontal="centerContinuous" vertical="center"/>
    </xf>
    <xf numFmtId="1" fontId="12" fillId="9" borderId="18" xfId="32" applyNumberFormat="1" applyFont="1" applyFill="1" applyBorder="1" applyAlignment="1">
      <alignment horizontal="centerContinuous" vertical="center"/>
    </xf>
    <xf numFmtId="0" fontId="9" fillId="5" borderId="119" xfId="0" applyFont="1" applyFill="1" applyBorder="1" applyAlignment="1"/>
    <xf numFmtId="164" fontId="36" fillId="0" borderId="150" xfId="14" applyNumberFormat="1" applyFont="1" applyBorder="1" applyAlignment="1">
      <alignment horizontal="right"/>
    </xf>
    <xf numFmtId="164" fontId="36" fillId="0" borderId="16" xfId="14" applyNumberFormat="1" applyFont="1" applyBorder="1" applyAlignment="1">
      <alignment horizontal="right"/>
    </xf>
    <xf numFmtId="164" fontId="9" fillId="5" borderId="65" xfId="0" applyNumberFormat="1" applyFont="1" applyFill="1" applyBorder="1"/>
    <xf numFmtId="0" fontId="9" fillId="5" borderId="116" xfId="0" applyFont="1" applyFill="1" applyBorder="1" applyAlignment="1"/>
    <xf numFmtId="0" fontId="9" fillId="5" borderId="122" xfId="0" applyFont="1" applyFill="1" applyBorder="1" applyAlignment="1"/>
    <xf numFmtId="0" fontId="46" fillId="4" borderId="154" xfId="0" applyFont="1" applyFill="1" applyBorder="1"/>
    <xf numFmtId="0" fontId="46" fillId="0" borderId="154" xfId="9" applyFont="1" applyFill="1" applyBorder="1"/>
    <xf numFmtId="0" fontId="46" fillId="0" borderId="154" xfId="9" applyFont="1" applyBorder="1" applyAlignment="1">
      <alignment horizontal="right"/>
    </xf>
    <xf numFmtId="0" fontId="36" fillId="5" borderId="45" xfId="0" applyFont="1" applyFill="1" applyBorder="1"/>
    <xf numFmtId="0" fontId="46" fillId="4" borderId="35" xfId="0" applyFont="1" applyFill="1" applyBorder="1"/>
    <xf numFmtId="164" fontId="9" fillId="5" borderId="17" xfId="0" applyNumberFormat="1" applyFont="1" applyFill="1" applyBorder="1"/>
    <xf numFmtId="164" fontId="9" fillId="5" borderId="21" xfId="0" applyNumberFormat="1" applyFont="1" applyFill="1" applyBorder="1"/>
    <xf numFmtId="0" fontId="46" fillId="5" borderId="172" xfId="0" applyFont="1" applyFill="1" applyBorder="1"/>
    <xf numFmtId="0" fontId="46" fillId="0" borderId="172" xfId="9" applyFont="1" applyBorder="1"/>
    <xf numFmtId="0" fontId="8" fillId="5" borderId="51" xfId="0" applyFont="1" applyFill="1" applyBorder="1"/>
    <xf numFmtId="0" fontId="9" fillId="0" borderId="51" xfId="9" applyFont="1" applyBorder="1"/>
    <xf numFmtId="0" fontId="46" fillId="5" borderId="51" xfId="0" applyFont="1" applyFill="1" applyBorder="1"/>
    <xf numFmtId="0" fontId="8" fillId="5" borderId="172" xfId="0" applyFont="1" applyFill="1" applyBorder="1"/>
    <xf numFmtId="0" fontId="9" fillId="5" borderId="172" xfId="0" applyFont="1" applyFill="1" applyBorder="1"/>
    <xf numFmtId="0" fontId="46" fillId="0" borderId="172" xfId="9" applyFont="1" applyFill="1" applyBorder="1"/>
    <xf numFmtId="0" fontId="46" fillId="0" borderId="172" xfId="0" applyFont="1" applyFill="1" applyBorder="1"/>
    <xf numFmtId="0" fontId="46" fillId="0" borderId="172" xfId="9" applyFont="1" applyBorder="1" applyAlignment="1">
      <alignment horizontal="right"/>
    </xf>
    <xf numFmtId="1" fontId="9" fillId="5" borderId="15" xfId="9" applyNumberFormat="1" applyFont="1" applyFill="1" applyBorder="1"/>
    <xf numFmtId="0" fontId="9" fillId="0" borderId="29" xfId="9" applyFont="1" applyBorder="1"/>
    <xf numFmtId="0" fontId="46" fillId="0" borderId="35" xfId="9" applyFont="1" applyFill="1" applyBorder="1"/>
    <xf numFmtId="0" fontId="9" fillId="0" borderId="51" xfId="9" applyFont="1" applyFill="1" applyBorder="1"/>
    <xf numFmtId="0" fontId="36" fillId="5" borderId="172" xfId="0" applyFont="1" applyFill="1" applyBorder="1"/>
    <xf numFmtId="0" fontId="46" fillId="0" borderId="35" xfId="0" applyFont="1" applyFill="1" applyBorder="1"/>
    <xf numFmtId="0" fontId="9" fillId="5" borderId="97" xfId="0" applyFont="1" applyFill="1" applyBorder="1"/>
    <xf numFmtId="0" fontId="9" fillId="5" borderId="24" xfId="0" applyFont="1" applyFill="1" applyBorder="1"/>
    <xf numFmtId="0" fontId="9" fillId="5" borderId="98" xfId="0" applyFont="1" applyFill="1" applyBorder="1"/>
    <xf numFmtId="0" fontId="9" fillId="5" borderId="15" xfId="0" applyFont="1" applyFill="1" applyBorder="1"/>
    <xf numFmtId="1" fontId="9" fillId="5" borderId="16" xfId="9" applyNumberFormat="1" applyFont="1" applyFill="1" applyBorder="1"/>
    <xf numFmtId="0" fontId="9" fillId="0" borderId="52" xfId="9" applyFont="1" applyBorder="1"/>
    <xf numFmtId="0" fontId="36" fillId="5" borderId="116" xfId="0" applyFont="1" applyFill="1" applyBorder="1"/>
    <xf numFmtId="0" fontId="36" fillId="5" borderId="119" xfId="0" applyFont="1" applyFill="1" applyBorder="1"/>
    <xf numFmtId="0" fontId="46" fillId="5" borderId="119" xfId="0" applyFont="1" applyFill="1" applyBorder="1"/>
    <xf numFmtId="0" fontId="9" fillId="5" borderId="119" xfId="0" applyFont="1" applyFill="1" applyBorder="1"/>
    <xf numFmtId="0" fontId="8" fillId="5" borderId="119" xfId="0" applyFont="1" applyFill="1" applyBorder="1"/>
    <xf numFmtId="0" fontId="46" fillId="5" borderId="122" xfId="0" applyFont="1" applyFill="1" applyBorder="1"/>
    <xf numFmtId="0" fontId="46" fillId="0" borderId="35" xfId="9" applyFont="1" applyFill="1" applyBorder="1" applyAlignment="1">
      <alignment horizontal="right"/>
    </xf>
    <xf numFmtId="0" fontId="36" fillId="0" borderId="165" xfId="13" applyFont="1" applyBorder="1" applyAlignment="1">
      <alignment horizontal="center"/>
    </xf>
    <xf numFmtId="0" fontId="2" fillId="0" borderId="0" xfId="0" applyFont="1" applyFill="1" applyBorder="1"/>
    <xf numFmtId="0" fontId="7" fillId="0" borderId="154" xfId="9" applyFont="1" applyBorder="1"/>
    <xf numFmtId="0" fontId="22" fillId="0" borderId="153" xfId="22" applyFont="1" applyBorder="1" applyAlignment="1">
      <alignment horizontal="center"/>
    </xf>
    <xf numFmtId="0" fontId="2" fillId="0" borderId="28" xfId="22" applyFont="1" applyBorder="1"/>
    <xf numFmtId="0" fontId="25" fillId="0" borderId="154" xfId="22" applyFont="1" applyBorder="1" applyAlignment="1">
      <alignment horizontal="center" vertical="center" wrapText="1"/>
    </xf>
    <xf numFmtId="0" fontId="25" fillId="0" borderId="165" xfId="22" applyFont="1" applyBorder="1" applyAlignment="1">
      <alignment horizontal="center" vertical="center" wrapText="1"/>
    </xf>
    <xf numFmtId="0" fontId="2" fillId="5" borderId="6" xfId="22" applyFont="1" applyFill="1" applyBorder="1"/>
    <xf numFmtId="0" fontId="2" fillId="5" borderId="1" xfId="22" applyFont="1" applyFill="1" applyBorder="1"/>
    <xf numFmtId="0" fontId="2" fillId="5" borderId="172" xfId="22" applyFont="1" applyFill="1" applyBorder="1"/>
    <xf numFmtId="0" fontId="2" fillId="5" borderId="165" xfId="22" applyFont="1" applyFill="1" applyBorder="1"/>
    <xf numFmtId="0" fontId="2" fillId="5" borderId="45" xfId="22" applyFont="1" applyFill="1" applyBorder="1"/>
    <xf numFmtId="0" fontId="2" fillId="0" borderId="6" xfId="22" applyFont="1" applyBorder="1"/>
    <xf numFmtId="0" fontId="2" fillId="0" borderId="1" xfId="22" applyFont="1" applyBorder="1"/>
    <xf numFmtId="0" fontId="2" fillId="0" borderId="154" xfId="22" applyFont="1" applyBorder="1"/>
    <xf numFmtId="164" fontId="2" fillId="0" borderId="165" xfId="22" applyNumberFormat="1" applyFont="1" applyBorder="1"/>
    <xf numFmtId="0" fontId="12" fillId="0" borderId="154" xfId="22" applyFont="1" applyBorder="1"/>
    <xf numFmtId="164" fontId="12" fillId="0" borderId="165" xfId="22" applyNumberFormat="1" applyFont="1" applyBorder="1"/>
    <xf numFmtId="0" fontId="12" fillId="0" borderId="154" xfId="22" applyFont="1" applyFill="1" applyBorder="1"/>
    <xf numFmtId="0" fontId="16" fillId="0" borderId="0" xfId="22" applyFont="1" applyBorder="1"/>
    <xf numFmtId="0" fontId="2" fillId="0" borderId="0" xfId="22" applyFont="1" applyBorder="1"/>
    <xf numFmtId="0" fontId="2" fillId="0" borderId="0" xfId="22" applyFont="1" applyFill="1" applyBorder="1"/>
    <xf numFmtId="0" fontId="2" fillId="0" borderId="0" xfId="32"/>
    <xf numFmtId="0" fontId="36" fillId="5" borderId="52" xfId="32" applyFont="1" applyFill="1" applyBorder="1"/>
    <xf numFmtId="0" fontId="2" fillId="0" borderId="0" xfId="32" applyFill="1"/>
    <xf numFmtId="164" fontId="36" fillId="0" borderId="27" xfId="31" applyNumberFormat="1" applyFont="1" applyBorder="1"/>
    <xf numFmtId="164" fontId="36" fillId="0" borderId="173" xfId="14" applyNumberFormat="1" applyFont="1" applyBorder="1" applyAlignment="1">
      <alignment horizontal="right"/>
    </xf>
    <xf numFmtId="0" fontId="46" fillId="5" borderId="149" xfId="32" applyFont="1" applyFill="1" applyBorder="1"/>
    <xf numFmtId="0" fontId="46" fillId="5" borderId="172" xfId="32" applyFont="1" applyFill="1" applyBorder="1"/>
    <xf numFmtId="0" fontId="36" fillId="5" borderId="51" xfId="32" applyFont="1" applyFill="1" applyBorder="1"/>
    <xf numFmtId="0" fontId="36" fillId="0" borderId="52" xfId="32" applyFont="1" applyFill="1" applyBorder="1"/>
    <xf numFmtId="164" fontId="36" fillId="0" borderId="34" xfId="14" applyNumberFormat="1" applyFont="1" applyBorder="1" applyAlignment="1">
      <alignment horizontal="right"/>
    </xf>
    <xf numFmtId="0" fontId="36" fillId="5" borderId="107" xfId="0" applyFont="1" applyFill="1" applyBorder="1" applyAlignment="1"/>
    <xf numFmtId="0" fontId="36" fillId="5" borderId="31" xfId="0" applyFont="1" applyFill="1" applyBorder="1" applyAlignment="1"/>
    <xf numFmtId="164" fontId="36" fillId="0" borderId="56" xfId="14" applyNumberFormat="1" applyFont="1" applyBorder="1" applyAlignment="1">
      <alignment horizontal="right"/>
    </xf>
    <xf numFmtId="0" fontId="36" fillId="5" borderId="56" xfId="0" applyFont="1" applyFill="1" applyBorder="1"/>
    <xf numFmtId="164" fontId="36" fillId="0" borderId="55" xfId="14" applyNumberFormat="1" applyFont="1" applyBorder="1" applyAlignment="1">
      <alignment horizontal="right"/>
    </xf>
    <xf numFmtId="164" fontId="36" fillId="0" borderId="56" xfId="14" applyNumberFormat="1" applyFont="1" applyFill="1" applyBorder="1" applyAlignment="1">
      <alignment horizontal="right"/>
    </xf>
    <xf numFmtId="0" fontId="36" fillId="0" borderId="56" xfId="25" applyFont="1" applyBorder="1" applyAlignment="1">
      <alignment horizontal="center" wrapText="1"/>
    </xf>
    <xf numFmtId="0" fontId="36" fillId="5" borderId="67" xfId="0" applyFont="1" applyFill="1" applyBorder="1" applyAlignment="1"/>
    <xf numFmtId="164" fontId="9" fillId="5" borderId="147" xfId="0" applyNumberFormat="1" applyFont="1" applyFill="1" applyBorder="1"/>
    <xf numFmtId="0" fontId="46" fillId="0" borderId="149" xfId="13" applyFont="1" applyBorder="1"/>
    <xf numFmtId="0" fontId="46" fillId="0" borderId="165" xfId="9" applyFont="1" applyBorder="1"/>
    <xf numFmtId="0" fontId="46" fillId="2" borderId="149" xfId="13" applyFont="1" applyFill="1" applyBorder="1"/>
    <xf numFmtId="0" fontId="39" fillId="0" borderId="9" xfId="9" applyFont="1" applyBorder="1" applyAlignment="1">
      <alignment wrapText="1"/>
    </xf>
    <xf numFmtId="0" fontId="2" fillId="0" borderId="174" xfId="32" applyFont="1" applyBorder="1"/>
    <xf numFmtId="0" fontId="7" fillId="0" borderId="176" xfId="12" applyFont="1" applyBorder="1"/>
    <xf numFmtId="0" fontId="2" fillId="0" borderId="174" xfId="12" applyFont="1" applyBorder="1"/>
    <xf numFmtId="0" fontId="2" fillId="0" borderId="4" xfId="12" applyFont="1" applyBorder="1"/>
    <xf numFmtId="0" fontId="2" fillId="0" borderId="35" xfId="23" applyFont="1" applyBorder="1" applyAlignment="1">
      <alignment horizontal="right"/>
    </xf>
    <xf numFmtId="0" fontId="54" fillId="0" borderId="0" xfId="0" applyFont="1" applyFill="1" applyBorder="1"/>
    <xf numFmtId="0" fontId="54" fillId="0" borderId="0" xfId="0" applyFont="1" applyFill="1" applyBorder="1" applyAlignment="1">
      <alignment horizontal="center"/>
    </xf>
    <xf numFmtId="0" fontId="54" fillId="0" borderId="0" xfId="0" applyFont="1" applyFill="1" applyBorder="1" applyAlignment="1">
      <alignment horizontal="right"/>
    </xf>
    <xf numFmtId="0" fontId="52" fillId="0" borderId="0" xfId="0" applyFont="1" applyFill="1"/>
    <xf numFmtId="0" fontId="52" fillId="11" borderId="0" xfId="0" applyFont="1" applyFill="1"/>
    <xf numFmtId="0" fontId="7" fillId="5" borderId="149" xfId="24" applyFont="1" applyFill="1" applyBorder="1" applyAlignment="1">
      <alignment horizontal="right"/>
    </xf>
    <xf numFmtId="164" fontId="7" fillId="5" borderId="149" xfId="24" applyNumberFormat="1" applyFont="1" applyFill="1" applyBorder="1" applyAlignment="1">
      <alignment horizontal="right"/>
    </xf>
    <xf numFmtId="0" fontId="7" fillId="0" borderId="149" xfId="24" applyFont="1" applyBorder="1" applyAlignment="1">
      <alignment horizontal="right"/>
    </xf>
    <xf numFmtId="164" fontId="7" fillId="0" borderId="149" xfId="24" applyNumberFormat="1" applyFont="1" applyBorder="1" applyAlignment="1">
      <alignment horizontal="right"/>
    </xf>
    <xf numFmtId="0" fontId="12" fillId="0" borderId="149" xfId="24" applyFont="1" applyBorder="1" applyAlignment="1">
      <alignment horizontal="center" vertical="center"/>
    </xf>
    <xf numFmtId="164" fontId="12" fillId="0" borderId="149" xfId="24" applyNumberFormat="1" applyFont="1" applyBorder="1" applyAlignment="1">
      <alignment horizontal="center" vertical="center" wrapText="1"/>
    </xf>
    <xf numFmtId="164" fontId="12" fillId="0" borderId="149" xfId="24" applyNumberFormat="1" applyFont="1" applyBorder="1" applyAlignment="1">
      <alignment horizontal="center" vertical="top" wrapText="1"/>
    </xf>
    <xf numFmtId="0" fontId="7" fillId="9" borderId="149" xfId="24" applyFont="1" applyFill="1" applyBorder="1" applyAlignment="1">
      <alignment horizontal="center"/>
    </xf>
    <xf numFmtId="0" fontId="7" fillId="5" borderId="172" xfId="24" applyFont="1" applyFill="1" applyBorder="1" applyAlignment="1">
      <alignment horizontal="right"/>
    </xf>
    <xf numFmtId="164" fontId="7" fillId="5" borderId="172" xfId="24" applyNumberFormat="1" applyFont="1" applyFill="1" applyBorder="1" applyAlignment="1">
      <alignment horizontal="right"/>
    </xf>
    <xf numFmtId="0" fontId="7" fillId="0" borderId="176" xfId="24" applyFont="1" applyBorder="1" applyAlignment="1">
      <alignment horizontal="right"/>
    </xf>
    <xf numFmtId="164" fontId="7" fillId="0" borderId="176" xfId="24" applyNumberFormat="1" applyFont="1" applyBorder="1" applyAlignment="1">
      <alignment horizontal="right"/>
    </xf>
    <xf numFmtId="164" fontId="7" fillId="0" borderId="177" xfId="24" applyNumberFormat="1" applyFont="1" applyBorder="1" applyAlignment="1">
      <alignment horizontal="right"/>
    </xf>
    <xf numFmtId="0" fontId="7" fillId="0" borderId="177" xfId="24" applyFont="1" applyBorder="1" applyAlignment="1">
      <alignment horizontal="right"/>
    </xf>
    <xf numFmtId="0" fontId="7" fillId="9" borderId="51" xfId="24" applyFont="1" applyFill="1" applyBorder="1" applyAlignment="1">
      <alignment horizontal="center"/>
    </xf>
    <xf numFmtId="0" fontId="7" fillId="0" borderId="15" xfId="24" applyFont="1" applyBorder="1" applyAlignment="1">
      <alignment horizontal="right"/>
    </xf>
    <xf numFmtId="0" fontId="7" fillId="9" borderId="18" xfId="24" applyFont="1" applyFill="1" applyBorder="1" applyAlignment="1">
      <alignment horizontal="center"/>
    </xf>
    <xf numFmtId="0" fontId="7" fillId="0" borderId="18" xfId="24" applyFont="1" applyBorder="1" applyAlignment="1">
      <alignment horizontal="center"/>
    </xf>
    <xf numFmtId="0" fontId="12" fillId="0" borderId="18" xfId="24" applyFont="1" applyBorder="1" applyAlignment="1">
      <alignment horizontal="center" vertical="top"/>
    </xf>
    <xf numFmtId="164" fontId="7" fillId="0" borderId="51" xfId="24" applyNumberFormat="1" applyFont="1" applyBorder="1" applyAlignment="1">
      <alignment horizontal="right"/>
    </xf>
    <xf numFmtId="164" fontId="12" fillId="0" borderId="51" xfId="24" applyNumberFormat="1" applyFont="1" applyBorder="1" applyAlignment="1">
      <alignment horizontal="center" vertical="center" wrapText="1"/>
    </xf>
    <xf numFmtId="164" fontId="7" fillId="5" borderId="51" xfId="24" applyNumberFormat="1" applyFont="1" applyFill="1" applyBorder="1" applyAlignment="1">
      <alignment horizontal="right"/>
    </xf>
    <xf numFmtId="164" fontId="12" fillId="0" borderId="51" xfId="24" applyNumberFormat="1" applyFont="1" applyBorder="1" applyAlignment="1">
      <alignment horizontal="center" vertical="top" wrapText="1"/>
    </xf>
    <xf numFmtId="0" fontId="7" fillId="9" borderId="172" xfId="24" applyFont="1" applyFill="1" applyBorder="1" applyAlignment="1">
      <alignment horizontal="center"/>
    </xf>
    <xf numFmtId="0" fontId="7" fillId="0" borderId="172" xfId="24" applyFont="1" applyBorder="1" applyAlignment="1">
      <alignment horizontal="right"/>
    </xf>
    <xf numFmtId="0" fontId="12" fillId="0" borderId="172" xfId="24" applyFont="1" applyBorder="1" applyAlignment="1">
      <alignment horizontal="center" vertical="center"/>
    </xf>
    <xf numFmtId="0" fontId="7" fillId="9" borderId="1" xfId="24" applyFont="1" applyFill="1" applyBorder="1" applyAlignment="1">
      <alignment horizontal="center"/>
    </xf>
    <xf numFmtId="0" fontId="12" fillId="0" borderId="1" xfId="24" applyFont="1" applyBorder="1" applyAlignment="1">
      <alignment horizontal="center"/>
    </xf>
    <xf numFmtId="0" fontId="12" fillId="0" borderId="1" xfId="24" applyFont="1" applyBorder="1" applyAlignment="1">
      <alignment horizontal="center" vertical="center" wrapText="1"/>
    </xf>
    <xf numFmtId="0" fontId="12" fillId="0" borderId="1" xfId="24" applyFont="1" applyBorder="1" applyAlignment="1">
      <alignment horizontal="center" vertical="center"/>
    </xf>
    <xf numFmtId="0" fontId="2" fillId="0" borderId="5" xfId="0" applyFont="1" applyBorder="1"/>
    <xf numFmtId="0" fontId="7" fillId="0" borderId="176" xfId="10" applyFont="1" applyBorder="1"/>
    <xf numFmtId="0" fontId="2" fillId="0" borderId="174" xfId="10" applyFont="1" applyBorder="1"/>
    <xf numFmtId="0" fontId="7" fillId="0" borderId="176" xfId="12" applyFont="1" applyFill="1" applyBorder="1"/>
    <xf numFmtId="0" fontId="2" fillId="0" borderId="174" xfId="12" applyFont="1" applyFill="1" applyBorder="1"/>
    <xf numFmtId="0" fontId="0" fillId="0" borderId="149" xfId="0" applyBorder="1" applyAlignment="1">
      <alignment horizontal="left"/>
    </xf>
    <xf numFmtId="0" fontId="3" fillId="0" borderId="149" xfId="0" applyFont="1" applyBorder="1" applyAlignment="1">
      <alignment horizontal="left"/>
    </xf>
    <xf numFmtId="165" fontId="3" fillId="0" borderId="172" xfId="14" applyNumberFormat="1" applyFont="1" applyBorder="1"/>
    <xf numFmtId="165" fontId="3" fillId="0" borderId="149" xfId="14" applyNumberFormat="1" applyFont="1" applyBorder="1"/>
    <xf numFmtId="165" fontId="3" fillId="0" borderId="27" xfId="14" applyNumberFormat="1" applyFont="1" applyBorder="1"/>
    <xf numFmtId="165" fontId="3" fillId="0" borderId="38" xfId="14" applyNumberFormat="1" applyFont="1" applyBorder="1"/>
    <xf numFmtId="165" fontId="7" fillId="0" borderId="34" xfId="14" applyNumberFormat="1" applyFont="1" applyBorder="1"/>
    <xf numFmtId="165" fontId="7" fillId="0" borderId="36" xfId="14" applyNumberFormat="1" applyFont="1" applyBorder="1"/>
    <xf numFmtId="164" fontId="12" fillId="0" borderId="34" xfId="14" applyNumberFormat="1" applyFont="1" applyBorder="1" applyAlignment="1">
      <alignment horizontal="right"/>
    </xf>
    <xf numFmtId="165" fontId="7" fillId="0" borderId="27" xfId="14" applyNumberFormat="1" applyFont="1" applyBorder="1"/>
    <xf numFmtId="165" fontId="7" fillId="0" borderId="38" xfId="14" applyNumberFormat="1" applyFont="1" applyBorder="1"/>
    <xf numFmtId="165" fontId="7" fillId="0" borderId="37" xfId="14" applyNumberFormat="1" applyFont="1" applyBorder="1"/>
    <xf numFmtId="164" fontId="12" fillId="0" borderId="74" xfId="14" applyNumberFormat="1" applyFont="1" applyBorder="1" applyAlignment="1">
      <alignment horizontal="right"/>
    </xf>
    <xf numFmtId="165" fontId="7" fillId="0" borderId="47" xfId="14" applyNumberFormat="1" applyFont="1" applyBorder="1"/>
    <xf numFmtId="164" fontId="12" fillId="0" borderId="22" xfId="14" applyNumberFormat="1" applyFont="1" applyBorder="1" applyAlignment="1">
      <alignment horizontal="right"/>
    </xf>
    <xf numFmtId="0" fontId="46" fillId="0" borderId="176" xfId="9" applyFont="1" applyBorder="1"/>
    <xf numFmtId="164" fontId="36" fillId="0" borderId="177" xfId="14" applyNumberFormat="1" applyFont="1" applyBorder="1" applyAlignment="1">
      <alignment horizontal="right"/>
    </xf>
    <xf numFmtId="0" fontId="53" fillId="11" borderId="160" xfId="21" applyFont="1" applyFill="1" applyBorder="1" applyAlignment="1">
      <alignment horizontal="centerContinuous" vertical="center"/>
    </xf>
    <xf numFmtId="0" fontId="7" fillId="0" borderId="176" xfId="9" applyFont="1" applyBorder="1"/>
    <xf numFmtId="0" fontId="2" fillId="0" borderId="174" xfId="9" applyFont="1" applyBorder="1"/>
    <xf numFmtId="0" fontId="7" fillId="0" borderId="149" xfId="9" applyNumberFormat="1" applyFont="1" applyBorder="1"/>
    <xf numFmtId="0" fontId="12" fillId="0" borderId="176" xfId="9" applyFont="1" applyFill="1" applyBorder="1"/>
    <xf numFmtId="0" fontId="12" fillId="0" borderId="172" xfId="19" applyFont="1" applyBorder="1" applyAlignment="1">
      <alignment horizontal="center" vertical="center" wrapText="1"/>
    </xf>
    <xf numFmtId="0" fontId="2" fillId="0" borderId="0" xfId="19" applyFont="1" applyBorder="1"/>
    <xf numFmtId="0" fontId="2" fillId="0" borderId="22" xfId="19" applyFont="1" applyBorder="1"/>
    <xf numFmtId="2" fontId="2" fillId="0" borderId="33" xfId="19" applyNumberFormat="1" applyFont="1" applyBorder="1"/>
    <xf numFmtId="0" fontId="2" fillId="0" borderId="50" xfId="19" applyFont="1" applyBorder="1"/>
    <xf numFmtId="0" fontId="2" fillId="0" borderId="151" xfId="19" applyFont="1" applyBorder="1"/>
    <xf numFmtId="0" fontId="2" fillId="0" borderId="175" xfId="19" applyFont="1" applyBorder="1"/>
    <xf numFmtId="0" fontId="2" fillId="0" borderId="177" xfId="19" applyFont="1" applyBorder="1"/>
    <xf numFmtId="2" fontId="2" fillId="0" borderId="176" xfId="19" applyNumberFormat="1" applyFont="1" applyBorder="1"/>
    <xf numFmtId="2" fontId="2" fillId="0" borderId="176" xfId="19" applyNumberFormat="1" applyFont="1" applyFill="1" applyBorder="1"/>
    <xf numFmtId="0" fontId="2" fillId="2" borderId="0" xfId="19" applyFont="1" applyFill="1" applyBorder="1"/>
    <xf numFmtId="0" fontId="2" fillId="2" borderId="22" xfId="19" applyFont="1" applyFill="1" applyBorder="1"/>
    <xf numFmtId="0" fontId="16" fillId="0" borderId="0" xfId="19" applyFont="1"/>
    <xf numFmtId="0" fontId="2" fillId="0" borderId="0" xfId="19" applyFont="1" applyFill="1"/>
    <xf numFmtId="2" fontId="2" fillId="0" borderId="0" xfId="19" applyNumberFormat="1" applyFont="1" applyFill="1"/>
    <xf numFmtId="0" fontId="45" fillId="8" borderId="174" xfId="19" applyFont="1" applyFill="1" applyBorder="1"/>
    <xf numFmtId="0" fontId="45" fillId="8" borderId="36" xfId="19" applyFont="1" applyFill="1" applyBorder="1"/>
    <xf numFmtId="0" fontId="9" fillId="0" borderId="36" xfId="19" applyFont="1" applyBorder="1"/>
    <xf numFmtId="0" fontId="2" fillId="0" borderId="38" xfId="32" applyFont="1" applyBorder="1"/>
    <xf numFmtId="0" fontId="2" fillId="0" borderId="37" xfId="32" applyFont="1" applyBorder="1"/>
    <xf numFmtId="0" fontId="2" fillId="0" borderId="47" xfId="32" applyFont="1" applyBorder="1"/>
    <xf numFmtId="0" fontId="2" fillId="0" borderId="27" xfId="32" applyFont="1" applyBorder="1"/>
    <xf numFmtId="0" fontId="2" fillId="0" borderId="36" xfId="32" applyFont="1" applyBorder="1"/>
    <xf numFmtId="0" fontId="2" fillId="0" borderId="50" xfId="32" applyFont="1" applyBorder="1"/>
    <xf numFmtId="0" fontId="12" fillId="0" borderId="36" xfId="32" applyFont="1" applyBorder="1" applyAlignment="1">
      <alignment horizontal="center"/>
    </xf>
    <xf numFmtId="0" fontId="12" fillId="0" borderId="33" xfId="32" applyFont="1" applyBorder="1" applyAlignment="1">
      <alignment horizontal="center"/>
    </xf>
    <xf numFmtId="0" fontId="12" fillId="0" borderId="174" xfId="32" applyFont="1" applyBorder="1" applyAlignment="1">
      <alignment horizontal="center"/>
    </xf>
    <xf numFmtId="0" fontId="12" fillId="0" borderId="176" xfId="32" applyFont="1" applyBorder="1" applyAlignment="1">
      <alignment horizontal="center"/>
    </xf>
    <xf numFmtId="0" fontId="2" fillId="0" borderId="176" xfId="32" applyFont="1" applyBorder="1" applyAlignment="1">
      <alignment horizontal="right"/>
    </xf>
    <xf numFmtId="0" fontId="2" fillId="9" borderId="176" xfId="32" applyFont="1" applyFill="1" applyBorder="1" applyAlignment="1">
      <alignment horizontal="right"/>
    </xf>
    <xf numFmtId="0" fontId="12" fillId="0" borderId="174" xfId="32" applyFont="1" applyBorder="1"/>
    <xf numFmtId="0" fontId="12" fillId="5" borderId="174" xfId="32" applyFont="1" applyFill="1" applyBorder="1"/>
    <xf numFmtId="9" fontId="12" fillId="5" borderId="176" xfId="31" applyFont="1" applyFill="1" applyBorder="1" applyAlignment="1">
      <alignment horizontal="right"/>
    </xf>
    <xf numFmtId="0" fontId="16" fillId="0" borderId="0" xfId="32" applyFont="1" applyFill="1" applyBorder="1"/>
    <xf numFmtId="0" fontId="2" fillId="0" borderId="33" xfId="32" applyFont="1" applyBorder="1"/>
    <xf numFmtId="0" fontId="2" fillId="4" borderId="176" xfId="32" applyFont="1" applyFill="1" applyBorder="1" applyAlignment="1">
      <alignment horizontal="right"/>
    </xf>
    <xf numFmtId="0" fontId="12" fillId="5" borderId="149" xfId="32" applyFont="1" applyFill="1" applyBorder="1"/>
    <xf numFmtId="9" fontId="12" fillId="5" borderId="172" xfId="31" applyFont="1" applyFill="1" applyBorder="1" applyAlignment="1">
      <alignment horizontal="right"/>
    </xf>
    <xf numFmtId="9" fontId="12" fillId="5" borderId="149" xfId="32" applyNumberFormat="1" applyFont="1" applyFill="1" applyBorder="1"/>
    <xf numFmtId="0" fontId="2" fillId="0" borderId="0" xfId="14" applyFont="1" applyAlignment="1">
      <alignment horizontal="left"/>
    </xf>
    <xf numFmtId="0" fontId="2" fillId="0" borderId="0" xfId="14" applyFont="1" applyFill="1" applyBorder="1" applyAlignment="1">
      <alignment horizontal="left"/>
    </xf>
    <xf numFmtId="165" fontId="3" fillId="0" borderId="176" xfId="14" applyNumberFormat="1" applyFont="1" applyBorder="1"/>
    <xf numFmtId="165" fontId="7" fillId="0" borderId="177" xfId="14" applyNumberFormat="1" applyFont="1" applyBorder="1"/>
    <xf numFmtId="164" fontId="12" fillId="0" borderId="177" xfId="14" applyNumberFormat="1" applyFont="1" applyBorder="1" applyAlignment="1">
      <alignment horizontal="right"/>
    </xf>
    <xf numFmtId="165" fontId="7" fillId="0" borderId="176" xfId="14" applyNumberFormat="1" applyFont="1" applyBorder="1"/>
    <xf numFmtId="165" fontId="7" fillId="0" borderId="176" xfId="14" applyNumberFormat="1" applyFont="1" applyFill="1" applyBorder="1"/>
    <xf numFmtId="164" fontId="12" fillId="0" borderId="166" xfId="14" applyNumberFormat="1" applyFont="1" applyBorder="1" applyAlignment="1">
      <alignment horizontal="right"/>
    </xf>
    <xf numFmtId="165" fontId="7" fillId="0" borderId="172" xfId="14" applyNumberFormat="1" applyFont="1" applyBorder="1"/>
    <xf numFmtId="165" fontId="2" fillId="0" borderId="0" xfId="14" applyNumberFormat="1" applyFont="1" applyFill="1"/>
    <xf numFmtId="0" fontId="64" fillId="0" borderId="0" xfId="34" applyFont="1" applyFill="1"/>
    <xf numFmtId="0" fontId="9" fillId="0" borderId="149" xfId="34" applyFont="1" applyFill="1" applyBorder="1" applyAlignment="1">
      <alignment horizontal="left"/>
    </xf>
    <xf numFmtId="0" fontId="8" fillId="0" borderId="149" xfId="34" applyFont="1" applyFill="1" applyBorder="1" applyAlignment="1">
      <alignment horizontal="center"/>
    </xf>
    <xf numFmtId="0" fontId="8" fillId="0" borderId="149" xfId="34" applyFont="1" applyFill="1" applyBorder="1" applyAlignment="1">
      <alignment horizontal="left"/>
    </xf>
    <xf numFmtId="175" fontId="8" fillId="0" borderId="149" xfId="34" applyNumberFormat="1" applyFont="1" applyFill="1" applyBorder="1" applyAlignment="1">
      <alignment horizontal="right"/>
    </xf>
    <xf numFmtId="9" fontId="8" fillId="0" borderId="149" xfId="34" applyNumberFormat="1" applyFont="1" applyFill="1" applyBorder="1" applyAlignment="1">
      <alignment horizontal="right"/>
    </xf>
    <xf numFmtId="9" fontId="8" fillId="0" borderId="149" xfId="35" applyNumberFormat="1" applyFont="1" applyFill="1" applyBorder="1" applyAlignment="1">
      <alignment horizontal="right"/>
    </xf>
    <xf numFmtId="9" fontId="8" fillId="13" borderId="149" xfId="35" applyNumberFormat="1" applyFont="1" applyFill="1" applyBorder="1" applyAlignment="1">
      <alignment horizontal="right"/>
    </xf>
    <xf numFmtId="0" fontId="9" fillId="0" borderId="149" xfId="34" applyFont="1" applyFill="1" applyBorder="1" applyAlignment="1">
      <alignment horizontal="center"/>
    </xf>
    <xf numFmtId="175" fontId="9" fillId="0" borderId="149" xfId="34" applyNumberFormat="1" applyFont="1" applyFill="1" applyBorder="1" applyAlignment="1">
      <alignment horizontal="right"/>
    </xf>
    <xf numFmtId="175" fontId="8" fillId="0" borderId="149" xfId="34" applyNumberFormat="1" applyFont="1" applyFill="1" applyBorder="1"/>
    <xf numFmtId="0" fontId="8" fillId="0" borderId="0" xfId="34" applyFont="1" applyFill="1" applyBorder="1" applyAlignment="1">
      <alignment horizontal="left"/>
    </xf>
    <xf numFmtId="175" fontId="64" fillId="0" borderId="0" xfId="34" applyNumberFormat="1" applyFont="1" applyFill="1"/>
    <xf numFmtId="175" fontId="9" fillId="0" borderId="149" xfId="34" applyNumberFormat="1" applyFont="1" applyFill="1" applyBorder="1" applyAlignment="1">
      <alignment horizontal="center"/>
    </xf>
    <xf numFmtId="0" fontId="9" fillId="0" borderId="115" xfId="34" applyFont="1" applyFill="1" applyBorder="1" applyAlignment="1">
      <alignment horizontal="left"/>
    </xf>
    <xf numFmtId="0" fontId="9" fillId="0" borderId="115" xfId="34" applyFont="1" applyFill="1" applyBorder="1" applyAlignment="1">
      <alignment horizontal="center"/>
    </xf>
    <xf numFmtId="175" fontId="9" fillId="0" borderId="115" xfId="34" applyNumberFormat="1" applyFont="1" applyFill="1" applyBorder="1" applyAlignment="1">
      <alignment horizontal="right"/>
    </xf>
    <xf numFmtId="9" fontId="9" fillId="0" borderId="115" xfId="35" applyNumberFormat="1" applyFont="1" applyFill="1" applyBorder="1" applyAlignment="1">
      <alignment horizontal="right"/>
    </xf>
    <xf numFmtId="0" fontId="8" fillId="0" borderId="0" xfId="34" applyFont="1" applyFill="1"/>
    <xf numFmtId="9" fontId="64" fillId="0" borderId="0" xfId="34" applyNumberFormat="1" applyFont="1" applyFill="1"/>
    <xf numFmtId="0" fontId="8" fillId="0" borderId="0" xfId="34" applyFont="1" applyFill="1" applyBorder="1"/>
    <xf numFmtId="0" fontId="65" fillId="0" borderId="0" xfId="34" applyFont="1" applyFill="1"/>
    <xf numFmtId="0" fontId="9" fillId="12" borderId="149" xfId="34" applyFont="1" applyFill="1" applyBorder="1" applyAlignment="1">
      <alignment horizontal="left"/>
    </xf>
    <xf numFmtId="0" fontId="8" fillId="12" borderId="149" xfId="34" applyFont="1" applyFill="1" applyBorder="1" applyAlignment="1">
      <alignment horizontal="center"/>
    </xf>
    <xf numFmtId="9" fontId="8" fillId="12" borderId="149" xfId="34" applyNumberFormat="1" applyFont="1" applyFill="1" applyBorder="1" applyAlignment="1">
      <alignment horizontal="center"/>
    </xf>
    <xf numFmtId="0" fontId="12" fillId="0" borderId="174" xfId="14" applyFont="1" applyBorder="1" applyAlignment="1">
      <alignment horizontal="centerContinuous" vertical="center" wrapText="1"/>
    </xf>
    <xf numFmtId="0" fontId="12" fillId="0" borderId="176" xfId="14" applyFont="1" applyBorder="1" applyAlignment="1">
      <alignment horizontal="centerContinuous" vertical="center" wrapText="1"/>
    </xf>
    <xf numFmtId="0" fontId="12" fillId="0" borderId="174" xfId="14" applyFont="1" applyBorder="1" applyAlignment="1">
      <alignment horizontal="center" vertical="center" wrapText="1"/>
    </xf>
    <xf numFmtId="0" fontId="12" fillId="0" borderId="175" xfId="14" applyFont="1" applyBorder="1" applyAlignment="1">
      <alignment horizontal="centerContinuous" vertical="center" wrapText="1"/>
    </xf>
    <xf numFmtId="0" fontId="12" fillId="0" borderId="175" xfId="14" applyFont="1" applyBorder="1" applyAlignment="1">
      <alignment horizontal="center" vertical="center" wrapText="1"/>
    </xf>
    <xf numFmtId="0" fontId="12" fillId="0" borderId="177" xfId="14" applyFont="1" applyBorder="1" applyAlignment="1">
      <alignment horizontal="centerContinuous" vertical="center" wrapText="1"/>
    </xf>
    <xf numFmtId="0" fontId="12" fillId="5" borderId="172" xfId="14" applyFont="1" applyFill="1" applyBorder="1"/>
    <xf numFmtId="1" fontId="2" fillId="5" borderId="172" xfId="14" applyNumberFormat="1" applyFont="1" applyFill="1" applyBorder="1"/>
    <xf numFmtId="9" fontId="2" fillId="5" borderId="149" xfId="14" applyNumberFormat="1" applyFont="1" applyFill="1" applyBorder="1"/>
    <xf numFmtId="9" fontId="2" fillId="5" borderId="51" xfId="14" applyNumberFormat="1" applyFont="1" applyFill="1" applyBorder="1"/>
    <xf numFmtId="1" fontId="2" fillId="5" borderId="31" xfId="14" applyNumberFormat="1" applyFont="1" applyFill="1" applyBorder="1"/>
    <xf numFmtId="9" fontId="2" fillId="5" borderId="31" xfId="14" applyNumberFormat="1" applyFont="1" applyFill="1" applyBorder="1"/>
    <xf numFmtId="9" fontId="2" fillId="5" borderId="18" xfId="14" applyNumberFormat="1" applyFont="1" applyFill="1" applyBorder="1"/>
    <xf numFmtId="165" fontId="2" fillId="0" borderId="51" xfId="14" applyNumberFormat="1" applyFont="1" applyBorder="1"/>
    <xf numFmtId="165" fontId="2" fillId="0" borderId="149" xfId="14" applyNumberFormat="1" applyFont="1" applyBorder="1"/>
    <xf numFmtId="165" fontId="2" fillId="0" borderId="172" xfId="14" applyNumberFormat="1" applyFont="1" applyBorder="1"/>
    <xf numFmtId="165" fontId="2" fillId="0" borderId="149" xfId="14" applyNumberFormat="1" applyFont="1" applyFill="1" applyBorder="1"/>
    <xf numFmtId="165" fontId="2" fillId="0" borderId="31" xfId="14" applyNumberFormat="1" applyFont="1" applyBorder="1"/>
    <xf numFmtId="165" fontId="2" fillId="0" borderId="31" xfId="14" applyNumberFormat="1" applyFont="1" applyFill="1" applyBorder="1"/>
    <xf numFmtId="165" fontId="2" fillId="2" borderId="149" xfId="14" applyNumberFormat="1" applyFont="1" applyFill="1" applyBorder="1" applyAlignment="1"/>
    <xf numFmtId="165" fontId="2" fillId="2" borderId="172" xfId="14" applyNumberFormat="1" applyFont="1" applyFill="1" applyBorder="1"/>
    <xf numFmtId="0" fontId="2" fillId="0" borderId="0" xfId="14" applyFont="1" applyAlignment="1">
      <alignment horizontal="right"/>
    </xf>
    <xf numFmtId="165" fontId="39" fillId="0" borderId="172" xfId="14" applyNumberFormat="1" applyFont="1" applyBorder="1"/>
    <xf numFmtId="165" fontId="12" fillId="5" borderId="149" xfId="14" applyNumberFormat="1" applyFont="1" applyFill="1" applyBorder="1"/>
    <xf numFmtId="165" fontId="2" fillId="0" borderId="172" xfId="14" applyNumberFormat="1" applyFont="1" applyFill="1" applyBorder="1"/>
    <xf numFmtId="1" fontId="2" fillId="0" borderId="31" xfId="14" applyNumberFormat="1" applyFont="1" applyFill="1" applyBorder="1"/>
    <xf numFmtId="1" fontId="2" fillId="0" borderId="172" xfId="14" applyNumberFormat="1" applyFont="1" applyFill="1" applyBorder="1"/>
    <xf numFmtId="1" fontId="2" fillId="0" borderId="149" xfId="14" applyNumberFormat="1" applyFont="1" applyFill="1" applyBorder="1"/>
    <xf numFmtId="165" fontId="2" fillId="0" borderId="0" xfId="14" applyNumberFormat="1" applyFont="1" applyBorder="1"/>
    <xf numFmtId="0" fontId="12" fillId="5" borderId="174" xfId="14" applyFont="1" applyFill="1" applyBorder="1"/>
    <xf numFmtId="0" fontId="12" fillId="5" borderId="152" xfId="14" applyFont="1" applyFill="1" applyBorder="1"/>
    <xf numFmtId="165" fontId="2" fillId="0" borderId="152" xfId="14" applyNumberFormat="1" applyFont="1" applyBorder="1"/>
    <xf numFmtId="165" fontId="39" fillId="0" borderId="152" xfId="14" applyNumberFormat="1" applyFont="1" applyBorder="1"/>
    <xf numFmtId="9" fontId="2" fillId="5" borderId="152" xfId="14" applyNumberFormat="1" applyFont="1" applyFill="1" applyBorder="1"/>
    <xf numFmtId="0" fontId="2" fillId="0" borderId="37" xfId="14" applyFont="1" applyBorder="1"/>
    <xf numFmtId="0" fontId="2" fillId="0" borderId="45" xfId="14" applyFont="1" applyFill="1" applyBorder="1"/>
    <xf numFmtId="165" fontId="39" fillId="0" borderId="149" xfId="14" applyNumberFormat="1" applyFont="1" applyBorder="1" applyAlignment="1">
      <alignment horizontal="right"/>
    </xf>
    <xf numFmtId="165" fontId="39" fillId="0" borderId="172" xfId="14" applyNumberFormat="1" applyFont="1" applyBorder="1" applyAlignment="1">
      <alignment horizontal="right"/>
    </xf>
    <xf numFmtId="165" fontId="39" fillId="0" borderId="152" xfId="14" applyNumberFormat="1" applyFont="1" applyBorder="1" applyAlignment="1">
      <alignment horizontal="right"/>
    </xf>
    <xf numFmtId="0" fontId="12" fillId="5" borderId="45" xfId="32" applyFont="1" applyFill="1" applyBorder="1"/>
    <xf numFmtId="0" fontId="2" fillId="5" borderId="51" xfId="32" applyFill="1" applyBorder="1"/>
    <xf numFmtId="0" fontId="12" fillId="5" borderId="172" xfId="32" applyFont="1" applyFill="1" applyBorder="1"/>
    <xf numFmtId="0" fontId="2" fillId="5" borderId="149" xfId="32" applyFill="1" applyBorder="1"/>
    <xf numFmtId="0" fontId="2" fillId="5" borderId="172" xfId="32" applyFill="1" applyBorder="1"/>
    <xf numFmtId="0" fontId="2" fillId="5" borderId="152" xfId="32" applyFill="1" applyBorder="1"/>
    <xf numFmtId="0" fontId="2" fillId="5" borderId="31" xfId="32" applyFill="1" applyBorder="1"/>
    <xf numFmtId="0" fontId="2" fillId="5" borderId="18" xfId="32" applyFill="1" applyBorder="1"/>
    <xf numFmtId="1" fontId="2" fillId="5" borderId="110" xfId="14" applyNumberFormat="1" applyFont="1" applyFill="1" applyBorder="1"/>
    <xf numFmtId="9" fontId="2" fillId="5" borderId="61" xfId="14" applyNumberFormat="1" applyFont="1" applyFill="1" applyBorder="1"/>
    <xf numFmtId="9" fontId="2" fillId="5" borderId="124" xfId="14" applyNumberFormat="1" applyFont="1" applyFill="1" applyBorder="1"/>
    <xf numFmtId="9" fontId="2" fillId="5" borderId="62" xfId="14" applyNumberFormat="1" applyFont="1" applyFill="1" applyBorder="1"/>
    <xf numFmtId="165" fontId="0" fillId="2" borderId="149" xfId="14" applyNumberFormat="1" applyFont="1" applyFill="1" applyBorder="1"/>
    <xf numFmtId="2" fontId="2" fillId="0" borderId="0" xfId="14" applyNumberFormat="1" applyFont="1" applyBorder="1"/>
    <xf numFmtId="0" fontId="12" fillId="0" borderId="177" xfId="14" applyFont="1" applyBorder="1" applyAlignment="1">
      <alignment horizontal="center" vertical="center" wrapText="1"/>
    </xf>
    <xf numFmtId="0" fontId="12" fillId="5" borderId="175" xfId="14" applyFont="1" applyFill="1" applyBorder="1"/>
    <xf numFmtId="1" fontId="2" fillId="5" borderId="176" xfId="14" applyNumberFormat="1" applyFont="1" applyFill="1" applyBorder="1"/>
    <xf numFmtId="9" fontId="2" fillId="5" borderId="176" xfId="14" applyNumberFormat="1" applyFont="1" applyFill="1" applyBorder="1"/>
    <xf numFmtId="9" fontId="2" fillId="5" borderId="174" xfId="14" applyNumberFormat="1" applyFont="1" applyFill="1" applyBorder="1"/>
    <xf numFmtId="9" fontId="2" fillId="5" borderId="177" xfId="14" applyNumberFormat="1" applyFont="1" applyFill="1" applyBorder="1"/>
    <xf numFmtId="165" fontId="2" fillId="0" borderId="176" xfId="14" applyNumberFormat="1" applyFont="1" applyBorder="1"/>
    <xf numFmtId="165" fontId="2" fillId="0" borderId="52" xfId="14" applyNumberFormat="1" applyFont="1" applyBorder="1"/>
    <xf numFmtId="165" fontId="2" fillId="0" borderId="174" xfId="14" applyNumberFormat="1" applyFont="1" applyBorder="1"/>
    <xf numFmtId="164" fontId="39" fillId="0" borderId="177" xfId="14" applyNumberFormat="1" applyFont="1" applyBorder="1" applyAlignment="1">
      <alignment horizontal="right"/>
    </xf>
    <xf numFmtId="1" fontId="2" fillId="5" borderId="149" xfId="14" applyNumberFormat="1" applyFont="1" applyFill="1" applyBorder="1"/>
    <xf numFmtId="0" fontId="2" fillId="0" borderId="75" xfId="14" applyFont="1" applyFill="1" applyBorder="1"/>
    <xf numFmtId="9" fontId="2" fillId="5" borderId="172" xfId="14" applyNumberFormat="1" applyFont="1" applyFill="1" applyBorder="1"/>
    <xf numFmtId="165" fontId="39" fillId="0" borderId="176" xfId="14" applyNumberFormat="1" applyFont="1" applyBorder="1"/>
    <xf numFmtId="9" fontId="2" fillId="5" borderId="52" xfId="14" applyNumberFormat="1" applyFont="1" applyFill="1" applyBorder="1"/>
    <xf numFmtId="0" fontId="2" fillId="0" borderId="59" xfId="14" applyFont="1" applyFill="1" applyBorder="1"/>
    <xf numFmtId="165" fontId="39" fillId="0" borderId="174" xfId="14" applyNumberFormat="1" applyFont="1" applyBorder="1"/>
    <xf numFmtId="0" fontId="12" fillId="5" borderId="75" xfId="32" applyFont="1" applyFill="1" applyBorder="1"/>
    <xf numFmtId="1" fontId="2" fillId="5" borderId="108" xfId="14" applyNumberFormat="1" applyFont="1" applyFill="1" applyBorder="1"/>
    <xf numFmtId="9" fontId="2" fillId="5" borderId="81" xfId="14" applyNumberFormat="1" applyFont="1" applyFill="1" applyBorder="1"/>
    <xf numFmtId="9" fontId="2" fillId="5" borderId="82" xfId="14" applyNumberFormat="1" applyFont="1" applyFill="1" applyBorder="1"/>
    <xf numFmtId="1" fontId="2" fillId="5" borderId="81" xfId="14" applyNumberFormat="1" applyFont="1" applyFill="1" applyBorder="1"/>
    <xf numFmtId="9" fontId="2" fillId="5" borderId="130" xfId="14" applyNumberFormat="1" applyFont="1" applyFill="1" applyBorder="1"/>
    <xf numFmtId="9" fontId="2" fillId="5" borderId="113" xfId="14" applyNumberFormat="1" applyFont="1" applyFill="1" applyBorder="1"/>
    <xf numFmtId="9" fontId="2" fillId="5" borderId="84" xfId="14" applyNumberFormat="1" applyFont="1" applyFill="1" applyBorder="1"/>
    <xf numFmtId="165" fontId="2" fillId="0" borderId="35" xfId="14" applyNumberFormat="1" applyFont="1" applyBorder="1"/>
    <xf numFmtId="164" fontId="12" fillId="0" borderId="175" xfId="14" applyNumberFormat="1" applyFont="1" applyBorder="1" applyAlignment="1">
      <alignment horizontal="right"/>
    </xf>
    <xf numFmtId="165" fontId="2" fillId="0" borderId="151" xfId="14" applyNumberFormat="1" applyFont="1" applyBorder="1"/>
    <xf numFmtId="165" fontId="2" fillId="0" borderId="0" xfId="14" applyNumberFormat="1" applyFont="1" applyFill="1" applyBorder="1"/>
    <xf numFmtId="0" fontId="2" fillId="0" borderId="0" xfId="14" applyFont="1" applyFill="1" applyBorder="1"/>
    <xf numFmtId="1" fontId="2" fillId="0" borderId="0" xfId="14" applyNumberFormat="1" applyFont="1" applyFill="1"/>
    <xf numFmtId="1" fontId="2" fillId="0" borderId="0" xfId="14" applyNumberFormat="1" applyFont="1"/>
    <xf numFmtId="0" fontId="2" fillId="0" borderId="0" xfId="16" applyFont="1"/>
    <xf numFmtId="0" fontId="2" fillId="0" borderId="28" xfId="16" applyFont="1" applyBorder="1"/>
    <xf numFmtId="0" fontId="12" fillId="0" borderId="152" xfId="16" applyFont="1" applyBorder="1" applyAlignment="1">
      <alignment horizontal="centerContinuous"/>
    </xf>
    <xf numFmtId="0" fontId="12" fillId="0" borderId="176" xfId="16" applyFont="1" applyBorder="1" applyAlignment="1">
      <alignment horizontal="right"/>
    </xf>
    <xf numFmtId="0" fontId="12" fillId="0" borderId="177" xfId="16" applyFont="1" applyBorder="1" applyAlignment="1">
      <alignment horizontal="right"/>
    </xf>
    <xf numFmtId="0" fontId="2" fillId="5" borderId="6" xfId="16" applyFont="1" applyFill="1" applyBorder="1" applyAlignment="1">
      <alignment horizontal="center"/>
    </xf>
    <xf numFmtId="0" fontId="2" fillId="5" borderId="176" xfId="16" applyFont="1" applyFill="1" applyBorder="1"/>
    <xf numFmtId="0" fontId="2" fillId="5" borderId="177" xfId="16" applyFont="1" applyFill="1" applyBorder="1"/>
    <xf numFmtId="165" fontId="2" fillId="5" borderId="176" xfId="16" applyNumberFormat="1" applyFont="1" applyFill="1" applyBorder="1"/>
    <xf numFmtId="165" fontId="2" fillId="5" borderId="177" xfId="16" applyNumberFormat="1" applyFont="1" applyFill="1" applyBorder="1"/>
    <xf numFmtId="0" fontId="2" fillId="0" borderId="6" xfId="16" applyFont="1" applyBorder="1" applyAlignment="1">
      <alignment horizontal="center"/>
    </xf>
    <xf numFmtId="0" fontId="2" fillId="0" borderId="174" xfId="16" applyFont="1" applyBorder="1"/>
    <xf numFmtId="0" fontId="2" fillId="0" borderId="176" xfId="16" applyFont="1" applyBorder="1"/>
    <xf numFmtId="0" fontId="2" fillId="0" borderId="177" xfId="16" applyFont="1" applyBorder="1"/>
    <xf numFmtId="165" fontId="2" fillId="0" borderId="174" xfId="16" applyNumberFormat="1" applyFont="1" applyBorder="1"/>
    <xf numFmtId="165" fontId="2" fillId="0" borderId="176" xfId="16" applyNumberFormat="1" applyFont="1" applyBorder="1"/>
    <xf numFmtId="165" fontId="2" fillId="0" borderId="177" xfId="16" applyNumberFormat="1" applyFont="1" applyBorder="1"/>
    <xf numFmtId="165" fontId="2" fillId="0" borderId="0" xfId="16" applyNumberFormat="1" applyFont="1"/>
    <xf numFmtId="0" fontId="2" fillId="0" borderId="0" xfId="16" applyFont="1" applyBorder="1"/>
    <xf numFmtId="0" fontId="56" fillId="0" borderId="0" xfId="22" applyFont="1" applyFill="1"/>
    <xf numFmtId="1" fontId="2" fillId="5" borderId="35" xfId="14" applyNumberFormat="1" applyFont="1" applyFill="1" applyBorder="1"/>
    <xf numFmtId="1" fontId="2" fillId="5" borderId="45" xfId="14" applyNumberFormat="1" applyFont="1" applyFill="1" applyBorder="1"/>
    <xf numFmtId="9" fontId="2" fillId="5" borderId="179" xfId="14" applyNumberFormat="1" applyFont="1" applyFill="1" applyBorder="1"/>
    <xf numFmtId="0" fontId="12" fillId="0" borderId="60" xfId="14" applyFont="1" applyBorder="1" applyAlignment="1">
      <alignment horizontal="centerContinuous" vertical="center" wrapText="1"/>
    </xf>
    <xf numFmtId="0" fontId="12" fillId="0" borderId="110" xfId="14" applyFont="1" applyBorder="1" applyAlignment="1">
      <alignment horizontal="centerContinuous" vertical="center" wrapText="1"/>
    </xf>
    <xf numFmtId="0" fontId="12" fillId="0" borderId="61" xfId="14" applyFont="1" applyBorder="1" applyAlignment="1">
      <alignment horizontal="center" vertical="center" wrapText="1"/>
    </xf>
    <xf numFmtId="0" fontId="12" fillId="0" borderId="180" xfId="14" applyFont="1" applyBorder="1" applyAlignment="1">
      <alignment horizontal="center" vertical="center" wrapText="1"/>
    </xf>
    <xf numFmtId="0" fontId="2" fillId="5" borderId="45" xfId="32" applyFill="1" applyBorder="1"/>
    <xf numFmtId="9" fontId="2" fillId="5" borderId="2" xfId="14" applyNumberFormat="1" applyFont="1" applyFill="1" applyBorder="1"/>
    <xf numFmtId="0" fontId="39" fillId="2" borderId="76" xfId="14" applyFont="1" applyFill="1" applyBorder="1" applyAlignment="1">
      <alignment horizontal="right"/>
    </xf>
    <xf numFmtId="164" fontId="12" fillId="0" borderId="152" xfId="14" applyNumberFormat="1" applyFont="1" applyBorder="1" applyAlignment="1">
      <alignment horizontal="right"/>
    </xf>
    <xf numFmtId="165" fontId="2" fillId="2" borderId="172" xfId="14" applyNumberFormat="1" applyFont="1" applyFill="1" applyBorder="1" applyAlignment="1"/>
    <xf numFmtId="165" fontId="12" fillId="5" borderId="172" xfId="14" applyNumberFormat="1" applyFont="1" applyFill="1" applyBorder="1"/>
    <xf numFmtId="0" fontId="2" fillId="2" borderId="149" xfId="14" applyFont="1" applyFill="1" applyBorder="1"/>
    <xf numFmtId="0" fontId="2" fillId="2" borderId="149" xfId="14" applyFont="1" applyFill="1" applyBorder="1" applyAlignment="1"/>
    <xf numFmtId="0" fontId="39" fillId="2" borderId="149" xfId="14" applyFont="1" applyFill="1" applyBorder="1" applyAlignment="1">
      <alignment horizontal="right"/>
    </xf>
    <xf numFmtId="0" fontId="2" fillId="0" borderId="149" xfId="14" applyFont="1" applyFill="1" applyBorder="1"/>
    <xf numFmtId="0" fontId="36" fillId="0" borderId="176" xfId="25" applyFont="1" applyBorder="1" applyAlignment="1">
      <alignment horizontal="center"/>
    </xf>
    <xf numFmtId="0" fontId="36" fillId="0" borderId="177" xfId="25" applyFont="1" applyBorder="1" applyAlignment="1">
      <alignment horizontal="center" wrapText="1"/>
    </xf>
    <xf numFmtId="0" fontId="36" fillId="5" borderId="35" xfId="32" applyFont="1" applyFill="1" applyBorder="1"/>
    <xf numFmtId="0" fontId="46" fillId="5" borderId="176" xfId="32" applyFont="1" applyFill="1" applyBorder="1"/>
    <xf numFmtId="0" fontId="36" fillId="5" borderId="177" xfId="32" applyFont="1" applyFill="1" applyBorder="1"/>
    <xf numFmtId="0" fontId="46" fillId="0" borderId="176" xfId="9" applyFont="1" applyFill="1" applyBorder="1"/>
    <xf numFmtId="0" fontId="46" fillId="0" borderId="176" xfId="32" applyFont="1" applyFill="1" applyBorder="1"/>
    <xf numFmtId="0" fontId="36" fillId="0" borderId="176" xfId="9" applyFont="1" applyBorder="1"/>
    <xf numFmtId="0" fontId="36" fillId="0" borderId="176" xfId="9" applyFont="1" applyFill="1" applyBorder="1"/>
    <xf numFmtId="0" fontId="36" fillId="5" borderId="45" xfId="32" applyFont="1" applyFill="1" applyBorder="1"/>
    <xf numFmtId="0" fontId="46" fillId="0" borderId="35" xfId="32" applyFont="1" applyFill="1" applyBorder="1"/>
    <xf numFmtId="0" fontId="46" fillId="0" borderId="174" xfId="9" applyFont="1" applyBorder="1" applyAlignment="1">
      <alignment horizontal="right"/>
    </xf>
    <xf numFmtId="0" fontId="46" fillId="0" borderId="176" xfId="9" applyFont="1" applyBorder="1" applyAlignment="1">
      <alignment horizontal="right"/>
    </xf>
    <xf numFmtId="0" fontId="9" fillId="5" borderId="63" xfId="32" applyFont="1" applyFill="1" applyBorder="1"/>
    <xf numFmtId="0" fontId="9" fillId="5" borderId="64" xfId="32" applyFont="1" applyFill="1" applyBorder="1"/>
    <xf numFmtId="164" fontId="9" fillId="5" borderId="65" xfId="32" applyNumberFormat="1" applyFont="1" applyFill="1" applyBorder="1"/>
    <xf numFmtId="164" fontId="9" fillId="5" borderId="17" xfId="32" applyNumberFormat="1" applyFont="1" applyFill="1" applyBorder="1"/>
    <xf numFmtId="0" fontId="2" fillId="0" borderId="149" xfId="0" applyFont="1" applyFill="1" applyBorder="1"/>
    <xf numFmtId="0" fontId="12" fillId="0" borderId="149" xfId="0" applyFont="1" applyFill="1" applyBorder="1" applyAlignment="1">
      <alignment horizontal="center"/>
    </xf>
    <xf numFmtId="0" fontId="2" fillId="0" borderId="149" xfId="0" applyFont="1" applyFill="1" applyBorder="1" applyAlignment="1">
      <alignment horizontal="right"/>
    </xf>
    <xf numFmtId="0" fontId="3" fillId="0" borderId="149" xfId="0" applyFont="1" applyFill="1" applyBorder="1" applyAlignment="1">
      <alignment horizontal="right"/>
    </xf>
    <xf numFmtId="167" fontId="12" fillId="0" borderId="172" xfId="1" applyNumberFormat="1" applyFont="1" applyFill="1" applyBorder="1"/>
    <xf numFmtId="0" fontId="7" fillId="2" borderId="172" xfId="24" applyFont="1" applyFill="1" applyBorder="1" applyAlignment="1">
      <alignment horizontal="right"/>
    </xf>
    <xf numFmtId="0" fontId="7" fillId="0" borderId="6" xfId="24" applyFont="1" applyBorder="1" applyAlignment="1">
      <alignment horizontal="right"/>
    </xf>
    <xf numFmtId="0" fontId="54" fillId="2" borderId="0" xfId="0" applyFont="1" applyFill="1" applyBorder="1" applyAlignment="1">
      <alignment horizontal="center"/>
    </xf>
    <xf numFmtId="0" fontId="54" fillId="2" borderId="0" xfId="0" applyFont="1" applyFill="1" applyBorder="1" applyAlignment="1">
      <alignment horizontal="right"/>
    </xf>
    <xf numFmtId="0" fontId="7" fillId="11" borderId="0" xfId="17" applyFont="1" applyFill="1"/>
    <xf numFmtId="0" fontId="54" fillId="11" borderId="0" xfId="17" applyFont="1" applyFill="1"/>
    <xf numFmtId="0" fontId="56" fillId="11" borderId="0" xfId="17" applyFont="1" applyFill="1"/>
    <xf numFmtId="2" fontId="54" fillId="11" borderId="0" xfId="17" applyNumberFormat="1" applyFont="1" applyFill="1"/>
    <xf numFmtId="0" fontId="12" fillId="0" borderId="51" xfId="14" applyFont="1" applyBorder="1" applyAlignment="1">
      <alignment horizontal="center" vertical="center" wrapText="1"/>
    </xf>
    <xf numFmtId="0" fontId="66" fillId="0" borderId="0" xfId="0" applyFont="1"/>
    <xf numFmtId="0" fontId="54" fillId="11" borderId="0" xfId="22" applyFont="1" applyFill="1"/>
    <xf numFmtId="0" fontId="53" fillId="11" borderId="0" xfId="22" applyFont="1" applyFill="1"/>
    <xf numFmtId="0" fontId="56" fillId="11" borderId="0" xfId="22" applyFont="1" applyFill="1"/>
    <xf numFmtId="0" fontId="7" fillId="11" borderId="0" xfId="22" applyFont="1" applyFill="1"/>
    <xf numFmtId="0" fontId="12" fillId="0" borderId="172" xfId="14" applyFont="1" applyBorder="1" applyAlignment="1">
      <alignment horizontal="centerContinuous" vertical="center" wrapText="1"/>
    </xf>
    <xf numFmtId="1" fontId="7" fillId="5" borderId="172" xfId="14" applyNumberFormat="1" applyFont="1" applyFill="1" applyBorder="1"/>
    <xf numFmtId="9" fontId="7" fillId="5" borderId="172" xfId="14" applyNumberFormat="1" applyFont="1" applyFill="1" applyBorder="1"/>
    <xf numFmtId="9" fontId="7" fillId="5" borderId="179" xfId="14" applyNumberFormat="1" applyFont="1" applyFill="1" applyBorder="1"/>
    <xf numFmtId="165" fontId="39" fillId="0" borderId="177" xfId="14" applyNumberFormat="1" applyFont="1" applyBorder="1"/>
    <xf numFmtId="1" fontId="7" fillId="5" borderId="176" xfId="14" applyNumberFormat="1" applyFont="1" applyFill="1" applyBorder="1"/>
    <xf numFmtId="9" fontId="7" fillId="5" borderId="176" xfId="14" applyNumberFormat="1" applyFont="1" applyFill="1" applyBorder="1"/>
    <xf numFmtId="9" fontId="7" fillId="5" borderId="177" xfId="14" applyNumberFormat="1" applyFont="1" applyFill="1" applyBorder="1"/>
    <xf numFmtId="1" fontId="7" fillId="5" borderId="149" xfId="14" applyNumberFormat="1" applyFont="1" applyFill="1" applyBorder="1"/>
    <xf numFmtId="9" fontId="7" fillId="5" borderId="149" xfId="14" applyNumberFormat="1" applyFont="1" applyFill="1" applyBorder="1"/>
    <xf numFmtId="0" fontId="0" fillId="5" borderId="172" xfId="0" applyFill="1" applyBorder="1"/>
    <xf numFmtId="9" fontId="7" fillId="5" borderId="180" xfId="14" applyNumberFormat="1" applyFont="1" applyFill="1" applyBorder="1"/>
    <xf numFmtId="165" fontId="7" fillId="0" borderId="179" xfId="14" applyNumberFormat="1" applyFont="1" applyBorder="1"/>
    <xf numFmtId="164" fontId="12" fillId="0" borderId="179" xfId="14" applyNumberFormat="1" applyFont="1" applyBorder="1" applyAlignment="1">
      <alignment horizontal="right"/>
    </xf>
    <xf numFmtId="0" fontId="36" fillId="5" borderId="115" xfId="14" applyFont="1" applyFill="1" applyBorder="1"/>
    <xf numFmtId="165" fontId="36" fillId="5" borderId="122" xfId="14" applyNumberFormat="1" applyFont="1" applyFill="1" applyBorder="1"/>
    <xf numFmtId="164" fontId="36" fillId="5" borderId="181" xfId="14" applyNumberFormat="1" applyFont="1" applyFill="1" applyBorder="1" applyAlignment="1">
      <alignment horizontal="right"/>
    </xf>
    <xf numFmtId="164" fontId="36" fillId="5" borderId="122" xfId="14" applyNumberFormat="1" applyFont="1" applyFill="1" applyBorder="1" applyAlignment="1">
      <alignment horizontal="right"/>
    </xf>
    <xf numFmtId="0" fontId="12" fillId="0" borderId="169" xfId="14" applyFont="1" applyBorder="1" applyAlignment="1">
      <alignment horizontal="center" vertical="center" wrapText="1"/>
    </xf>
    <xf numFmtId="164" fontId="12" fillId="0" borderId="149" xfId="14" applyNumberFormat="1" applyFont="1" applyBorder="1" applyAlignment="1">
      <alignment horizontal="right"/>
    </xf>
    <xf numFmtId="164" fontId="12" fillId="0" borderId="174" xfId="14" applyNumberFormat="1" applyFont="1" applyBorder="1" applyAlignment="1">
      <alignment horizontal="right"/>
    </xf>
    <xf numFmtId="164" fontId="39" fillId="0" borderId="21" xfId="14" applyNumberFormat="1" applyFont="1" applyBorder="1" applyAlignment="1">
      <alignment horizontal="right"/>
    </xf>
    <xf numFmtId="0" fontId="2" fillId="2" borderId="39" xfId="14" applyFont="1" applyFill="1" applyBorder="1" applyAlignment="1">
      <alignment horizontal="right"/>
    </xf>
    <xf numFmtId="165" fontId="7" fillId="0" borderId="9" xfId="14" applyNumberFormat="1" applyFont="1" applyBorder="1"/>
    <xf numFmtId="164" fontId="12" fillId="0" borderId="9" xfId="14" applyNumberFormat="1" applyFont="1" applyBorder="1" applyAlignment="1">
      <alignment horizontal="right"/>
    </xf>
    <xf numFmtId="0" fontId="2" fillId="0" borderId="9" xfId="14" applyFont="1" applyBorder="1"/>
    <xf numFmtId="0" fontId="7" fillId="0" borderId="9" xfId="14" applyFont="1" applyBorder="1"/>
    <xf numFmtId="0" fontId="7" fillId="0" borderId="12" xfId="14" applyFont="1" applyBorder="1"/>
    <xf numFmtId="165" fontId="3" fillId="0" borderId="176" xfId="14" applyNumberFormat="1" applyFont="1" applyFill="1" applyBorder="1"/>
    <xf numFmtId="0" fontId="12" fillId="0" borderId="176" xfId="14" applyFont="1" applyBorder="1" applyAlignment="1">
      <alignment horizontal="center" vertical="center" wrapText="1"/>
    </xf>
    <xf numFmtId="1" fontId="3" fillId="5" borderId="176" xfId="14" applyNumberFormat="1" applyFont="1" applyFill="1" applyBorder="1"/>
    <xf numFmtId="9" fontId="3" fillId="5" borderId="176" xfId="14" applyNumberFormat="1" applyFont="1" applyFill="1" applyBorder="1"/>
    <xf numFmtId="176" fontId="7" fillId="5" borderId="149" xfId="1" applyNumberFormat="1" applyFont="1" applyFill="1" applyBorder="1"/>
    <xf numFmtId="165" fontId="7" fillId="0" borderId="175" xfId="14" applyNumberFormat="1" applyFont="1" applyBorder="1"/>
    <xf numFmtId="165" fontId="39" fillId="0" borderId="175" xfId="14" applyNumberFormat="1" applyFont="1" applyBorder="1"/>
    <xf numFmtId="9" fontId="7" fillId="5" borderId="175" xfId="14" applyNumberFormat="1" applyFont="1" applyFill="1" applyBorder="1"/>
    <xf numFmtId="1" fontId="3" fillId="5" borderId="172" xfId="14" applyNumberFormat="1" applyFont="1" applyFill="1" applyBorder="1"/>
    <xf numFmtId="9" fontId="3" fillId="5" borderId="149" xfId="14" applyNumberFormat="1" applyFont="1" applyFill="1" applyBorder="1"/>
    <xf numFmtId="0" fontId="36" fillId="0" borderId="176" xfId="25" applyFont="1" applyBorder="1"/>
    <xf numFmtId="0" fontId="36" fillId="0" borderId="174" xfId="25" applyFont="1" applyBorder="1" applyAlignment="1">
      <alignment horizontal="center"/>
    </xf>
    <xf numFmtId="0" fontId="45" fillId="8" borderId="176" xfId="25" applyFont="1" applyFill="1" applyBorder="1" applyAlignment="1">
      <alignment horizontal="center"/>
    </xf>
    <xf numFmtId="0" fontId="36" fillId="5" borderId="176" xfId="0" applyFont="1" applyFill="1" applyBorder="1"/>
    <xf numFmtId="0" fontId="46" fillId="5" borderId="176" xfId="0" applyFont="1" applyFill="1" applyBorder="1"/>
    <xf numFmtId="0" fontId="8" fillId="5" borderId="176" xfId="0" applyFont="1" applyFill="1" applyBorder="1"/>
    <xf numFmtId="0" fontId="9" fillId="0" borderId="176" xfId="9" applyFont="1" applyBorder="1"/>
    <xf numFmtId="1" fontId="9" fillId="0" borderId="176" xfId="9" applyNumberFormat="1" applyFont="1" applyBorder="1"/>
    <xf numFmtId="0" fontId="9" fillId="5" borderId="176" xfId="0" applyFont="1" applyFill="1" applyBorder="1"/>
    <xf numFmtId="0" fontId="9" fillId="0" borderId="24" xfId="9" applyFont="1" applyBorder="1"/>
    <xf numFmtId="0" fontId="9" fillId="0" borderId="98" xfId="9" applyFont="1" applyBorder="1"/>
    <xf numFmtId="0" fontId="9" fillId="0" borderId="16" xfId="9" applyFont="1" applyBorder="1"/>
    <xf numFmtId="0" fontId="45" fillId="8" borderId="174" xfId="25" applyFont="1" applyFill="1" applyBorder="1" applyAlignment="1">
      <alignment horizontal="center"/>
    </xf>
    <xf numFmtId="0" fontId="9" fillId="0" borderId="176" xfId="9" applyFont="1" applyFill="1" applyBorder="1"/>
    <xf numFmtId="0" fontId="46" fillId="0" borderId="176" xfId="0" applyFont="1" applyFill="1" applyBorder="1"/>
    <xf numFmtId="0" fontId="46" fillId="0" borderId="174" xfId="9" applyFont="1" applyBorder="1"/>
    <xf numFmtId="0" fontId="9" fillId="0" borderId="174" xfId="9" applyFont="1" applyBorder="1"/>
    <xf numFmtId="0" fontId="45" fillId="8" borderId="182" xfId="25" applyFont="1" applyFill="1" applyBorder="1" applyAlignment="1">
      <alignment horizontal="center"/>
    </xf>
    <xf numFmtId="0" fontId="36" fillId="0" borderId="175" xfId="25" applyFont="1" applyBorder="1" applyAlignment="1">
      <alignment horizontal="center"/>
    </xf>
    <xf numFmtId="0" fontId="46" fillId="5" borderId="31" xfId="0" applyFont="1" applyFill="1" applyBorder="1"/>
    <xf numFmtId="0" fontId="46" fillId="0" borderId="31" xfId="9" applyFont="1" applyBorder="1"/>
    <xf numFmtId="0" fontId="46" fillId="0" borderId="31" xfId="0" applyFont="1" applyFill="1" applyBorder="1"/>
    <xf numFmtId="0" fontId="46" fillId="0" borderId="175" xfId="9" applyFont="1" applyFill="1" applyBorder="1"/>
    <xf numFmtId="0" fontId="36" fillId="0" borderId="37" xfId="9" applyFont="1" applyBorder="1"/>
    <xf numFmtId="0" fontId="46" fillId="0" borderId="175" xfId="9" applyFont="1" applyBorder="1"/>
    <xf numFmtId="0" fontId="46" fillId="0" borderId="31" xfId="9" applyFont="1" applyBorder="1" applyAlignment="1">
      <alignment horizontal="right"/>
    </xf>
    <xf numFmtId="0" fontId="9" fillId="5" borderId="14" xfId="0" applyFont="1" applyFill="1" applyBorder="1"/>
    <xf numFmtId="0" fontId="45" fillId="8" borderId="61" xfId="25" applyFont="1" applyFill="1" applyBorder="1" applyAlignment="1">
      <alignment horizontal="center"/>
    </xf>
    <xf numFmtId="0" fontId="46" fillId="5" borderId="117" xfId="0" applyFont="1" applyFill="1" applyBorder="1"/>
    <xf numFmtId="0" fontId="56" fillId="0" borderId="0" xfId="21" applyFont="1" applyBorder="1"/>
    <xf numFmtId="0" fontId="56" fillId="0" borderId="0" xfId="21" applyFont="1"/>
    <xf numFmtId="0" fontId="54" fillId="0" borderId="0" xfId="21" applyFont="1"/>
    <xf numFmtId="0" fontId="54" fillId="11" borderId="0" xfId="21" applyFont="1" applyFill="1" applyBorder="1"/>
    <xf numFmtId="0" fontId="53" fillId="11" borderId="0" xfId="21" applyFont="1" applyFill="1" applyBorder="1" applyAlignment="1">
      <alignment horizontal="centerContinuous" vertical="center"/>
    </xf>
    <xf numFmtId="0" fontId="54" fillId="11" borderId="0" xfId="21" applyFont="1" applyFill="1"/>
    <xf numFmtId="0" fontId="54" fillId="11" borderId="155" xfId="21" applyFont="1" applyFill="1" applyBorder="1"/>
    <xf numFmtId="0" fontId="0" fillId="0" borderId="149" xfId="0" applyNumberFormat="1" applyBorder="1"/>
    <xf numFmtId="0" fontId="22" fillId="0" borderId="0" xfId="22" applyFont="1" applyBorder="1" applyAlignment="1">
      <alignment horizontal="center"/>
    </xf>
    <xf numFmtId="0" fontId="12" fillId="0" borderId="0" xfId="22" applyFont="1" applyBorder="1" applyAlignment="1">
      <alignment horizontal="center"/>
    </xf>
    <xf numFmtId="164" fontId="12" fillId="0" borderId="0" xfId="22" applyNumberFormat="1" applyFont="1" applyBorder="1"/>
    <xf numFmtId="1" fontId="7" fillId="5" borderId="184" xfId="14" applyNumberFormat="1" applyFont="1" applyFill="1" applyBorder="1"/>
    <xf numFmtId="9" fontId="7" fillId="5" borderId="184" xfId="14" applyNumberFormat="1" applyFont="1" applyFill="1" applyBorder="1"/>
    <xf numFmtId="9" fontId="7" fillId="5" borderId="185" xfId="14" applyNumberFormat="1" applyFont="1" applyFill="1" applyBorder="1"/>
    <xf numFmtId="165" fontId="3" fillId="0" borderId="184" xfId="14" applyNumberFormat="1" applyFont="1" applyBorder="1"/>
    <xf numFmtId="165" fontId="3" fillId="0" borderId="184" xfId="14" applyNumberFormat="1" applyFont="1" applyFill="1" applyBorder="1"/>
    <xf numFmtId="165" fontId="7" fillId="0" borderId="185" xfId="14" applyNumberFormat="1" applyFont="1" applyBorder="1"/>
    <xf numFmtId="165" fontId="7" fillId="0" borderId="184" xfId="14" applyNumberFormat="1" applyFont="1" applyBorder="1"/>
    <xf numFmtId="165" fontId="7" fillId="0" borderId="184" xfId="14" applyNumberFormat="1" applyFont="1" applyFill="1" applyBorder="1"/>
    <xf numFmtId="164" fontId="12" fillId="0" borderId="185" xfId="14" applyNumberFormat="1" applyFont="1" applyBorder="1" applyAlignment="1">
      <alignment horizontal="right"/>
    </xf>
    <xf numFmtId="164" fontId="24" fillId="0" borderId="65" xfId="14" applyNumberFormat="1" applyFont="1" applyBorder="1" applyAlignment="1">
      <alignment horizontal="right"/>
    </xf>
    <xf numFmtId="0" fontId="12" fillId="0" borderId="184" xfId="14" applyFont="1" applyBorder="1" applyAlignment="1">
      <alignment horizontal="centerContinuous" vertical="center" wrapText="1"/>
    </xf>
    <xf numFmtId="0" fontId="12" fillId="0" borderId="185" xfId="14" applyFont="1" applyBorder="1" applyAlignment="1">
      <alignment horizontal="center" vertical="center" wrapText="1"/>
    </xf>
    <xf numFmtId="0" fontId="12" fillId="0" borderId="184" xfId="14" applyFont="1" applyBorder="1" applyAlignment="1">
      <alignment horizontal="center" vertical="center" wrapText="1"/>
    </xf>
    <xf numFmtId="0" fontId="12" fillId="0" borderId="185" xfId="14" applyFont="1" applyBorder="1" applyAlignment="1">
      <alignment horizontal="centerContinuous" vertical="center" wrapText="1"/>
    </xf>
    <xf numFmtId="0" fontId="12" fillId="0" borderId="186" xfId="14" applyFont="1" applyBorder="1" applyAlignment="1">
      <alignment horizontal="centerContinuous" vertical="center" wrapText="1"/>
    </xf>
    <xf numFmtId="0" fontId="12" fillId="0" borderId="186" xfId="14" applyFont="1" applyBorder="1" applyAlignment="1">
      <alignment horizontal="center" vertical="center" wrapText="1"/>
    </xf>
    <xf numFmtId="1" fontId="7" fillId="5" borderId="187" xfId="14" applyNumberFormat="1" applyFont="1" applyFill="1" applyBorder="1"/>
    <xf numFmtId="9" fontId="7" fillId="5" borderId="187" xfId="14" applyNumberFormat="1" applyFont="1" applyFill="1" applyBorder="1"/>
    <xf numFmtId="165" fontId="7" fillId="0" borderId="187" xfId="14" applyNumberFormat="1" applyFont="1" applyBorder="1"/>
    <xf numFmtId="164" fontId="39" fillId="0" borderId="185" xfId="14" applyNumberFormat="1" applyFont="1" applyBorder="1" applyAlignment="1">
      <alignment horizontal="right"/>
    </xf>
    <xf numFmtId="165" fontId="39" fillId="0" borderId="184" xfId="14" applyNumberFormat="1" applyFont="1" applyBorder="1"/>
    <xf numFmtId="165" fontId="39" fillId="0" borderId="185" xfId="14" applyNumberFormat="1" applyFont="1" applyBorder="1"/>
    <xf numFmtId="165" fontId="39" fillId="0" borderId="187" xfId="14" applyNumberFormat="1" applyFont="1" applyBorder="1"/>
    <xf numFmtId="165" fontId="7" fillId="5" borderId="184" xfId="14" applyNumberFormat="1" applyFont="1" applyFill="1" applyBorder="1"/>
    <xf numFmtId="165" fontId="39" fillId="0" borderId="188" xfId="14" applyNumberFormat="1" applyFont="1" applyBorder="1"/>
    <xf numFmtId="0" fontId="12" fillId="0" borderId="42" xfId="14" applyFont="1" applyBorder="1" applyAlignment="1">
      <alignment horizontal="centerContinuous" vertical="center" wrapText="1"/>
    </xf>
    <xf numFmtId="0" fontId="12" fillId="0" borderId="187" xfId="14" applyFont="1" applyBorder="1" applyAlignment="1">
      <alignment horizontal="centerContinuous" vertical="center" wrapText="1"/>
    </xf>
    <xf numFmtId="0" fontId="12" fillId="0" borderId="187" xfId="14" applyFont="1" applyBorder="1" applyAlignment="1">
      <alignment horizontal="center" vertical="center" wrapText="1"/>
    </xf>
    <xf numFmtId="1" fontId="2" fillId="5" borderId="184" xfId="14" applyNumberFormat="1" applyFont="1" applyFill="1" applyBorder="1"/>
    <xf numFmtId="1" fontId="3" fillId="5" borderId="184" xfId="14" applyNumberFormat="1" applyFont="1" applyFill="1" applyBorder="1"/>
    <xf numFmtId="9" fontId="3" fillId="5" borderId="184" xfId="14" applyNumberFormat="1" applyFont="1" applyFill="1" applyBorder="1"/>
    <xf numFmtId="0" fontId="0" fillId="5" borderId="179" xfId="0" applyFill="1" applyBorder="1"/>
    <xf numFmtId="164" fontId="24" fillId="0" borderId="98" xfId="14" applyNumberFormat="1" applyFont="1" applyBorder="1" applyAlignment="1">
      <alignment horizontal="right"/>
    </xf>
    <xf numFmtId="0" fontId="12" fillId="0" borderId="189" xfId="14" applyFont="1" applyBorder="1" applyAlignment="1">
      <alignment horizontal="centerContinuous" vertical="center" wrapText="1"/>
    </xf>
    <xf numFmtId="0" fontId="12" fillId="0" borderId="189" xfId="14" applyFont="1" applyBorder="1" applyAlignment="1">
      <alignment horizontal="center" vertical="center" wrapText="1"/>
    </xf>
    <xf numFmtId="0" fontId="12" fillId="0" borderId="62" xfId="14" applyFont="1" applyBorder="1" applyAlignment="1">
      <alignment horizontal="centerContinuous" vertical="center" wrapText="1"/>
    </xf>
    <xf numFmtId="165" fontId="7" fillId="5" borderId="35" xfId="14" applyNumberFormat="1" applyFont="1" applyFill="1" applyBorder="1"/>
    <xf numFmtId="165" fontId="7" fillId="0" borderId="186" xfId="14" applyNumberFormat="1" applyFont="1" applyBorder="1"/>
    <xf numFmtId="0" fontId="2" fillId="2" borderId="28" xfId="14" applyFont="1" applyFill="1" applyBorder="1"/>
    <xf numFmtId="165" fontId="39" fillId="0" borderId="23" xfId="14" applyNumberFormat="1" applyFont="1" applyBorder="1" applyAlignment="1">
      <alignment horizontal="right"/>
    </xf>
    <xf numFmtId="164" fontId="39" fillId="0" borderId="25" xfId="14" applyNumberFormat="1" applyFont="1" applyBorder="1" applyAlignment="1">
      <alignment horizontal="right"/>
    </xf>
    <xf numFmtId="165" fontId="3" fillId="0" borderId="186" xfId="14" applyNumberFormat="1" applyFont="1" applyBorder="1"/>
    <xf numFmtId="0" fontId="12" fillId="5" borderId="115" xfId="14" applyFont="1" applyFill="1" applyBorder="1"/>
    <xf numFmtId="1" fontId="7" fillId="5" borderId="121" xfId="14" applyNumberFormat="1" applyFont="1" applyFill="1" applyBorder="1"/>
    <xf numFmtId="9" fontId="7" fillId="5" borderId="121" xfId="14" applyNumberFormat="1" applyFont="1" applyFill="1" applyBorder="1"/>
    <xf numFmtId="9" fontId="7" fillId="5" borderId="122" xfId="14" applyNumberFormat="1" applyFont="1" applyFill="1" applyBorder="1"/>
    <xf numFmtId="9" fontId="7" fillId="5" borderId="118" xfId="14" applyNumberFormat="1" applyFont="1" applyFill="1" applyBorder="1"/>
    <xf numFmtId="9" fontId="7" fillId="5" borderId="117" xfId="14" applyNumberFormat="1" applyFont="1" applyFill="1" applyBorder="1"/>
    <xf numFmtId="0" fontId="36" fillId="0" borderId="187" xfId="25" applyFont="1" applyBorder="1" applyAlignment="1">
      <alignment horizontal="center"/>
    </xf>
    <xf numFmtId="0" fontId="46" fillId="0" borderId="187" xfId="9" applyFont="1" applyBorder="1"/>
    <xf numFmtId="0" fontId="46" fillId="5" borderId="187" xfId="0" applyFont="1" applyFill="1" applyBorder="1"/>
    <xf numFmtId="0" fontId="46" fillId="0" borderId="187" xfId="0" applyFont="1" applyFill="1" applyBorder="1"/>
    <xf numFmtId="0" fontId="46" fillId="0" borderId="187" xfId="9" applyFont="1" applyBorder="1" applyAlignment="1">
      <alignment horizontal="right"/>
    </xf>
    <xf numFmtId="0" fontId="9" fillId="5" borderId="190" xfId="0" applyFont="1" applyFill="1" applyBorder="1"/>
    <xf numFmtId="0" fontId="36" fillId="5" borderId="51" xfId="0" applyFont="1" applyFill="1" applyBorder="1" applyAlignment="1"/>
    <xf numFmtId="0" fontId="36" fillId="0" borderId="184" xfId="25" applyFont="1" applyBorder="1" applyAlignment="1">
      <alignment horizontal="center"/>
    </xf>
    <xf numFmtId="0" fontId="36" fillId="0" borderId="185" xfId="25" applyFont="1" applyBorder="1" applyAlignment="1">
      <alignment horizontal="center" wrapText="1"/>
    </xf>
    <xf numFmtId="0" fontId="46" fillId="5" borderId="184" xfId="0" applyFont="1" applyFill="1" applyBorder="1"/>
    <xf numFmtId="0" fontId="36" fillId="5" borderId="185" xfId="0" applyFont="1" applyFill="1" applyBorder="1"/>
    <xf numFmtId="0" fontId="46" fillId="0" borderId="184" xfId="9" applyFont="1" applyBorder="1"/>
    <xf numFmtId="164" fontId="36" fillId="0" borderId="185" xfId="14" applyNumberFormat="1" applyFont="1" applyBorder="1" applyAlignment="1">
      <alignment horizontal="right"/>
    </xf>
    <xf numFmtId="0" fontId="36" fillId="0" borderId="191" xfId="25" applyFont="1" applyBorder="1" applyAlignment="1">
      <alignment horizontal="center" wrapText="1"/>
    </xf>
    <xf numFmtId="0" fontId="36" fillId="5" borderId="191" xfId="0" applyFont="1" applyFill="1" applyBorder="1"/>
    <xf numFmtId="0" fontId="46" fillId="0" borderId="184" xfId="9" applyFont="1" applyFill="1" applyBorder="1"/>
    <xf numFmtId="164" fontId="36" fillId="0" borderId="185" xfId="14" applyNumberFormat="1" applyFont="1" applyFill="1" applyBorder="1" applyAlignment="1">
      <alignment horizontal="right"/>
    </xf>
    <xf numFmtId="0" fontId="46" fillId="0" borderId="184" xfId="0" applyFont="1" applyFill="1" applyBorder="1"/>
    <xf numFmtId="0" fontId="46" fillId="0" borderId="184" xfId="9" applyFont="1" applyBorder="1" applyAlignment="1">
      <alignment horizontal="right"/>
    </xf>
    <xf numFmtId="0" fontId="36" fillId="0" borderId="69" xfId="9" applyFont="1" applyBorder="1" applyAlignment="1">
      <alignment horizontal="right"/>
    </xf>
    <xf numFmtId="164" fontId="36" fillId="0" borderId="147" xfId="14" applyNumberFormat="1" applyFont="1" applyBorder="1" applyAlignment="1">
      <alignment horizontal="right"/>
    </xf>
    <xf numFmtId="0" fontId="36" fillId="0" borderId="101" xfId="9" applyFont="1" applyBorder="1" applyAlignment="1">
      <alignment horizontal="right"/>
    </xf>
    <xf numFmtId="0" fontId="36" fillId="0" borderId="77" xfId="9" applyFont="1" applyBorder="1"/>
    <xf numFmtId="164" fontId="36" fillId="0" borderId="109" xfId="14" applyNumberFormat="1" applyFont="1" applyBorder="1" applyAlignment="1">
      <alignment horizontal="right"/>
    </xf>
    <xf numFmtId="164" fontId="36" fillId="0" borderId="79" xfId="14" applyNumberFormat="1" applyFont="1" applyBorder="1" applyAlignment="1">
      <alignment horizontal="right"/>
    </xf>
    <xf numFmtId="164" fontId="36" fillId="0" borderId="80" xfId="14" applyNumberFormat="1" applyFont="1" applyBorder="1" applyAlignment="1">
      <alignment horizontal="right"/>
    </xf>
    <xf numFmtId="0" fontId="12" fillId="6" borderId="5" xfId="0" applyFont="1" applyFill="1" applyBorder="1" applyAlignment="1">
      <alignment horizontal="center" vertical="center"/>
    </xf>
    <xf numFmtId="1" fontId="2" fillId="0" borderId="179" xfId="32" applyNumberFormat="1" applyFont="1" applyFill="1" applyBorder="1"/>
    <xf numFmtId="1" fontId="12" fillId="0" borderId="179" xfId="32" applyNumberFormat="1" applyFont="1" applyBorder="1"/>
    <xf numFmtId="1" fontId="2" fillId="0" borderId="179" xfId="32" applyNumberFormat="1" applyFont="1" applyBorder="1"/>
    <xf numFmtId="1" fontId="2" fillId="0" borderId="179" xfId="32" applyNumberFormat="1" applyFont="1" applyFill="1" applyBorder="1" applyAlignment="1">
      <alignment vertical="center"/>
    </xf>
    <xf numFmtId="164" fontId="12" fillId="9" borderId="18" xfId="31" applyNumberFormat="1" applyFont="1" applyFill="1" applyBorder="1"/>
    <xf numFmtId="164" fontId="12" fillId="9" borderId="23" xfId="31" applyNumberFormat="1" applyFont="1" applyFill="1" applyBorder="1"/>
    <xf numFmtId="1" fontId="2" fillId="0" borderId="172" xfId="32" applyNumberFormat="1" applyFont="1" applyBorder="1"/>
    <xf numFmtId="164" fontId="2" fillId="0" borderId="179" xfId="31" applyNumberFormat="1" applyFont="1" applyBorder="1"/>
    <xf numFmtId="1" fontId="2" fillId="0" borderId="172" xfId="32" applyNumberFormat="1" applyFont="1" applyFill="1" applyBorder="1" applyAlignment="1">
      <alignment vertical="center"/>
    </xf>
    <xf numFmtId="164" fontId="0" fillId="0" borderId="5" xfId="0" applyNumberFormat="1" applyFill="1" applyBorder="1"/>
    <xf numFmtId="164" fontId="2" fillId="0" borderId="5" xfId="0" applyNumberFormat="1" applyFont="1" applyFill="1" applyBorder="1" applyAlignment="1">
      <alignment horizontal="center"/>
    </xf>
    <xf numFmtId="0" fontId="0" fillId="0" borderId="0" xfId="0" applyNumberFormat="1"/>
    <xf numFmtId="1" fontId="12" fillId="0" borderId="152" xfId="32" applyNumberFormat="1" applyFont="1" applyBorder="1"/>
    <xf numFmtId="0" fontId="66" fillId="0" borderId="0" xfId="0" applyFont="1" applyAlignment="1">
      <alignment horizontal="center"/>
    </xf>
    <xf numFmtId="0" fontId="54" fillId="0" borderId="0" xfId="0" applyFont="1" applyAlignment="1">
      <alignment horizontal="center"/>
    </xf>
    <xf numFmtId="0" fontId="53" fillId="0" borderId="164" xfId="0" applyFont="1" applyBorder="1" applyAlignment="1">
      <alignment horizontal="center" vertical="center" wrapText="1"/>
    </xf>
    <xf numFmtId="0" fontId="53" fillId="0" borderId="156" xfId="0" applyFont="1" applyBorder="1" applyAlignment="1">
      <alignment horizontal="center" vertical="center" wrapText="1"/>
    </xf>
    <xf numFmtId="0" fontId="53" fillId="0" borderId="157" xfId="0" applyFont="1" applyBorder="1" applyAlignment="1">
      <alignment horizontal="center" vertical="center" wrapText="1"/>
    </xf>
    <xf numFmtId="0" fontId="54" fillId="0" borderId="156" xfId="0" applyFont="1" applyBorder="1" applyAlignment="1">
      <alignment horizontal="center"/>
    </xf>
    <xf numFmtId="0" fontId="54" fillId="0" borderId="161" xfId="0" applyFont="1" applyBorder="1" applyAlignment="1">
      <alignment horizontal="center"/>
    </xf>
    <xf numFmtId="0" fontId="54" fillId="0" borderId="159" xfId="0" applyFont="1" applyBorder="1" applyAlignment="1">
      <alignment horizontal="center"/>
    </xf>
    <xf numFmtId="0" fontId="54" fillId="0" borderId="158" xfId="0" applyFont="1" applyBorder="1" applyAlignment="1">
      <alignment horizontal="center"/>
    </xf>
    <xf numFmtId="0" fontId="54" fillId="0" borderId="155" xfId="0" applyFont="1" applyBorder="1" applyAlignment="1">
      <alignment horizontal="center"/>
    </xf>
    <xf numFmtId="0" fontId="54" fillId="0" borderId="163" xfId="0" applyFont="1" applyBorder="1" applyAlignment="1">
      <alignment horizontal="center"/>
    </xf>
    <xf numFmtId="0" fontId="0" fillId="0" borderId="0" xfId="0" applyAlignment="1">
      <alignment horizontal="left"/>
    </xf>
    <xf numFmtId="0" fontId="36" fillId="0" borderId="185" xfId="13" applyFont="1" applyBorder="1" applyAlignment="1">
      <alignment horizontal="center"/>
    </xf>
    <xf numFmtId="0" fontId="46" fillId="5" borderId="185" xfId="0" applyFont="1" applyFill="1" applyBorder="1"/>
    <xf numFmtId="0" fontId="46" fillId="0" borderId="179" xfId="13" applyFont="1" applyBorder="1"/>
    <xf numFmtId="0" fontId="46" fillId="0" borderId="185" xfId="13" applyFont="1" applyBorder="1"/>
    <xf numFmtId="0" fontId="46" fillId="0" borderId="185" xfId="9" applyFont="1" applyBorder="1"/>
    <xf numFmtId="0" fontId="36" fillId="0" borderId="150" xfId="13" applyFont="1" applyBorder="1" applyAlignment="1">
      <alignment horizontal="center"/>
    </xf>
    <xf numFmtId="0" fontId="46" fillId="5" borderId="150" xfId="0" applyFont="1" applyFill="1" applyBorder="1"/>
    <xf numFmtId="0" fontId="46" fillId="0" borderId="150" xfId="13" applyFont="1" applyBorder="1"/>
    <xf numFmtId="0" fontId="46" fillId="0" borderId="150" xfId="9" applyFont="1" applyBorder="1"/>
    <xf numFmtId="0" fontId="36" fillId="0" borderId="151" xfId="13" applyFont="1" applyBorder="1" applyAlignment="1">
      <alignment horizontal="center"/>
    </xf>
    <xf numFmtId="0" fontId="46" fillId="5" borderId="152" xfId="0" applyFont="1" applyFill="1" applyBorder="1"/>
    <xf numFmtId="0" fontId="46" fillId="0" borderId="152" xfId="13" applyFont="1" applyBorder="1"/>
    <xf numFmtId="0" fontId="46" fillId="0" borderId="151" xfId="9" applyFont="1" applyBorder="1"/>
    <xf numFmtId="0" fontId="46" fillId="5" borderId="151" xfId="0" applyFont="1" applyFill="1" applyBorder="1"/>
    <xf numFmtId="0" fontId="46" fillId="2" borderId="152" xfId="13" applyFont="1" applyFill="1" applyBorder="1"/>
    <xf numFmtId="0" fontId="36" fillId="0" borderId="109" xfId="9" applyFont="1" applyBorder="1"/>
    <xf numFmtId="0" fontId="9" fillId="5" borderId="20" xfId="0" applyFont="1" applyFill="1" applyBorder="1"/>
    <xf numFmtId="0" fontId="46" fillId="5" borderId="179" xfId="0" applyFont="1" applyFill="1" applyBorder="1"/>
    <xf numFmtId="0" fontId="46" fillId="5" borderId="165" xfId="0" applyFont="1" applyFill="1" applyBorder="1"/>
    <xf numFmtId="0" fontId="46" fillId="2" borderId="179" xfId="13" applyFont="1" applyFill="1" applyBorder="1"/>
    <xf numFmtId="0" fontId="36" fillId="0" borderId="91" xfId="9" applyFont="1" applyBorder="1"/>
    <xf numFmtId="0" fontId="36" fillId="0" borderId="22" xfId="9" applyFont="1" applyBorder="1"/>
    <xf numFmtId="0" fontId="36" fillId="0" borderId="184" xfId="13" applyFont="1" applyBorder="1" applyAlignment="1">
      <alignment horizontal="center"/>
    </xf>
    <xf numFmtId="0" fontId="36" fillId="0" borderId="150" xfId="25" applyFont="1" applyBorder="1" applyAlignment="1">
      <alignment horizontal="center"/>
    </xf>
    <xf numFmtId="0" fontId="7" fillId="0" borderId="184" xfId="9" applyFont="1" applyBorder="1"/>
    <xf numFmtId="0" fontId="2" fillId="0" borderId="150" xfId="9" applyFont="1" applyBorder="1"/>
    <xf numFmtId="0" fontId="36" fillId="0" borderId="0" xfId="9" applyFont="1" applyFill="1" applyBorder="1"/>
    <xf numFmtId="0" fontId="2" fillId="0" borderId="150" xfId="9" applyFont="1" applyFill="1" applyBorder="1"/>
    <xf numFmtId="0" fontId="56" fillId="0" borderId="0" xfId="0" applyFont="1" applyBorder="1"/>
    <xf numFmtId="0" fontId="2" fillId="0" borderId="6" xfId="0" applyFont="1" applyBorder="1" applyAlignment="1">
      <alignment horizontal="center"/>
    </xf>
    <xf numFmtId="0" fontId="2" fillId="0" borderId="184" xfId="0" applyFont="1" applyBorder="1" applyAlignment="1">
      <alignment horizontal="right"/>
    </xf>
    <xf numFmtId="164" fontId="2" fillId="0" borderId="165" xfId="0" applyNumberFormat="1" applyFont="1" applyBorder="1" applyAlignment="1">
      <alignment horizontal="right"/>
    </xf>
    <xf numFmtId="9" fontId="2" fillId="0" borderId="165" xfId="31" applyFont="1" applyBorder="1" applyAlignment="1">
      <alignment horizontal="right"/>
    </xf>
    <xf numFmtId="0" fontId="66" fillId="0" borderId="0" xfId="0" applyFont="1" applyFill="1"/>
    <xf numFmtId="0" fontId="54" fillId="0" borderId="0" xfId="0" applyFont="1" applyFill="1"/>
    <xf numFmtId="0" fontId="7" fillId="0" borderId="13" xfId="23" applyFont="1" applyBorder="1" applyAlignment="1">
      <alignment horizontal="centerContinuous"/>
    </xf>
    <xf numFmtId="0" fontId="7" fillId="0" borderId="1" xfId="23" applyFont="1" applyBorder="1" applyAlignment="1">
      <alignment horizontal="centerContinuous"/>
    </xf>
    <xf numFmtId="164" fontId="7" fillId="0" borderId="149" xfId="23" applyNumberFormat="1" applyFont="1" applyBorder="1" applyAlignment="1">
      <alignment horizontal="right"/>
    </xf>
    <xf numFmtId="0" fontId="7" fillId="0" borderId="149" xfId="23" applyFont="1" applyBorder="1" applyAlignment="1">
      <alignment horizontal="right"/>
    </xf>
    <xf numFmtId="1" fontId="7" fillId="0" borderId="149" xfId="23" applyNumberFormat="1" applyFont="1" applyBorder="1" applyAlignment="1">
      <alignment horizontal="right"/>
    </xf>
    <xf numFmtId="1" fontId="7" fillId="0" borderId="179" xfId="23" applyNumberFormat="1" applyFont="1" applyBorder="1" applyAlignment="1">
      <alignment horizontal="right"/>
    </xf>
    <xf numFmtId="0" fontId="22" fillId="0" borderId="0" xfId="22" applyFont="1" applyBorder="1" applyAlignment="1">
      <alignment horizontal="center"/>
    </xf>
    <xf numFmtId="0" fontId="36" fillId="5" borderId="149" xfId="32" applyFont="1" applyFill="1" applyBorder="1"/>
    <xf numFmtId="0" fontId="36" fillId="5" borderId="179" xfId="32" applyFont="1" applyFill="1" applyBorder="1"/>
    <xf numFmtId="0" fontId="36" fillId="5" borderId="172" xfId="32" applyFont="1" applyFill="1" applyBorder="1"/>
    <xf numFmtId="164" fontId="36" fillId="0" borderId="177" xfId="14" applyNumberFormat="1" applyFont="1" applyFill="1" applyBorder="1" applyAlignment="1">
      <alignment horizontal="right"/>
    </xf>
    <xf numFmtId="0" fontId="12" fillId="0" borderId="60" xfId="14" applyFont="1" applyBorder="1" applyAlignment="1">
      <alignment horizontal="center" vertical="center" wrapText="1"/>
    </xf>
    <xf numFmtId="0" fontId="12" fillId="0" borderId="110" xfId="14" applyFont="1" applyBorder="1" applyAlignment="1">
      <alignment horizontal="center" vertical="center" wrapText="1"/>
    </xf>
    <xf numFmtId="0" fontId="12" fillId="0" borderId="150" xfId="14" applyFont="1" applyBorder="1" applyAlignment="1">
      <alignment horizontal="centerContinuous" vertical="center" wrapText="1"/>
    </xf>
    <xf numFmtId="0" fontId="12" fillId="0" borderId="150" xfId="14" applyFont="1" applyBorder="1" applyAlignment="1">
      <alignment horizontal="center" vertical="center" wrapText="1"/>
    </xf>
    <xf numFmtId="0" fontId="12" fillId="0" borderId="165" xfId="14" applyFont="1" applyBorder="1" applyAlignment="1">
      <alignment horizontal="centerContinuous" vertical="center" wrapText="1"/>
    </xf>
    <xf numFmtId="165" fontId="2" fillId="0" borderId="9" xfId="14" applyNumberFormat="1" applyFont="1" applyBorder="1"/>
    <xf numFmtId="0" fontId="2" fillId="2" borderId="162" xfId="14" applyFont="1" applyFill="1" applyBorder="1" applyAlignment="1">
      <alignment horizontal="right"/>
    </xf>
    <xf numFmtId="0" fontId="2" fillId="2" borderId="20" xfId="14" applyFont="1" applyFill="1" applyBorder="1" applyAlignment="1">
      <alignment horizontal="right"/>
    </xf>
    <xf numFmtId="165" fontId="2" fillId="0" borderId="20" xfId="14" applyNumberFormat="1" applyFont="1" applyBorder="1"/>
    <xf numFmtId="0" fontId="2" fillId="0" borderId="20" xfId="14" applyFont="1" applyBorder="1"/>
    <xf numFmtId="0" fontId="2" fillId="0" borderId="186" xfId="32" applyFont="1" applyBorder="1"/>
    <xf numFmtId="0" fontId="12" fillId="0" borderId="0" xfId="8" applyFont="1" applyBorder="1" applyAlignment="1">
      <alignment horizontal="center"/>
    </xf>
    <xf numFmtId="42" fontId="3" fillId="0" borderId="0" xfId="8" applyNumberFormat="1" applyFont="1" applyBorder="1" applyAlignment="1">
      <alignment horizontal="right"/>
    </xf>
    <xf numFmtId="0" fontId="3" fillId="0" borderId="0" xfId="15" applyFont="1" applyFill="1" applyBorder="1"/>
    <xf numFmtId="0" fontId="10" fillId="0" borderId="0" xfId="0" applyFont="1" applyAlignment="1">
      <alignment horizontal="center"/>
    </xf>
    <xf numFmtId="0" fontId="24" fillId="0" borderId="0" xfId="0" applyFont="1" applyFill="1"/>
    <xf numFmtId="0" fontId="0" fillId="0" borderId="0" xfId="0" applyBorder="1" applyAlignment="1">
      <alignment horizontal="center"/>
    </xf>
    <xf numFmtId="0" fontId="24" fillId="0" borderId="0" xfId="0" applyFont="1" applyBorder="1" applyAlignment="1">
      <alignment horizontal="center" vertical="center"/>
    </xf>
    <xf numFmtId="0" fontId="15" fillId="0" borderId="0" xfId="0" applyFont="1" applyAlignment="1">
      <alignment horizontal="center" vertical="center"/>
    </xf>
    <xf numFmtId="0" fontId="9" fillId="0" borderId="0" xfId="24" applyFont="1" applyAlignment="1">
      <alignment horizontal="center" vertical="center"/>
    </xf>
    <xf numFmtId="0" fontId="12" fillId="0" borderId="127" xfId="24" applyFont="1" applyBorder="1" applyAlignment="1">
      <alignment horizontal="center" vertical="center"/>
    </xf>
    <xf numFmtId="0" fontId="12" fillId="0" borderId="170" xfId="24" applyFont="1" applyBorder="1" applyAlignment="1">
      <alignment horizontal="center" vertical="center"/>
    </xf>
    <xf numFmtId="0" fontId="12" fillId="0" borderId="171" xfId="24" applyFont="1" applyBorder="1" applyAlignment="1">
      <alignment horizontal="center" vertical="center"/>
    </xf>
    <xf numFmtId="0" fontId="12" fillId="0" borderId="126" xfId="24" applyFont="1" applyBorder="1" applyAlignment="1">
      <alignment horizontal="center" vertical="center"/>
    </xf>
    <xf numFmtId="0" fontId="15" fillId="0" borderId="0" xfId="23" applyFont="1" applyBorder="1" applyAlignment="1">
      <alignment horizontal="center"/>
    </xf>
    <xf numFmtId="0" fontId="9" fillId="0" borderId="0" xfId="0" applyFont="1" applyAlignment="1">
      <alignment horizontal="center"/>
    </xf>
    <xf numFmtId="0" fontId="15" fillId="0" borderId="0" xfId="32" applyFont="1" applyAlignment="1">
      <alignment horizontal="center" vertical="center"/>
    </xf>
    <xf numFmtId="0" fontId="12" fillId="2" borderId="127" xfId="32" applyFont="1" applyFill="1" applyBorder="1" applyAlignment="1">
      <alignment horizontal="center" vertical="center" wrapText="1"/>
    </xf>
    <xf numFmtId="0" fontId="12" fillId="2" borderId="126" xfId="32" applyFont="1" applyFill="1" applyBorder="1" applyAlignment="1">
      <alignment horizontal="center" vertical="center" wrapText="1"/>
    </xf>
    <xf numFmtId="0" fontId="12" fillId="2" borderId="180" xfId="32" applyFont="1" applyFill="1" applyBorder="1" applyAlignment="1">
      <alignment horizontal="center" vertical="center" wrapText="1"/>
    </xf>
    <xf numFmtId="0" fontId="12" fillId="0" borderId="172" xfId="24" applyFont="1" applyBorder="1" applyAlignment="1">
      <alignment horizontal="center" vertical="center"/>
    </xf>
    <xf numFmtId="0" fontId="12" fillId="0" borderId="149" xfId="24" applyFont="1" applyBorder="1" applyAlignment="1">
      <alignment horizontal="center" vertical="center"/>
    </xf>
    <xf numFmtId="0" fontId="12" fillId="0" borderId="51" xfId="24" applyFont="1" applyBorder="1" applyAlignment="1">
      <alignment horizontal="center" vertical="center"/>
    </xf>
    <xf numFmtId="0" fontId="12" fillId="0" borderId="127" xfId="15" applyFont="1" applyFill="1" applyBorder="1" applyAlignment="1">
      <alignment horizontal="center"/>
    </xf>
    <xf numFmtId="0" fontId="12" fillId="0" borderId="123" xfId="15" applyFont="1" applyFill="1" applyBorder="1" applyAlignment="1">
      <alignment horizontal="center"/>
    </xf>
    <xf numFmtId="0" fontId="12" fillId="0" borderId="125" xfId="15" applyFont="1" applyFill="1" applyBorder="1" applyAlignment="1">
      <alignment horizontal="center"/>
    </xf>
    <xf numFmtId="0" fontId="12" fillId="0" borderId="93" xfId="15" applyFont="1" applyFill="1" applyBorder="1" applyAlignment="1">
      <alignment horizontal="center"/>
    </xf>
    <xf numFmtId="0" fontId="12" fillId="0" borderId="134" xfId="15" applyFont="1" applyFill="1" applyBorder="1" applyAlignment="1">
      <alignment horizontal="center"/>
    </xf>
    <xf numFmtId="0" fontId="12" fillId="0" borderId="32" xfId="15" applyFont="1" applyFill="1" applyBorder="1" applyAlignment="1">
      <alignment horizontal="center"/>
    </xf>
    <xf numFmtId="0" fontId="12" fillId="0" borderId="18" xfId="15" applyFont="1" applyFill="1" applyBorder="1" applyAlignment="1">
      <alignment horizontal="center"/>
    </xf>
    <xf numFmtId="0" fontId="12" fillId="0" borderId="42" xfId="15" applyFont="1" applyFill="1" applyBorder="1" applyAlignment="1">
      <alignment horizontal="center"/>
    </xf>
    <xf numFmtId="0" fontId="12" fillId="0" borderId="135" xfId="15" applyFont="1" applyFill="1" applyBorder="1" applyAlignment="1">
      <alignment horizontal="center"/>
    </xf>
    <xf numFmtId="0" fontId="9" fillId="5" borderId="116" xfId="0" applyFont="1" applyFill="1" applyBorder="1" applyAlignment="1">
      <alignment horizontal="center"/>
    </xf>
    <xf numFmtId="0" fontId="9" fillId="5" borderId="119" xfId="0" applyFont="1" applyFill="1" applyBorder="1" applyAlignment="1">
      <alignment horizontal="center"/>
    </xf>
    <xf numFmtId="0" fontId="9" fillId="5" borderId="122" xfId="0" applyFont="1" applyFill="1" applyBorder="1" applyAlignment="1">
      <alignment horizontal="center"/>
    </xf>
    <xf numFmtId="0" fontId="22" fillId="0" borderId="0" xfId="14" applyFont="1" applyAlignment="1">
      <alignment horizontal="center"/>
    </xf>
    <xf numFmtId="0" fontId="12" fillId="0" borderId="53" xfId="14" applyFont="1" applyBorder="1" applyAlignment="1">
      <alignment horizontal="center" vertical="center" wrapText="1"/>
    </xf>
    <xf numFmtId="0" fontId="12" fillId="0" borderId="31" xfId="14" applyFont="1" applyBorder="1" applyAlignment="1">
      <alignment horizontal="center" vertical="center" wrapText="1"/>
    </xf>
    <xf numFmtId="0" fontId="12" fillId="0" borderId="179" xfId="14" applyFont="1" applyBorder="1" applyAlignment="1">
      <alignment horizontal="center" vertical="center" wrapText="1"/>
    </xf>
    <xf numFmtId="0" fontId="2" fillId="0" borderId="0" xfId="14" applyFont="1" applyAlignment="1">
      <alignment horizontal="left"/>
    </xf>
    <xf numFmtId="0" fontId="12" fillId="0" borderId="19" xfId="14" applyFont="1" applyBorder="1" applyAlignment="1">
      <alignment horizontal="center" vertical="center" wrapText="1"/>
    </xf>
    <xf numFmtId="0" fontId="12" fillId="0" borderId="167" xfId="14" applyFont="1" applyBorder="1" applyAlignment="1">
      <alignment horizontal="center" vertical="center" wrapText="1"/>
    </xf>
    <xf numFmtId="0" fontId="2" fillId="0" borderId="0" xfId="14" applyFont="1" applyFill="1" applyBorder="1" applyAlignment="1">
      <alignment horizontal="left"/>
    </xf>
    <xf numFmtId="0" fontId="9" fillId="5" borderId="9" xfId="0" applyFont="1" applyFill="1" applyBorder="1" applyAlignment="1">
      <alignment horizontal="center"/>
    </xf>
    <xf numFmtId="0" fontId="9" fillId="0" borderId="0" xfId="17" applyFont="1" applyAlignment="1">
      <alignment horizontal="center"/>
    </xf>
    <xf numFmtId="0" fontId="9" fillId="0" borderId="0" xfId="15" applyFont="1" applyAlignment="1">
      <alignment horizontal="center" vertical="center"/>
    </xf>
    <xf numFmtId="0" fontId="12" fillId="0" borderId="131" xfId="15" applyFont="1" applyFill="1" applyBorder="1" applyAlignment="1">
      <alignment horizontal="center"/>
    </xf>
    <xf numFmtId="0" fontId="12" fillId="0" borderId="143" xfId="15" applyFont="1" applyFill="1" applyBorder="1" applyAlignment="1">
      <alignment horizontal="center"/>
    </xf>
    <xf numFmtId="0" fontId="12" fillId="0" borderId="145" xfId="15" applyFont="1" applyFill="1" applyBorder="1" applyAlignment="1">
      <alignment horizontal="center"/>
    </xf>
    <xf numFmtId="0" fontId="12" fillId="0" borderId="84" xfId="15" applyFont="1" applyFill="1" applyBorder="1" applyAlignment="1">
      <alignment horizontal="center"/>
    </xf>
    <xf numFmtId="0" fontId="12" fillId="0" borderId="183" xfId="14" applyFont="1" applyBorder="1" applyAlignment="1">
      <alignment horizontal="center" vertical="center" wrapText="1"/>
    </xf>
    <xf numFmtId="0" fontId="12" fillId="0" borderId="18" xfId="14" applyFont="1" applyBorder="1" applyAlignment="1">
      <alignment horizontal="center" vertical="center" wrapText="1"/>
    </xf>
    <xf numFmtId="0" fontId="12" fillId="0" borderId="31" xfId="14" applyFont="1" applyFill="1" applyBorder="1" applyAlignment="1">
      <alignment horizontal="center" vertical="center" wrapText="1"/>
    </xf>
    <xf numFmtId="0" fontId="12" fillId="0" borderId="18" xfId="14" applyFont="1" applyFill="1" applyBorder="1" applyAlignment="1">
      <alignment horizontal="center" vertical="center" wrapText="1"/>
    </xf>
    <xf numFmtId="0" fontId="12" fillId="0" borderId="172" xfId="14" applyFont="1" applyBorder="1" applyAlignment="1">
      <alignment horizontal="center" vertical="center" wrapText="1"/>
    </xf>
    <xf numFmtId="0" fontId="12" fillId="0" borderId="149" xfId="14" applyFont="1" applyBorder="1" applyAlignment="1">
      <alignment horizontal="center" vertical="center" wrapText="1"/>
    </xf>
    <xf numFmtId="0" fontId="12" fillId="0" borderId="51" xfId="14" applyFont="1" applyBorder="1" applyAlignment="1">
      <alignment horizontal="center" vertical="center" wrapText="1"/>
    </xf>
    <xf numFmtId="0" fontId="12" fillId="0" borderId="35" xfId="14" applyFont="1" applyBorder="1" applyAlignment="1">
      <alignment horizontal="center" vertical="center" wrapText="1"/>
    </xf>
    <xf numFmtId="0" fontId="12" fillId="0" borderId="45" xfId="14" applyFont="1" applyBorder="1" applyAlignment="1">
      <alignment horizontal="center" vertical="center" wrapText="1"/>
    </xf>
    <xf numFmtId="0" fontId="9" fillId="5" borderId="116" xfId="32" applyFont="1" applyFill="1" applyBorder="1" applyAlignment="1">
      <alignment horizontal="center"/>
    </xf>
    <xf numFmtId="0" fontId="9" fillId="5" borderId="119" xfId="32" applyFont="1" applyFill="1" applyBorder="1" applyAlignment="1">
      <alignment horizontal="center"/>
    </xf>
    <xf numFmtId="0" fontId="9" fillId="5" borderId="122" xfId="32" applyFont="1" applyFill="1" applyBorder="1" applyAlignment="1">
      <alignment horizontal="center"/>
    </xf>
    <xf numFmtId="0" fontId="12" fillId="0" borderId="150" xfId="14" applyFont="1" applyBorder="1" applyAlignment="1">
      <alignment horizontal="center" vertical="center" wrapText="1"/>
    </xf>
    <xf numFmtId="0" fontId="12" fillId="0" borderId="152" xfId="14" applyFont="1" applyBorder="1" applyAlignment="1">
      <alignment horizontal="center" vertical="center" wrapText="1"/>
    </xf>
    <xf numFmtId="0" fontId="2" fillId="0" borderId="0" xfId="14" applyFont="1" applyFill="1" applyAlignment="1">
      <alignment horizontal="left"/>
    </xf>
    <xf numFmtId="0" fontId="12" fillId="0" borderId="73" xfId="14" applyFont="1" applyBorder="1" applyAlignment="1">
      <alignment horizontal="center" vertical="center" wrapText="1"/>
    </xf>
    <xf numFmtId="0" fontId="12" fillId="0" borderId="178" xfId="14" applyFont="1" applyBorder="1" applyAlignment="1">
      <alignment horizontal="center" vertical="center" wrapText="1"/>
    </xf>
    <xf numFmtId="0" fontId="9" fillId="0" borderId="0" xfId="16" applyFont="1" applyAlignment="1">
      <alignment horizontal="center"/>
    </xf>
    <xf numFmtId="0" fontId="22" fillId="0" borderId="0" xfId="22" applyFont="1" applyBorder="1" applyAlignment="1">
      <alignment horizontal="center"/>
    </xf>
    <xf numFmtId="0" fontId="12" fillId="0" borderId="31" xfId="22" applyFont="1" applyBorder="1" applyAlignment="1">
      <alignment horizontal="center"/>
    </xf>
    <xf numFmtId="0" fontId="12" fillId="0" borderId="18" xfId="22" applyFont="1" applyBorder="1" applyAlignment="1">
      <alignment horizontal="center"/>
    </xf>
    <xf numFmtId="0" fontId="12" fillId="0" borderId="32" xfId="22" applyFont="1" applyBorder="1" applyAlignment="1">
      <alignment horizontal="center"/>
    </xf>
    <xf numFmtId="0" fontId="22" fillId="0" borderId="0" xfId="0" applyFont="1" applyAlignment="1">
      <alignment horizontal="center"/>
    </xf>
    <xf numFmtId="0" fontId="9" fillId="5" borderId="120" xfId="0" applyFont="1" applyFill="1" applyBorder="1" applyAlignment="1">
      <alignment horizontal="center"/>
    </xf>
    <xf numFmtId="0" fontId="9" fillId="5" borderId="117" xfId="0" applyFont="1" applyFill="1" applyBorder="1" applyAlignment="1">
      <alignment horizontal="center"/>
    </xf>
    <xf numFmtId="0" fontId="9" fillId="5" borderId="118" xfId="0" applyFont="1" applyFill="1" applyBorder="1" applyAlignment="1">
      <alignment horizontal="center"/>
    </xf>
    <xf numFmtId="0" fontId="12" fillId="0" borderId="134" xfId="9" applyFont="1" applyBorder="1" applyAlignment="1">
      <alignment horizontal="center"/>
    </xf>
    <xf numFmtId="0" fontId="12" fillId="0" borderId="32" xfId="9" applyFont="1" applyBorder="1" applyAlignment="1">
      <alignment horizontal="center"/>
    </xf>
    <xf numFmtId="0" fontId="9" fillId="0" borderId="0" xfId="9" applyFont="1" applyBorder="1" applyAlignment="1">
      <alignment horizontal="center"/>
    </xf>
    <xf numFmtId="0" fontId="12" fillId="0" borderId="31" xfId="9" applyFont="1" applyBorder="1" applyAlignment="1">
      <alignment horizontal="center"/>
    </xf>
    <xf numFmtId="0" fontId="9" fillId="5" borderId="192" xfId="0" applyFont="1" applyFill="1" applyBorder="1" applyAlignment="1">
      <alignment horizontal="center"/>
    </xf>
    <xf numFmtId="0" fontId="9" fillId="5" borderId="132" xfId="0" applyFont="1" applyFill="1" applyBorder="1" applyAlignment="1">
      <alignment horizontal="center"/>
    </xf>
    <xf numFmtId="0" fontId="9" fillId="5" borderId="89" xfId="0" applyFont="1" applyFill="1" applyBorder="1" applyAlignment="1">
      <alignment horizontal="center"/>
    </xf>
    <xf numFmtId="0" fontId="9" fillId="5" borderId="193" xfId="0" applyFont="1" applyFill="1" applyBorder="1" applyAlignment="1">
      <alignment horizontal="center"/>
    </xf>
    <xf numFmtId="0" fontId="9" fillId="5" borderId="194" xfId="0" applyFont="1" applyFill="1" applyBorder="1" applyAlignment="1">
      <alignment horizontal="center"/>
    </xf>
    <xf numFmtId="0" fontId="9" fillId="5" borderId="195" xfId="0" applyFont="1" applyFill="1" applyBorder="1" applyAlignment="1">
      <alignment horizontal="center"/>
    </xf>
    <xf numFmtId="0" fontId="9" fillId="5" borderId="196" xfId="0" applyFont="1" applyFill="1" applyBorder="1" applyAlignment="1">
      <alignment horizontal="center"/>
    </xf>
    <xf numFmtId="0" fontId="9" fillId="5" borderId="190" xfId="0" applyFont="1" applyFill="1" applyBorder="1" applyAlignment="1">
      <alignment horizontal="center"/>
    </xf>
    <xf numFmtId="0" fontId="9" fillId="5" borderId="72" xfId="0" applyFont="1" applyFill="1" applyBorder="1" applyAlignment="1">
      <alignment horizontal="center"/>
    </xf>
    <xf numFmtId="0" fontId="22" fillId="0" borderId="192" xfId="0" applyFont="1" applyBorder="1" applyAlignment="1">
      <alignment horizontal="center"/>
    </xf>
    <xf numFmtId="0" fontId="22" fillId="0" borderId="132" xfId="0" applyFont="1" applyBorder="1" applyAlignment="1">
      <alignment horizontal="center"/>
    </xf>
    <xf numFmtId="0" fontId="22" fillId="0" borderId="89" xfId="0" applyFont="1" applyBorder="1" applyAlignment="1">
      <alignment horizontal="center"/>
    </xf>
    <xf numFmtId="0" fontId="22" fillId="0" borderId="0" xfId="32" applyFont="1" applyBorder="1" applyAlignment="1">
      <alignment horizontal="center"/>
    </xf>
    <xf numFmtId="0" fontId="9" fillId="0" borderId="0" xfId="20" applyFont="1" applyFill="1" applyBorder="1" applyAlignment="1">
      <alignment horizontal="center" vertical="center"/>
    </xf>
    <xf numFmtId="0" fontId="22" fillId="0" borderId="0" xfId="20" applyFont="1" applyBorder="1" applyAlignment="1">
      <alignment horizontal="center" vertical="center"/>
    </xf>
    <xf numFmtId="0" fontId="12" fillId="0" borderId="28" xfId="0" applyFont="1" applyBorder="1" applyAlignment="1">
      <alignment horizontal="center" vertical="center" wrapText="1"/>
    </xf>
    <xf numFmtId="0" fontId="12" fillId="0" borderId="136" xfId="0" applyFont="1" applyBorder="1" applyAlignment="1">
      <alignment horizontal="center" vertical="center" wrapText="1"/>
    </xf>
    <xf numFmtId="0" fontId="12" fillId="0" borderId="53" xfId="0" applyFont="1" applyBorder="1" applyAlignment="1">
      <alignment horizontal="center"/>
    </xf>
    <xf numFmtId="0" fontId="12" fillId="0" borderId="31" xfId="0" applyFont="1" applyBorder="1" applyAlignment="1">
      <alignment horizontal="center"/>
    </xf>
    <xf numFmtId="0" fontId="12" fillId="0" borderId="18" xfId="0" applyFont="1" applyBorder="1" applyAlignment="1">
      <alignment horizontal="center"/>
    </xf>
    <xf numFmtId="0" fontId="12" fillId="0" borderId="32" xfId="0" applyFont="1" applyBorder="1" applyAlignment="1">
      <alignment horizontal="center"/>
    </xf>
    <xf numFmtId="0" fontId="12" fillId="0" borderId="134" xfId="0" applyFont="1" applyBorder="1" applyAlignment="1">
      <alignment horizontal="center"/>
    </xf>
    <xf numFmtId="0" fontId="0" fillId="0" borderId="0" xfId="0" applyAlignment="1">
      <alignment horizontal="left"/>
    </xf>
    <xf numFmtId="0" fontId="22" fillId="0" borderId="0" xfId="20" applyFont="1" applyFill="1" applyBorder="1" applyAlignment="1">
      <alignment horizontal="center" vertical="center"/>
    </xf>
    <xf numFmtId="0" fontId="22" fillId="0" borderId="0" xfId="21" applyFont="1" applyBorder="1" applyAlignment="1">
      <alignment horizontal="center" vertical="center"/>
    </xf>
    <xf numFmtId="0" fontId="22" fillId="0" borderId="175" xfId="12" applyFont="1" applyFill="1" applyBorder="1" applyAlignment="1">
      <alignment horizontal="center" vertical="center" wrapText="1"/>
    </xf>
    <xf numFmtId="0" fontId="22" fillId="0" borderId="175" xfId="10" applyFont="1" applyFill="1" applyBorder="1" applyAlignment="1">
      <alignment horizontal="center" vertical="center" wrapText="1"/>
    </xf>
    <xf numFmtId="0" fontId="22" fillId="0" borderId="175" xfId="11" applyFont="1" applyBorder="1" applyAlignment="1">
      <alignment horizontal="center" vertical="center" wrapText="1"/>
    </xf>
    <xf numFmtId="0" fontId="22" fillId="0" borderId="0" xfId="0" applyFont="1" applyBorder="1" applyAlignment="1">
      <alignment horizontal="center"/>
    </xf>
    <xf numFmtId="0" fontId="9" fillId="5" borderId="116" xfId="8" applyFont="1" applyFill="1" applyBorder="1" applyAlignment="1">
      <alignment horizontal="center"/>
    </xf>
    <xf numFmtId="0" fontId="9" fillId="5" borderId="119" xfId="8" applyFont="1" applyFill="1" applyBorder="1" applyAlignment="1">
      <alignment horizontal="center"/>
    </xf>
    <xf numFmtId="0" fontId="9" fillId="5" borderId="122" xfId="8" applyFont="1" applyFill="1" applyBorder="1" applyAlignment="1">
      <alignment horizontal="center"/>
    </xf>
    <xf numFmtId="0" fontId="22" fillId="0" borderId="0" xfId="8" applyFont="1" applyAlignment="1">
      <alignment horizontal="center"/>
    </xf>
    <xf numFmtId="0" fontId="22" fillId="0" borderId="0" xfId="8" applyFont="1" applyBorder="1" applyAlignment="1">
      <alignment horizontal="center"/>
    </xf>
    <xf numFmtId="0" fontId="7" fillId="0" borderId="40" xfId="0" applyFont="1" applyFill="1" applyBorder="1" applyAlignment="1">
      <alignment horizontal="left" wrapText="1"/>
    </xf>
    <xf numFmtId="0" fontId="7" fillId="0" borderId="0" xfId="0" applyFont="1" applyFill="1" applyBorder="1" applyAlignment="1">
      <alignment horizontal="left" wrapText="1"/>
    </xf>
    <xf numFmtId="0" fontId="3" fillId="0" borderId="40" xfId="9" applyFont="1" applyFill="1" applyBorder="1" applyAlignment="1">
      <alignment horizontal="left" wrapText="1"/>
    </xf>
    <xf numFmtId="0" fontId="3" fillId="0" borderId="0" xfId="9" applyFont="1" applyFill="1" applyBorder="1" applyAlignment="1">
      <alignment horizontal="left" wrapText="1"/>
    </xf>
    <xf numFmtId="0" fontId="9" fillId="5" borderId="50" xfId="0" applyFont="1" applyFill="1" applyBorder="1" applyAlignment="1">
      <alignment horizontal="center"/>
    </xf>
    <xf numFmtId="0" fontId="9" fillId="5" borderId="0" xfId="0" applyFont="1" applyFill="1" applyBorder="1" applyAlignment="1">
      <alignment horizontal="center"/>
    </xf>
    <xf numFmtId="0" fontId="57" fillId="0" borderId="37" xfId="13" applyFont="1" applyBorder="1" applyAlignment="1">
      <alignment horizontal="left" vertical="center" wrapText="1"/>
    </xf>
    <xf numFmtId="0" fontId="24" fillId="0" borderId="0" xfId="0" applyFont="1" applyAlignment="1">
      <alignment horizontal="center"/>
    </xf>
    <xf numFmtId="0" fontId="22" fillId="0" borderId="0" xfId="32" applyFont="1" applyAlignment="1">
      <alignment horizontal="center"/>
    </xf>
    <xf numFmtId="0" fontId="62" fillId="0" borderId="0" xfId="32" applyFont="1" applyAlignment="1">
      <alignment horizontal="center"/>
    </xf>
    <xf numFmtId="0" fontId="22" fillId="0" borderId="0" xfId="32" applyFont="1" applyAlignment="1">
      <alignment horizontal="center" wrapText="1"/>
    </xf>
    <xf numFmtId="0" fontId="22" fillId="0" borderId="175" xfId="12" applyFont="1" applyBorder="1" applyAlignment="1">
      <alignment horizontal="center" vertical="center" wrapText="1"/>
    </xf>
    <xf numFmtId="0" fontId="22" fillId="0" borderId="0" xfId="10" applyFont="1" applyBorder="1" applyAlignment="1">
      <alignment horizontal="center" vertical="center" wrapText="1"/>
    </xf>
    <xf numFmtId="0" fontId="9" fillId="0" borderId="0" xfId="8" applyFont="1" applyAlignment="1">
      <alignment horizontal="center" wrapText="1"/>
    </xf>
    <xf numFmtId="0" fontId="12" fillId="0" borderId="41" xfId="8" applyFont="1" applyBorder="1" applyAlignment="1">
      <alignment horizontal="center" vertical="center" wrapText="1"/>
    </xf>
    <xf numFmtId="0" fontId="12" fillId="0" borderId="137" xfId="8" applyFont="1" applyBorder="1" applyAlignment="1">
      <alignment horizontal="center" vertical="center" wrapText="1"/>
    </xf>
    <xf numFmtId="0" fontId="12" fillId="0" borderId="27" xfId="8" applyFont="1" applyBorder="1" applyAlignment="1">
      <alignment horizontal="center" vertical="center" wrapText="1"/>
    </xf>
    <xf numFmtId="0" fontId="12" fillId="0" borderId="138" xfId="8" applyFont="1" applyBorder="1" applyAlignment="1">
      <alignment horizontal="center" vertical="center" wrapText="1"/>
    </xf>
    <xf numFmtId="0" fontId="12" fillId="0" borderId="38" xfId="8" applyFont="1" applyBorder="1" applyAlignment="1">
      <alignment horizontal="center" vertical="center" wrapText="1"/>
    </xf>
    <xf numFmtId="0" fontId="12" fillId="0" borderId="139" xfId="8" applyFont="1" applyBorder="1" applyAlignment="1">
      <alignment horizontal="center" vertical="center" wrapText="1"/>
    </xf>
    <xf numFmtId="0" fontId="9" fillId="0" borderId="0" xfId="8" applyFont="1" applyFill="1" applyAlignment="1">
      <alignment horizontal="center"/>
    </xf>
    <xf numFmtId="0" fontId="9" fillId="0" borderId="0" xfId="8" applyFont="1" applyAlignment="1">
      <alignment horizontal="center" vertical="center" wrapText="1"/>
    </xf>
    <xf numFmtId="0" fontId="16" fillId="0" borderId="0" xfId="8" applyFont="1" applyBorder="1" applyAlignment="1">
      <alignment horizontal="left" wrapText="1"/>
    </xf>
    <xf numFmtId="0" fontId="16" fillId="0" borderId="0" xfId="8" applyFont="1" applyBorder="1" applyAlignment="1">
      <alignment horizontal="left" vertical="center" wrapText="1"/>
    </xf>
    <xf numFmtId="0" fontId="40" fillId="0" borderId="0" xfId="8" applyFont="1" applyBorder="1" applyAlignment="1">
      <alignment horizontal="left" vertical="center" wrapText="1"/>
    </xf>
    <xf numFmtId="0" fontId="12" fillId="0" borderId="61" xfId="0" applyFont="1" applyBorder="1" applyAlignment="1">
      <alignment horizontal="center"/>
    </xf>
    <xf numFmtId="0" fontId="12" fillId="0" borderId="62" xfId="0" applyFont="1" applyBorder="1" applyAlignment="1">
      <alignment horizontal="center"/>
    </xf>
    <xf numFmtId="0" fontId="12" fillId="0" borderId="125" xfId="0" applyFont="1" applyBorder="1" applyAlignment="1">
      <alignment horizontal="center"/>
    </xf>
    <xf numFmtId="0" fontId="12" fillId="0" borderId="123" xfId="0" applyFont="1" applyBorder="1" applyAlignment="1">
      <alignment horizontal="center"/>
    </xf>
    <xf numFmtId="0" fontId="12" fillId="0" borderId="126" xfId="0" applyFont="1" applyBorder="1" applyAlignment="1">
      <alignment horizontal="center"/>
    </xf>
    <xf numFmtId="0" fontId="12" fillId="0" borderId="58" xfId="0" applyFont="1" applyBorder="1" applyAlignment="1">
      <alignment horizontal="center"/>
    </xf>
    <xf numFmtId="0" fontId="9" fillId="0" borderId="116" xfId="30" applyFont="1" applyFill="1" applyBorder="1" applyAlignment="1">
      <alignment horizontal="center"/>
    </xf>
    <xf numFmtId="0" fontId="9" fillId="0" borderId="119" xfId="30" applyFont="1" applyFill="1" applyBorder="1" applyAlignment="1">
      <alignment horizontal="center"/>
    </xf>
    <xf numFmtId="175" fontId="12" fillId="12" borderId="3" xfId="30" applyNumberFormat="1" applyFont="1" applyFill="1" applyBorder="1" applyAlignment="1">
      <alignment horizontal="center"/>
    </xf>
    <xf numFmtId="175" fontId="12" fillId="0" borderId="3" xfId="30" applyNumberFormat="1" applyFont="1" applyFill="1" applyBorder="1" applyAlignment="1">
      <alignment horizontal="center"/>
    </xf>
    <xf numFmtId="0" fontId="10" fillId="0" borderId="116" xfId="34" applyFont="1" applyFill="1" applyBorder="1" applyAlignment="1">
      <alignment horizontal="center"/>
    </xf>
    <xf numFmtId="0" fontId="10" fillId="0" borderId="119" xfId="34" applyFont="1" applyFill="1" applyBorder="1" applyAlignment="1">
      <alignment horizontal="center"/>
    </xf>
    <xf numFmtId="0" fontId="63" fillId="0" borderId="119" xfId="34" applyFont="1" applyFill="1" applyBorder="1" applyAlignment="1">
      <alignment horizontal="center"/>
    </xf>
    <xf numFmtId="0" fontId="63" fillId="0" borderId="122" xfId="34" applyFont="1" applyFill="1" applyBorder="1" applyAlignment="1">
      <alignment horizontal="center"/>
    </xf>
    <xf numFmtId="0" fontId="9" fillId="12" borderId="152" xfId="34" applyFont="1" applyFill="1" applyBorder="1" applyAlignment="1">
      <alignment horizontal="center"/>
    </xf>
    <xf numFmtId="0" fontId="9" fillId="12" borderId="172" xfId="34" applyFont="1" applyFill="1" applyBorder="1" applyAlignment="1">
      <alignment horizontal="center"/>
    </xf>
    <xf numFmtId="175" fontId="9" fillId="12" borderId="152" xfId="34" applyNumberFormat="1" applyFont="1" applyFill="1" applyBorder="1" applyAlignment="1">
      <alignment horizontal="center"/>
    </xf>
    <xf numFmtId="175" fontId="9" fillId="12" borderId="172" xfId="34" applyNumberFormat="1" applyFont="1" applyFill="1" applyBorder="1" applyAlignment="1">
      <alignment horizontal="center"/>
    </xf>
    <xf numFmtId="0" fontId="12" fillId="0" borderId="38" xfId="0" applyFont="1" applyBorder="1" applyAlignment="1">
      <alignment horizontal="center" vertical="center" textRotation="90" wrapText="1"/>
    </xf>
    <xf numFmtId="0" fontId="12" fillId="0" borderId="36" xfId="0" applyFont="1" applyBorder="1" applyAlignment="1">
      <alignment horizontal="center" vertical="center" textRotation="90" wrapText="1"/>
    </xf>
    <xf numFmtId="0" fontId="12" fillId="0" borderId="139" xfId="0" applyFont="1" applyBorder="1" applyAlignment="1">
      <alignment horizontal="center" vertical="center" textRotation="90" wrapText="1"/>
    </xf>
    <xf numFmtId="0" fontId="21" fillId="0" borderId="0" xfId="0" applyFont="1" applyFill="1" applyAlignment="1">
      <alignment horizontal="left" vertical="center" wrapText="1"/>
    </xf>
    <xf numFmtId="0" fontId="21" fillId="0" borderId="0" xfId="0" applyFont="1" applyAlignment="1">
      <alignment horizontal="left" wrapText="1"/>
    </xf>
    <xf numFmtId="0" fontId="12" fillId="0" borderId="38" xfId="0" applyFont="1" applyFill="1" applyBorder="1" applyAlignment="1">
      <alignment horizontal="center" vertical="center" textRotation="90" wrapText="1"/>
    </xf>
    <xf numFmtId="0" fontId="12" fillId="0" borderId="36" xfId="0" applyFont="1" applyFill="1" applyBorder="1" applyAlignment="1">
      <alignment horizontal="center" vertical="center" textRotation="90" wrapText="1"/>
    </xf>
    <xf numFmtId="0" fontId="12" fillId="0" borderId="139" xfId="0" applyFont="1" applyFill="1" applyBorder="1" applyAlignment="1">
      <alignment horizontal="center" vertical="center" textRotation="90" wrapText="1"/>
    </xf>
    <xf numFmtId="0" fontId="9" fillId="0" borderId="0" xfId="0" applyFont="1" applyFill="1" applyAlignment="1">
      <alignment horizontal="center"/>
    </xf>
    <xf numFmtId="0" fontId="21" fillId="0" borderId="0" xfId="0" applyFont="1" applyFill="1" applyAlignment="1">
      <alignment horizontal="left" wrapText="1"/>
    </xf>
    <xf numFmtId="0" fontId="12" fillId="0" borderId="30" xfId="19" applyFont="1" applyBorder="1" applyAlignment="1">
      <alignment horizontal="center" vertical="center" wrapText="1"/>
    </xf>
    <xf numFmtId="0" fontId="12" fillId="0" borderId="31" xfId="19" applyFont="1" applyBorder="1" applyAlignment="1">
      <alignment horizontal="center" vertical="center" wrapText="1"/>
    </xf>
    <xf numFmtId="0" fontId="12" fillId="0" borderId="18" xfId="19" applyFont="1" applyBorder="1" applyAlignment="1">
      <alignment horizontal="center" vertical="center" wrapText="1"/>
    </xf>
    <xf numFmtId="0" fontId="9" fillId="0" borderId="3" xfId="19" applyFont="1" applyBorder="1" applyAlignment="1">
      <alignment horizontal="center" vertical="center"/>
    </xf>
    <xf numFmtId="0" fontId="9" fillId="0" borderId="50" xfId="19" applyFont="1" applyFill="1" applyBorder="1" applyAlignment="1">
      <alignment horizontal="center" vertical="center"/>
    </xf>
    <xf numFmtId="0" fontId="9" fillId="0" borderId="0" xfId="19" applyFont="1" applyFill="1" applyBorder="1" applyAlignment="1">
      <alignment horizontal="center" vertical="center"/>
    </xf>
    <xf numFmtId="0" fontId="36" fillId="0" borderId="50" xfId="19" applyFont="1" applyFill="1" applyBorder="1" applyAlignment="1">
      <alignment horizontal="center" vertical="center"/>
    </xf>
    <xf numFmtId="0" fontId="36" fillId="0" borderId="0" xfId="19" applyFont="1" applyFill="1" applyBorder="1" applyAlignment="1">
      <alignment horizontal="center" vertical="center"/>
    </xf>
    <xf numFmtId="0" fontId="9" fillId="0" borderId="188" xfId="19" applyFont="1" applyBorder="1" applyAlignment="1">
      <alignment horizontal="center" vertical="center"/>
    </xf>
    <xf numFmtId="0" fontId="9" fillId="0" borderId="187" xfId="19" applyFont="1" applyBorder="1" applyAlignment="1">
      <alignment horizontal="center" vertical="center"/>
    </xf>
    <xf numFmtId="0" fontId="9" fillId="0" borderId="149" xfId="19" applyFont="1" applyBorder="1" applyAlignment="1">
      <alignment horizontal="center" vertical="center"/>
    </xf>
    <xf numFmtId="0" fontId="12" fillId="0" borderId="152" xfId="19" applyFont="1" applyBorder="1" applyAlignment="1">
      <alignment horizontal="center" vertical="center" wrapText="1"/>
    </xf>
    <xf numFmtId="0" fontId="12" fillId="0" borderId="31" xfId="19" applyFont="1" applyBorder="1" applyAlignment="1">
      <alignment horizontal="center" vertical="center"/>
    </xf>
    <xf numFmtId="0" fontId="12" fillId="0" borderId="18" xfId="19" applyFont="1" applyBorder="1" applyAlignment="1">
      <alignment horizontal="center" vertical="center"/>
    </xf>
    <xf numFmtId="0" fontId="9" fillId="0" borderId="50" xfId="19" applyFont="1" applyBorder="1" applyAlignment="1">
      <alignment horizontal="center" vertical="center"/>
    </xf>
    <xf numFmtId="0" fontId="9" fillId="0" borderId="0" xfId="19" applyFont="1" applyBorder="1" applyAlignment="1">
      <alignment horizontal="center" vertical="center"/>
    </xf>
    <xf numFmtId="0" fontId="36" fillId="0" borderId="50" xfId="19" applyFont="1" applyBorder="1" applyAlignment="1">
      <alignment horizontal="center" vertical="center"/>
    </xf>
    <xf numFmtId="0" fontId="36" fillId="0" borderId="0" xfId="19" applyFont="1" applyBorder="1" applyAlignment="1">
      <alignment horizontal="center" vertical="center"/>
    </xf>
    <xf numFmtId="1" fontId="2" fillId="0" borderId="0" xfId="19" applyNumberFormat="1" applyFont="1" applyFill="1"/>
    <xf numFmtId="0" fontId="68" fillId="0" borderId="0" xfId="17" applyFont="1"/>
    <xf numFmtId="0" fontId="69" fillId="0" borderId="3" xfId="17" applyFont="1" applyBorder="1" applyAlignment="1">
      <alignment horizontal="center"/>
    </xf>
    <xf numFmtId="0" fontId="69" fillId="0" borderId="3" xfId="17" applyFont="1" applyBorder="1"/>
    <xf numFmtId="0" fontId="68" fillId="0" borderId="3" xfId="17" applyFont="1" applyBorder="1" applyAlignment="1">
      <alignment horizontal="center"/>
    </xf>
    <xf numFmtId="164" fontId="68" fillId="0" borderId="3" xfId="26" applyNumberFormat="1" applyFont="1" applyFill="1" applyBorder="1" applyAlignment="1">
      <alignment horizontal="center"/>
    </xf>
    <xf numFmtId="0" fontId="69" fillId="5" borderId="3" xfId="17" applyFont="1" applyFill="1" applyBorder="1"/>
    <xf numFmtId="0" fontId="68" fillId="5" borderId="3" xfId="17" applyFont="1" applyFill="1" applyBorder="1" applyAlignment="1">
      <alignment horizontal="center"/>
    </xf>
    <xf numFmtId="164" fontId="68" fillId="5" borderId="3" xfId="26" applyNumberFormat="1" applyFont="1" applyFill="1" applyBorder="1" applyAlignment="1">
      <alignment horizontal="center"/>
    </xf>
    <xf numFmtId="1" fontId="68" fillId="0" borderId="3" xfId="17" applyNumberFormat="1" applyFont="1" applyBorder="1" applyAlignment="1">
      <alignment horizontal="center"/>
    </xf>
    <xf numFmtId="2" fontId="68" fillId="0" borderId="3" xfId="17" applyNumberFormat="1" applyFont="1" applyBorder="1" applyAlignment="1">
      <alignment horizontal="center"/>
    </xf>
    <xf numFmtId="0" fontId="62" fillId="0" borderId="0" xfId="32" applyFont="1" applyAlignment="1">
      <alignment horizontal="center" vertical="center"/>
    </xf>
  </cellXfs>
  <cellStyles count="36">
    <cellStyle name="Comma" xfId="1" builtinId="3"/>
    <cellStyle name="Currency" xfId="2" builtinId="4"/>
    <cellStyle name="Currency 2" xfId="33"/>
    <cellStyle name="Hyperlink" xfId="3" builtinId="8"/>
    <cellStyle name="Milliers [0]_laroux" xfId="4"/>
    <cellStyle name="Milliers_laroux" xfId="5"/>
    <cellStyle name="Monétaire [0]_laroux" xfId="6"/>
    <cellStyle name="Monétaire_laroux" xfId="7"/>
    <cellStyle name="Normal" xfId="0" builtinId="0"/>
    <cellStyle name="Normal 2" xfId="8"/>
    <cellStyle name="Normal 2 2" xfId="32"/>
    <cellStyle name="Normal 3" xfId="30"/>
    <cellStyle name="Normal 4" xfId="34"/>
    <cellStyle name="Normal_CHE2" xfId="9"/>
    <cellStyle name="Normal_FBOOK10" xfId="10"/>
    <cellStyle name="Normal_FBOOK11" xfId="11"/>
    <cellStyle name="Normal_FBOOK12" xfId="12"/>
    <cellStyle name="Normal_FBOOK13" xfId="13"/>
    <cellStyle name="Normal_FBOOK1A" xfId="14"/>
    <cellStyle name="Normal_FBOOK2A" xfId="15"/>
    <cellStyle name="Normal_FBOOK3" xfId="16"/>
    <cellStyle name="Normal_FBOOK4" xfId="17"/>
    <cellStyle name="Normal_FBOOK5" xfId="18"/>
    <cellStyle name="Normal_FBOOK6" xfId="19"/>
    <cellStyle name="Normal_FBOOK7" xfId="20"/>
    <cellStyle name="Normal_FBOOK8" xfId="21"/>
    <cellStyle name="Normal_FBOOK9" xfId="22"/>
    <cellStyle name="Normal_FBRACEF" xfId="23"/>
    <cellStyle name="Normal_FBSEXF" xfId="24"/>
    <cellStyle name="Normal_majors in discipines1" xfId="25"/>
    <cellStyle name="Percent" xfId="26" builtinId="5"/>
    <cellStyle name="Percent 2" xfId="27"/>
    <cellStyle name="Percent 3" xfId="31"/>
    <cellStyle name="Percent 4" xfId="35"/>
    <cellStyle name="Währung [0]_laroux" xfId="28"/>
    <cellStyle name="Währung_laroux" xfId="2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2.xml"/><Relationship Id="rId68" Type="http://schemas.openxmlformats.org/officeDocument/2006/relationships/worksheet" Target="worksheets/sheet67.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7.xml"/><Relationship Id="rId66" Type="http://schemas.openxmlformats.org/officeDocument/2006/relationships/worksheet" Target="worksheets/sheet65.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6.xml"/><Relationship Id="rId61" Type="http://schemas.openxmlformats.org/officeDocument/2006/relationships/worksheet" Target="worksheets/sheet6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hartsheet" Target="chartsheets/sheet1.xml"/><Relationship Id="rId64" Type="http://schemas.openxmlformats.org/officeDocument/2006/relationships/worksheet" Target="worksheets/sheet63.xml"/><Relationship Id="rId69" Type="http://schemas.openxmlformats.org/officeDocument/2006/relationships/worksheet" Target="worksheets/sheet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8.xml"/><Relationship Id="rId67" Type="http://schemas.openxmlformats.org/officeDocument/2006/relationships/worksheet" Target="worksheets/sheet6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1.xml"/><Relationship Id="rId70" Type="http://schemas.openxmlformats.org/officeDocument/2006/relationships/worksheet" Target="worksheets/sheet69.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983173584223807E-2"/>
          <c:y val="6.336105200007533E-2"/>
          <c:w val="0.89830632380263209"/>
          <c:h val="0.73278434052261032"/>
        </c:manualLayout>
      </c:layout>
      <c:barChart>
        <c:barDir val="col"/>
        <c:grouping val="clustered"/>
        <c:varyColors val="0"/>
        <c:ser>
          <c:idx val="0"/>
          <c:order val="0"/>
          <c:tx>
            <c:strRef>
              <c:f>'Freshmen Application History'!$J$6</c:f>
              <c:strCache>
                <c:ptCount val="1"/>
                <c:pt idx="0">
                  <c:v>APPLICATIONS RECEIVED</c:v>
                </c:pt>
              </c:strCache>
            </c:strRef>
          </c:tx>
          <c:spPr>
            <a:solidFill>
              <a:srgbClr val="333333"/>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25400">
                <a:solidFill>
                  <a:srgbClr val="000000"/>
                </a:solidFill>
                <a:prstDash val="solid"/>
              </a:ln>
            </c:spPr>
            <c:trendlineType val="log"/>
            <c:dispRSqr val="0"/>
            <c:dispEq val="0"/>
          </c:trendline>
          <c:cat>
            <c:numRef>
              <c:f>'Freshmen Application History'!$I$9:$I$13</c:f>
              <c:numCache>
                <c:formatCode>General</c:formatCode>
                <c:ptCount val="5"/>
                <c:pt idx="0">
                  <c:v>2011</c:v>
                </c:pt>
                <c:pt idx="1">
                  <c:v>2012</c:v>
                </c:pt>
                <c:pt idx="2">
                  <c:v>2013</c:v>
                </c:pt>
                <c:pt idx="3">
                  <c:v>2014</c:v>
                </c:pt>
                <c:pt idx="4">
                  <c:v>2015</c:v>
                </c:pt>
              </c:numCache>
            </c:numRef>
          </c:cat>
          <c:val>
            <c:numRef>
              <c:f>'Freshmen Application History'!$J$9:$J$13</c:f>
              <c:numCache>
                <c:formatCode>General</c:formatCode>
                <c:ptCount val="5"/>
                <c:pt idx="0">
                  <c:v>3189</c:v>
                </c:pt>
                <c:pt idx="1">
                  <c:v>3349</c:v>
                </c:pt>
                <c:pt idx="2">
                  <c:v>3081</c:v>
                </c:pt>
                <c:pt idx="3">
                  <c:v>2963</c:v>
                </c:pt>
                <c:pt idx="4">
                  <c:v>2614</c:v>
                </c:pt>
              </c:numCache>
            </c:numRef>
          </c:val>
        </c:ser>
        <c:ser>
          <c:idx val="1"/>
          <c:order val="1"/>
          <c:tx>
            <c:strRef>
              <c:f>'Freshmen Application History'!$K$6</c:f>
              <c:strCache>
                <c:ptCount val="1"/>
                <c:pt idx="0">
                  <c:v>APPLICATIONS ACCEPTED</c:v>
                </c:pt>
              </c:strCache>
            </c:strRef>
          </c:tx>
          <c:spPr>
            <a:solidFill>
              <a:srgbClr val="FFFFFF"/>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25400">
                <a:solidFill>
                  <a:srgbClr val="000000"/>
                </a:solidFill>
                <a:prstDash val="solid"/>
              </a:ln>
            </c:spPr>
            <c:trendlineType val="log"/>
            <c:dispRSqr val="0"/>
            <c:dispEq val="0"/>
          </c:trendline>
          <c:cat>
            <c:numRef>
              <c:f>'Freshmen Application History'!$I$9:$I$13</c:f>
              <c:numCache>
                <c:formatCode>General</c:formatCode>
                <c:ptCount val="5"/>
                <c:pt idx="0">
                  <c:v>2011</c:v>
                </c:pt>
                <c:pt idx="1">
                  <c:v>2012</c:v>
                </c:pt>
                <c:pt idx="2">
                  <c:v>2013</c:v>
                </c:pt>
                <c:pt idx="3">
                  <c:v>2014</c:v>
                </c:pt>
                <c:pt idx="4">
                  <c:v>2015</c:v>
                </c:pt>
              </c:numCache>
            </c:numRef>
          </c:cat>
          <c:val>
            <c:numRef>
              <c:f>'Freshmen Application History'!$K$9:$K$13</c:f>
              <c:numCache>
                <c:formatCode>General</c:formatCode>
                <c:ptCount val="5"/>
                <c:pt idx="0">
                  <c:v>1348</c:v>
                </c:pt>
                <c:pt idx="1">
                  <c:v>1412</c:v>
                </c:pt>
                <c:pt idx="2">
                  <c:v>1392</c:v>
                </c:pt>
                <c:pt idx="3">
                  <c:v>1712</c:v>
                </c:pt>
                <c:pt idx="4">
                  <c:v>1620</c:v>
                </c:pt>
              </c:numCache>
            </c:numRef>
          </c:val>
        </c:ser>
        <c:ser>
          <c:idx val="2"/>
          <c:order val="2"/>
          <c:tx>
            <c:strRef>
              <c:f>'Freshmen Application History'!$L$6</c:f>
              <c:strCache>
                <c:ptCount val="1"/>
                <c:pt idx="0">
                  <c:v>APPLICATIONS ENROLLED</c:v>
                </c:pt>
              </c:strCache>
            </c:strRef>
          </c:tx>
          <c:spPr>
            <a:solidFill>
              <a:srgbClr val="0070C0"/>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25400">
                <a:solidFill>
                  <a:srgbClr val="000000"/>
                </a:solidFill>
                <a:prstDash val="solid"/>
              </a:ln>
            </c:spPr>
            <c:trendlineType val="log"/>
            <c:dispRSqr val="0"/>
            <c:dispEq val="0"/>
          </c:trendline>
          <c:cat>
            <c:numRef>
              <c:f>'Freshmen Application History'!$I$9:$I$13</c:f>
              <c:numCache>
                <c:formatCode>General</c:formatCode>
                <c:ptCount val="5"/>
                <c:pt idx="0">
                  <c:v>2011</c:v>
                </c:pt>
                <c:pt idx="1">
                  <c:v>2012</c:v>
                </c:pt>
                <c:pt idx="2">
                  <c:v>2013</c:v>
                </c:pt>
                <c:pt idx="3">
                  <c:v>2014</c:v>
                </c:pt>
                <c:pt idx="4">
                  <c:v>2015</c:v>
                </c:pt>
              </c:numCache>
            </c:numRef>
          </c:cat>
          <c:val>
            <c:numRef>
              <c:f>'Freshmen Application History'!$L$9:$L$13</c:f>
              <c:numCache>
                <c:formatCode>General</c:formatCode>
                <c:ptCount val="5"/>
                <c:pt idx="0">
                  <c:v>595</c:v>
                </c:pt>
                <c:pt idx="1">
                  <c:v>569</c:v>
                </c:pt>
                <c:pt idx="2">
                  <c:v>517</c:v>
                </c:pt>
                <c:pt idx="3">
                  <c:v>554</c:v>
                </c:pt>
                <c:pt idx="4">
                  <c:v>558</c:v>
                </c:pt>
              </c:numCache>
            </c:numRef>
          </c:val>
        </c:ser>
        <c:dLbls>
          <c:showLegendKey val="0"/>
          <c:showVal val="0"/>
          <c:showCatName val="0"/>
          <c:showSerName val="0"/>
          <c:showPercent val="0"/>
          <c:showBubbleSize val="0"/>
        </c:dLbls>
        <c:gapWidth val="70"/>
        <c:axId val="523939936"/>
        <c:axId val="523940328"/>
      </c:barChart>
      <c:catAx>
        <c:axId val="5239399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Fall of...</a:t>
                </a:r>
              </a:p>
            </c:rich>
          </c:tx>
          <c:layout>
            <c:manualLayout>
              <c:xMode val="edge"/>
              <c:yMode val="edge"/>
              <c:x val="0.50706288832539959"/>
              <c:y val="0.870525729738328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3940328"/>
        <c:crosses val="autoZero"/>
        <c:auto val="0"/>
        <c:lblAlgn val="ctr"/>
        <c:lblOffset val="100"/>
        <c:tickLblSkip val="1"/>
        <c:tickMarkSkip val="1"/>
        <c:noMultiLvlLbl val="0"/>
      </c:catAx>
      <c:valAx>
        <c:axId val="52394032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Number of Applications</a:t>
                </a:r>
              </a:p>
            </c:rich>
          </c:tx>
          <c:layout>
            <c:manualLayout>
              <c:xMode val="edge"/>
              <c:yMode val="edge"/>
              <c:x val="1.1299435028248589E-2"/>
              <c:y val="0.24793446273761394"/>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3939936"/>
        <c:crosses val="autoZero"/>
        <c:crossBetween val="between"/>
      </c:valAx>
      <c:spPr>
        <a:noFill/>
        <a:ln w="12700">
          <a:solidFill>
            <a:srgbClr val="808080"/>
          </a:solidFill>
          <a:prstDash val="solid"/>
        </a:ln>
      </c:spPr>
    </c:plotArea>
    <c:legend>
      <c:legendPos val="b"/>
      <c:legendEntry>
        <c:idx val="3"/>
        <c:delete val="1"/>
      </c:legendEntry>
      <c:legendEntry>
        <c:idx val="4"/>
        <c:delete val="1"/>
      </c:legendEntry>
      <c:legendEntry>
        <c:idx val="5"/>
        <c:delete val="1"/>
      </c:legendEntry>
      <c:layout>
        <c:manualLayout>
          <c:xMode val="edge"/>
          <c:yMode val="edge"/>
          <c:x val="0.19347629080120837"/>
          <c:y val="0.95041582612090869"/>
          <c:w val="0.6313835253922"/>
          <c:h val="4.1322314049587014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sz="1600"/>
              <a:t>Fall Enrollment by Class</a:t>
            </a:r>
          </a:p>
        </c:rich>
      </c:tx>
      <c:layout>
        <c:manualLayout>
          <c:xMode val="edge"/>
          <c:yMode val="edge"/>
          <c:x val="0.39871435751382345"/>
          <c:y val="2.8301916805853852E-2"/>
        </c:manualLayout>
      </c:layout>
      <c:overlay val="0"/>
      <c:spPr>
        <a:noFill/>
        <a:ln w="25400">
          <a:noFill/>
        </a:ln>
      </c:spPr>
    </c:title>
    <c:autoTitleDeleted val="0"/>
    <c:plotArea>
      <c:layout>
        <c:manualLayout>
          <c:layoutTarget val="inner"/>
          <c:xMode val="edge"/>
          <c:yMode val="edge"/>
          <c:x val="5.6806061602003834E-2"/>
          <c:y val="0.13773584905660391"/>
          <c:w val="0.87995804858953686"/>
          <c:h val="0.68490566037735845"/>
        </c:manualLayout>
      </c:layout>
      <c:barChart>
        <c:barDir val="col"/>
        <c:grouping val="clustered"/>
        <c:varyColors val="0"/>
        <c:ser>
          <c:idx val="0"/>
          <c:order val="0"/>
          <c:tx>
            <c:strRef>
              <c:f>'Fall Headcount by Class'!$Y$4</c:f>
              <c:strCache>
                <c:ptCount val="1"/>
                <c:pt idx="0">
                  <c:v>2011</c:v>
                </c:pt>
              </c:strCache>
            </c:strRef>
          </c:tx>
          <c:spPr>
            <a:solidFill>
              <a:srgbClr val="C0C0C0"/>
            </a:solidFill>
            <a:ln w="12700">
              <a:solidFill>
                <a:srgbClr val="000000"/>
              </a:solidFill>
              <a:prstDash val="solid"/>
            </a:ln>
          </c:spPr>
          <c:invertIfNegative val="0"/>
          <c:cat>
            <c:strRef>
              <c:f>'Fall Headcount by Class'!$T$5:$T$12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'Fall Headcount by Class'!$Y$5:$Y$12</c:f>
              <c:numCache>
                <c:formatCode>General</c:formatCode>
                <c:ptCount val="8"/>
                <c:pt idx="0">
                  <c:v>793</c:v>
                </c:pt>
                <c:pt idx="1">
                  <c:v>717</c:v>
                </c:pt>
                <c:pt idx="2">
                  <c:v>596</c:v>
                </c:pt>
                <c:pt idx="3">
                  <c:v>821</c:v>
                </c:pt>
                <c:pt idx="4">
                  <c:v>42</c:v>
                </c:pt>
                <c:pt idx="5">
                  <c:v>70</c:v>
                </c:pt>
                <c:pt idx="6">
                  <c:v>15</c:v>
                </c:pt>
                <c:pt idx="7">
                  <c:v>15</c:v>
                </c:pt>
              </c:numCache>
            </c:numRef>
          </c:val>
        </c:ser>
        <c:ser>
          <c:idx val="1"/>
          <c:order val="1"/>
          <c:tx>
            <c:strRef>
              <c:f>'Fall Headcount by Class'!$Z$4</c:f>
              <c:strCache>
                <c:ptCount val="1"/>
                <c:pt idx="0">
                  <c:v>2012</c:v>
                </c:pt>
              </c:strCache>
            </c:strRef>
          </c:tx>
          <c:spPr>
            <a:solidFill>
              <a:srgbClr val="000000"/>
            </a:solidFill>
            <a:ln w="12700">
              <a:solidFill>
                <a:srgbClr val="000000"/>
              </a:solidFill>
              <a:prstDash val="solid"/>
            </a:ln>
          </c:spPr>
          <c:invertIfNegative val="0"/>
          <c:cat>
            <c:strRef>
              <c:f>'Fall Headcount by Class'!$T$5:$T$12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'Fall Headcount by Class'!$Z$5:$Z$12</c:f>
              <c:numCache>
                <c:formatCode>General</c:formatCode>
                <c:ptCount val="8"/>
                <c:pt idx="0">
                  <c:v>959</c:v>
                </c:pt>
                <c:pt idx="1">
                  <c:v>610</c:v>
                </c:pt>
                <c:pt idx="2">
                  <c:v>607</c:v>
                </c:pt>
                <c:pt idx="3">
                  <c:v>681</c:v>
                </c:pt>
                <c:pt idx="4">
                  <c:v>47</c:v>
                </c:pt>
                <c:pt idx="5">
                  <c:v>65</c:v>
                </c:pt>
                <c:pt idx="6">
                  <c:v>42</c:v>
                </c:pt>
                <c:pt idx="7">
                  <c:v>38</c:v>
                </c:pt>
              </c:numCache>
            </c:numRef>
          </c:val>
        </c:ser>
        <c:ser>
          <c:idx val="2"/>
          <c:order val="2"/>
          <c:tx>
            <c:strRef>
              <c:f>'Fall Headcount by Class'!$AA$4</c:f>
              <c:strCache>
                <c:ptCount val="1"/>
                <c:pt idx="0">
                  <c:v>2013</c:v>
                </c:pt>
              </c:strCache>
            </c:strRef>
          </c:tx>
          <c:spPr>
            <a:solidFill>
              <a:srgbClr val="FFFFFF"/>
            </a:solidFill>
            <a:ln w="12700">
              <a:solidFill>
                <a:srgbClr val="000000"/>
              </a:solidFill>
              <a:prstDash val="solid"/>
            </a:ln>
          </c:spPr>
          <c:invertIfNegative val="0"/>
          <c:cat>
            <c:strRef>
              <c:f>'Fall Headcount by Class'!$T$5:$T$12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'Fall Headcount by Class'!$AA$5:$AA$12</c:f>
              <c:numCache>
                <c:formatCode>General</c:formatCode>
                <c:ptCount val="8"/>
                <c:pt idx="0">
                  <c:v>848</c:v>
                </c:pt>
                <c:pt idx="1">
                  <c:v>602</c:v>
                </c:pt>
                <c:pt idx="2">
                  <c:v>547</c:v>
                </c:pt>
                <c:pt idx="3">
                  <c:v>712</c:v>
                </c:pt>
                <c:pt idx="4">
                  <c:v>43</c:v>
                </c:pt>
                <c:pt idx="5">
                  <c:v>40</c:v>
                </c:pt>
                <c:pt idx="6">
                  <c:v>40</c:v>
                </c:pt>
                <c:pt idx="7">
                  <c:v>45</c:v>
                </c:pt>
              </c:numCache>
            </c:numRef>
          </c:val>
        </c:ser>
        <c:ser>
          <c:idx val="3"/>
          <c:order val="3"/>
          <c:tx>
            <c:strRef>
              <c:f>'Fall Headcount by Class'!$AB$4</c:f>
              <c:strCache>
                <c:ptCount val="1"/>
                <c:pt idx="0">
                  <c:v>2014</c:v>
                </c:pt>
              </c:strCache>
            </c:strRef>
          </c:tx>
          <c:spPr>
            <a:solidFill>
              <a:srgbClr val="0070C0"/>
            </a:solidFill>
            <a:ln w="12700">
              <a:solidFill>
                <a:srgbClr val="000000"/>
              </a:solidFill>
              <a:prstDash val="solid"/>
            </a:ln>
          </c:spPr>
          <c:invertIfNegative val="0"/>
          <c:cat>
            <c:strRef>
              <c:f>'Fall Headcount by Class'!$T$5:$T$12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'Fall Headcount by Class'!$AB$5:$AB$12</c:f>
              <c:numCache>
                <c:formatCode>General</c:formatCode>
                <c:ptCount val="8"/>
                <c:pt idx="0">
                  <c:v>838</c:v>
                </c:pt>
                <c:pt idx="1">
                  <c:v>590</c:v>
                </c:pt>
                <c:pt idx="2">
                  <c:v>548</c:v>
                </c:pt>
                <c:pt idx="3">
                  <c:v>667</c:v>
                </c:pt>
                <c:pt idx="4">
                  <c:v>33</c:v>
                </c:pt>
                <c:pt idx="5">
                  <c:v>41</c:v>
                </c:pt>
                <c:pt idx="6">
                  <c:v>30</c:v>
                </c:pt>
                <c:pt idx="7">
                  <c:v>40</c:v>
                </c:pt>
              </c:numCache>
            </c:numRef>
          </c:val>
        </c:ser>
        <c:ser>
          <c:idx val="4"/>
          <c:order val="4"/>
          <c:tx>
            <c:strRef>
              <c:f>'Fall Headcount by Class'!$AC$4</c:f>
              <c:strCache>
                <c:ptCount val="1"/>
                <c:pt idx="0">
                  <c:v>2015</c:v>
                </c:pt>
              </c:strCache>
            </c:strRef>
          </c:tx>
          <c:spPr>
            <a:solidFill>
              <a:schemeClr val="bg1">
                <a:lumMod val="50000"/>
              </a:schemeClr>
            </a:solidFill>
            <a:ln w="12700">
              <a:solidFill>
                <a:srgbClr val="000000"/>
              </a:solidFill>
              <a:prstDash val="solid"/>
            </a:ln>
          </c:spPr>
          <c:invertIfNegative val="0"/>
          <c:cat>
            <c:strRef>
              <c:f>'Fall Headcount by Class'!$T$5:$T$12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'Fall Headcount by Class'!$AC$5:$AC$12</c:f>
              <c:numCache>
                <c:formatCode>General</c:formatCode>
                <c:ptCount val="8"/>
                <c:pt idx="0">
                  <c:v>834</c:v>
                </c:pt>
                <c:pt idx="1">
                  <c:v>571</c:v>
                </c:pt>
                <c:pt idx="2">
                  <c:v>513</c:v>
                </c:pt>
                <c:pt idx="3">
                  <c:v>663</c:v>
                </c:pt>
                <c:pt idx="4">
                  <c:v>29</c:v>
                </c:pt>
                <c:pt idx="5">
                  <c:v>49</c:v>
                </c:pt>
                <c:pt idx="6">
                  <c:v>7</c:v>
                </c:pt>
                <c:pt idx="7">
                  <c:v>35</c:v>
                </c:pt>
              </c:numCache>
            </c:numRef>
          </c:val>
        </c:ser>
        <c:dLbls>
          <c:showLegendKey val="0"/>
          <c:showVal val="0"/>
          <c:showCatName val="0"/>
          <c:showSerName val="0"/>
          <c:showPercent val="0"/>
          <c:showBubbleSize val="0"/>
        </c:dLbls>
        <c:gapWidth val="150"/>
        <c:axId val="157519488"/>
        <c:axId val="157521056"/>
      </c:barChart>
      <c:catAx>
        <c:axId val="157519488"/>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US" sz="1050"/>
                  <a:t>Class</a:t>
                </a:r>
              </a:p>
            </c:rich>
          </c:tx>
          <c:layout>
            <c:manualLayout>
              <c:xMode val="edge"/>
              <c:yMode val="edge"/>
              <c:x val="0.47695649745909657"/>
              <c:y val="0.9018869800365864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7521056"/>
        <c:crosses val="autoZero"/>
        <c:auto val="1"/>
        <c:lblAlgn val="ctr"/>
        <c:lblOffset val="100"/>
        <c:tickLblSkip val="1"/>
        <c:tickMarkSkip val="1"/>
        <c:noMultiLvlLbl val="0"/>
      </c:catAx>
      <c:valAx>
        <c:axId val="1575210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7519488"/>
        <c:crosses val="autoZero"/>
        <c:crossBetween val="between"/>
      </c:valAx>
      <c:spPr>
        <a:solidFill>
          <a:srgbClr val="FFFFFF"/>
        </a:solidFill>
        <a:ln w="12700">
          <a:solidFill>
            <a:srgbClr val="808080"/>
          </a:solidFill>
          <a:prstDash val="solid"/>
        </a:ln>
      </c:spPr>
    </c:plotArea>
    <c:legend>
      <c:legendPos val="b"/>
      <c:layout>
        <c:manualLayout>
          <c:xMode val="edge"/>
          <c:yMode val="edge"/>
          <c:x val="0.22380851105923316"/>
          <c:y val="0.94905670882048832"/>
          <c:w val="0.51572458750445138"/>
          <c:h val="3.3719182316804062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825"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Spring Enrollment by Class</a:t>
            </a:r>
          </a:p>
        </c:rich>
      </c:tx>
      <c:layout>
        <c:manualLayout>
          <c:xMode val="edge"/>
          <c:yMode val="edge"/>
          <c:x val="0.38585254013666576"/>
          <c:y val="2.8248587570621472E-2"/>
        </c:manualLayout>
      </c:layout>
      <c:overlay val="0"/>
      <c:spPr>
        <a:noFill/>
        <a:ln w="25400">
          <a:noFill/>
        </a:ln>
      </c:spPr>
    </c:title>
    <c:autoTitleDeleted val="0"/>
    <c:plotArea>
      <c:layout>
        <c:manualLayout>
          <c:layoutTarget val="inner"/>
          <c:xMode val="edge"/>
          <c:yMode val="edge"/>
          <c:x val="4.8231561737550367E-2"/>
          <c:y val="0.13747671234388287"/>
          <c:w val="0.88853254845398011"/>
          <c:h val="0.67231762064063361"/>
        </c:manualLayout>
      </c:layout>
      <c:barChart>
        <c:barDir val="col"/>
        <c:grouping val="clustered"/>
        <c:varyColors val="0"/>
        <c:ser>
          <c:idx val="1"/>
          <c:order val="0"/>
          <c:tx>
            <c:strRef>
              <c:f>'Spring Headcount by Class'!$AA$4</c:f>
              <c:strCache>
                <c:ptCount val="1"/>
                <c:pt idx="0">
                  <c:v>2012</c:v>
                </c:pt>
              </c:strCache>
            </c:strRef>
          </c:tx>
          <c:spPr>
            <a:solidFill>
              <a:schemeClr val="bg1">
                <a:lumMod val="75000"/>
              </a:schemeClr>
            </a:solidFill>
            <a:ln w="12700">
              <a:solidFill>
                <a:srgbClr val="000000"/>
              </a:solidFill>
              <a:prstDash val="solid"/>
            </a:ln>
          </c:spPr>
          <c:invertIfNegative val="0"/>
          <c:cat>
            <c:strRef>
              <c:f>'Spring Headcount by Class'!$V$5:$V$12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'Spring Headcount by Class'!$AA$5:$AA$12</c:f>
              <c:numCache>
                <c:formatCode>General</c:formatCode>
                <c:ptCount val="8"/>
                <c:pt idx="0">
                  <c:v>459</c:v>
                </c:pt>
                <c:pt idx="1">
                  <c:v>660</c:v>
                </c:pt>
                <c:pt idx="2">
                  <c:v>618</c:v>
                </c:pt>
                <c:pt idx="3">
                  <c:v>963</c:v>
                </c:pt>
                <c:pt idx="4">
                  <c:v>40</c:v>
                </c:pt>
                <c:pt idx="5">
                  <c:v>24</c:v>
                </c:pt>
                <c:pt idx="6">
                  <c:v>61</c:v>
                </c:pt>
                <c:pt idx="7">
                  <c:v>24</c:v>
                </c:pt>
              </c:numCache>
            </c:numRef>
          </c:val>
        </c:ser>
        <c:ser>
          <c:idx val="2"/>
          <c:order val="1"/>
          <c:tx>
            <c:strRef>
              <c:f>'Spring Headcount by Class'!$AB$4</c:f>
              <c:strCache>
                <c:ptCount val="1"/>
                <c:pt idx="0">
                  <c:v>2013</c:v>
                </c:pt>
              </c:strCache>
            </c:strRef>
          </c:tx>
          <c:spPr>
            <a:solidFill>
              <a:schemeClr val="tx1"/>
            </a:solidFill>
            <a:ln w="12700">
              <a:solidFill>
                <a:srgbClr val="000000"/>
              </a:solidFill>
              <a:prstDash val="solid"/>
            </a:ln>
          </c:spPr>
          <c:invertIfNegative val="0"/>
          <c:cat>
            <c:strRef>
              <c:f>'Spring Headcount by Class'!$V$5:$V$12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'Spring Headcount by Class'!$AB$5:$AB$12</c:f>
              <c:numCache>
                <c:formatCode>General</c:formatCode>
                <c:ptCount val="8"/>
                <c:pt idx="0">
                  <c:v>677</c:v>
                </c:pt>
                <c:pt idx="1">
                  <c:v>605</c:v>
                </c:pt>
                <c:pt idx="2">
                  <c:v>609</c:v>
                </c:pt>
                <c:pt idx="3">
                  <c:v>730</c:v>
                </c:pt>
                <c:pt idx="4">
                  <c:v>44</c:v>
                </c:pt>
                <c:pt idx="5">
                  <c:v>20</c:v>
                </c:pt>
                <c:pt idx="6">
                  <c:v>44</c:v>
                </c:pt>
                <c:pt idx="7">
                  <c:v>51</c:v>
                </c:pt>
              </c:numCache>
            </c:numRef>
          </c:val>
        </c:ser>
        <c:ser>
          <c:idx val="3"/>
          <c:order val="2"/>
          <c:tx>
            <c:strRef>
              <c:f>'Spring Headcount by Class'!$AC$4</c:f>
              <c:strCache>
                <c:ptCount val="1"/>
                <c:pt idx="0">
                  <c:v>2014</c:v>
                </c:pt>
              </c:strCache>
            </c:strRef>
          </c:tx>
          <c:spPr>
            <a:solidFill>
              <a:schemeClr val="bg1"/>
            </a:solidFill>
            <a:ln w="12700">
              <a:solidFill>
                <a:srgbClr val="000000"/>
              </a:solidFill>
              <a:prstDash val="solid"/>
            </a:ln>
          </c:spPr>
          <c:invertIfNegative val="0"/>
          <c:cat>
            <c:strRef>
              <c:f>'Spring Headcount by Class'!$V$5:$V$12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'Spring Headcount by Class'!$AC$5:$AC$12</c:f>
              <c:numCache>
                <c:formatCode>General</c:formatCode>
                <c:ptCount val="8"/>
                <c:pt idx="0">
                  <c:v>615</c:v>
                </c:pt>
                <c:pt idx="1">
                  <c:v>576</c:v>
                </c:pt>
                <c:pt idx="2">
                  <c:v>539</c:v>
                </c:pt>
                <c:pt idx="3">
                  <c:v>739</c:v>
                </c:pt>
                <c:pt idx="4">
                  <c:v>41</c:v>
                </c:pt>
                <c:pt idx="5">
                  <c:v>31</c:v>
                </c:pt>
                <c:pt idx="6">
                  <c:v>69</c:v>
                </c:pt>
                <c:pt idx="7">
                  <c:v>51</c:v>
                </c:pt>
              </c:numCache>
            </c:numRef>
          </c:val>
        </c:ser>
        <c:ser>
          <c:idx val="4"/>
          <c:order val="3"/>
          <c:tx>
            <c:strRef>
              <c:f>'Spring Headcount by Class'!$AD$4</c:f>
              <c:strCache>
                <c:ptCount val="1"/>
                <c:pt idx="0">
                  <c:v>2015</c:v>
                </c:pt>
              </c:strCache>
            </c:strRef>
          </c:tx>
          <c:spPr>
            <a:solidFill>
              <a:srgbClr val="0070C0"/>
            </a:solidFill>
            <a:ln w="12700">
              <a:solidFill>
                <a:srgbClr val="000000"/>
              </a:solidFill>
              <a:prstDash val="solid"/>
            </a:ln>
          </c:spPr>
          <c:invertIfNegative val="0"/>
          <c:cat>
            <c:strRef>
              <c:f>'Spring Headcount by Class'!$V$5:$V$12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'Spring Headcount by Class'!$AD$5:$AD$12</c:f>
              <c:numCache>
                <c:formatCode>General</c:formatCode>
                <c:ptCount val="8"/>
                <c:pt idx="0">
                  <c:v>589</c:v>
                </c:pt>
                <c:pt idx="1">
                  <c:v>537</c:v>
                </c:pt>
                <c:pt idx="2">
                  <c:v>560</c:v>
                </c:pt>
                <c:pt idx="3">
                  <c:v>708</c:v>
                </c:pt>
                <c:pt idx="4">
                  <c:v>35</c:v>
                </c:pt>
                <c:pt idx="5">
                  <c:v>24</c:v>
                </c:pt>
                <c:pt idx="6">
                  <c:v>37</c:v>
                </c:pt>
                <c:pt idx="7">
                  <c:v>49</c:v>
                </c:pt>
              </c:numCache>
            </c:numRef>
          </c:val>
        </c:ser>
        <c:ser>
          <c:idx val="5"/>
          <c:order val="4"/>
          <c:tx>
            <c:strRef>
              <c:f>'Spring Headcount by Class'!$AE$4</c:f>
              <c:strCache>
                <c:ptCount val="1"/>
                <c:pt idx="0">
                  <c:v>2016</c:v>
                </c:pt>
              </c:strCache>
            </c:strRef>
          </c:tx>
          <c:spPr>
            <a:solidFill>
              <a:schemeClr val="bg1">
                <a:lumMod val="50000"/>
              </a:schemeClr>
            </a:solidFill>
            <a:ln w="12700">
              <a:solidFill>
                <a:sysClr val="windowText" lastClr="000000"/>
              </a:solidFill>
            </a:ln>
          </c:spPr>
          <c:invertIfNegative val="0"/>
          <c:cat>
            <c:strRef>
              <c:f>'Spring Headcount by Class'!$V$5:$V$12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'Spring Headcount by Class'!$AE$5:$AE$12</c:f>
              <c:numCache>
                <c:formatCode>General</c:formatCode>
                <c:ptCount val="8"/>
                <c:pt idx="0">
                  <c:v>593</c:v>
                </c:pt>
                <c:pt idx="1">
                  <c:v>533</c:v>
                </c:pt>
                <c:pt idx="2">
                  <c:v>511</c:v>
                </c:pt>
                <c:pt idx="3">
                  <c:v>687</c:v>
                </c:pt>
                <c:pt idx="4">
                  <c:v>31</c:v>
                </c:pt>
                <c:pt idx="5">
                  <c:v>55</c:v>
                </c:pt>
                <c:pt idx="6">
                  <c:v>10</c:v>
                </c:pt>
                <c:pt idx="7">
                  <c:v>43</c:v>
                </c:pt>
              </c:numCache>
            </c:numRef>
          </c:val>
        </c:ser>
        <c:dLbls>
          <c:showLegendKey val="0"/>
          <c:showVal val="0"/>
          <c:showCatName val="0"/>
          <c:showSerName val="0"/>
          <c:showPercent val="0"/>
          <c:showBubbleSize val="0"/>
        </c:dLbls>
        <c:gapWidth val="150"/>
        <c:axId val="442284008"/>
        <c:axId val="721351416"/>
      </c:barChart>
      <c:catAx>
        <c:axId val="442284008"/>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n-US"/>
                  <a:t>Class</a:t>
                </a:r>
              </a:p>
            </c:rich>
          </c:tx>
          <c:layout>
            <c:manualLayout>
              <c:xMode val="edge"/>
              <c:yMode val="edge"/>
              <c:x val="0.47266926039389973"/>
              <c:y val="0.8888904706120820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1351416"/>
        <c:crosses val="autoZero"/>
        <c:auto val="1"/>
        <c:lblAlgn val="ctr"/>
        <c:lblOffset val="100"/>
        <c:tickLblSkip val="1"/>
        <c:tickMarkSkip val="1"/>
        <c:noMultiLvlLbl val="0"/>
      </c:catAx>
      <c:valAx>
        <c:axId val="72135141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42284008"/>
        <c:crosses val="autoZero"/>
        <c:crossBetween val="between"/>
      </c:valAx>
      <c:spPr>
        <a:solidFill>
          <a:srgbClr val="FFFFFF"/>
        </a:solidFill>
        <a:ln w="12700">
          <a:solidFill>
            <a:srgbClr val="808080"/>
          </a:solidFill>
          <a:prstDash val="solid"/>
        </a:ln>
      </c:spPr>
    </c:plotArea>
    <c:legend>
      <c:legendPos val="b"/>
      <c:layout>
        <c:manualLayout>
          <c:xMode val="edge"/>
          <c:yMode val="edge"/>
          <c:x val="0.34488225727910032"/>
          <c:y val="0.95292080015421865"/>
          <c:w val="0.26011224030427527"/>
          <c:h val="4.7079154823211088E-2"/>
        </c:manualLayout>
      </c:layout>
      <c:overlay val="0"/>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825"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Summer Enrollment by Class</a:t>
            </a:r>
          </a:p>
        </c:rich>
      </c:tx>
      <c:layout>
        <c:manualLayout>
          <c:xMode val="edge"/>
          <c:yMode val="edge"/>
          <c:x val="0.38070011662115927"/>
          <c:y val="2.8355387523629799E-2"/>
        </c:manualLayout>
      </c:layout>
      <c:overlay val="0"/>
      <c:spPr>
        <a:noFill/>
        <a:ln w="25400">
          <a:noFill/>
        </a:ln>
      </c:spPr>
    </c:title>
    <c:autoTitleDeleted val="0"/>
    <c:plotArea>
      <c:layout>
        <c:manualLayout>
          <c:layoutTarget val="inner"/>
          <c:xMode val="edge"/>
          <c:yMode val="edge"/>
          <c:x val="5.1961850871683452E-2"/>
          <c:y val="0.16068067761315938"/>
          <c:w val="0.87592834326552582"/>
          <c:h val="0.66162631958360918"/>
        </c:manualLayout>
      </c:layout>
      <c:barChart>
        <c:barDir val="col"/>
        <c:grouping val="clustered"/>
        <c:varyColors val="0"/>
        <c:ser>
          <c:idx val="0"/>
          <c:order val="0"/>
          <c:tx>
            <c:strRef>
              <c:f>'Summer Headcount by Class '!$AB$5</c:f>
              <c:strCache>
                <c:ptCount val="1"/>
                <c:pt idx="0">
                  <c:v>2012</c:v>
                </c:pt>
              </c:strCache>
            </c:strRef>
          </c:tx>
          <c:spPr>
            <a:solidFill>
              <a:srgbClr val="C0C0C0"/>
            </a:solidFill>
            <a:ln w="12700">
              <a:solidFill>
                <a:srgbClr val="000000"/>
              </a:solidFill>
              <a:prstDash val="solid"/>
            </a:ln>
          </c:spPr>
          <c:invertIfNegative val="0"/>
          <c:cat>
            <c:strRef>
              <c:f>'Summer Headcount by Class '!$W$6:$W$13</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'Summer Headcount by Class '!$AB$6:$AB$13</c:f>
              <c:numCache>
                <c:formatCode>General</c:formatCode>
                <c:ptCount val="8"/>
                <c:pt idx="0">
                  <c:v>19</c:v>
                </c:pt>
                <c:pt idx="1">
                  <c:v>85</c:v>
                </c:pt>
                <c:pt idx="2">
                  <c:v>182</c:v>
                </c:pt>
                <c:pt idx="3">
                  <c:v>306</c:v>
                </c:pt>
                <c:pt idx="4">
                  <c:v>21</c:v>
                </c:pt>
                <c:pt idx="5">
                  <c:v>147</c:v>
                </c:pt>
                <c:pt idx="6">
                  <c:v>196</c:v>
                </c:pt>
                <c:pt idx="7">
                  <c:v>47</c:v>
                </c:pt>
              </c:numCache>
            </c:numRef>
          </c:val>
        </c:ser>
        <c:ser>
          <c:idx val="1"/>
          <c:order val="1"/>
          <c:tx>
            <c:strRef>
              <c:f>'Summer Headcount by Class '!$AC$5</c:f>
              <c:strCache>
                <c:ptCount val="1"/>
                <c:pt idx="0">
                  <c:v>2013</c:v>
                </c:pt>
              </c:strCache>
            </c:strRef>
          </c:tx>
          <c:spPr>
            <a:solidFill>
              <a:srgbClr val="000000"/>
            </a:solidFill>
            <a:ln w="12700">
              <a:solidFill>
                <a:srgbClr val="000000"/>
              </a:solidFill>
              <a:prstDash val="solid"/>
            </a:ln>
          </c:spPr>
          <c:invertIfNegative val="0"/>
          <c:cat>
            <c:strRef>
              <c:f>'Summer Headcount by Class '!$W$6:$W$13</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'Summer Headcount by Class '!$AC$6:$AC$13</c:f>
              <c:numCache>
                <c:formatCode>General</c:formatCode>
                <c:ptCount val="8"/>
                <c:pt idx="0">
                  <c:v>15</c:v>
                </c:pt>
                <c:pt idx="1">
                  <c:v>76</c:v>
                </c:pt>
                <c:pt idx="2">
                  <c:v>151</c:v>
                </c:pt>
                <c:pt idx="3">
                  <c:v>310</c:v>
                </c:pt>
                <c:pt idx="4">
                  <c:v>24</c:v>
                </c:pt>
                <c:pt idx="5">
                  <c:v>143</c:v>
                </c:pt>
                <c:pt idx="6">
                  <c:v>135</c:v>
                </c:pt>
                <c:pt idx="7">
                  <c:v>50</c:v>
                </c:pt>
              </c:numCache>
            </c:numRef>
          </c:val>
        </c:ser>
        <c:ser>
          <c:idx val="2"/>
          <c:order val="2"/>
          <c:tx>
            <c:strRef>
              <c:f>'Summer Headcount by Class '!$AD$5</c:f>
              <c:strCache>
                <c:ptCount val="1"/>
                <c:pt idx="0">
                  <c:v>2014</c:v>
                </c:pt>
              </c:strCache>
            </c:strRef>
          </c:tx>
          <c:spPr>
            <a:solidFill>
              <a:sysClr val="window" lastClr="FFFFFF"/>
            </a:solidFill>
            <a:ln w="12700">
              <a:solidFill>
                <a:srgbClr val="000000"/>
              </a:solidFill>
              <a:prstDash val="solid"/>
            </a:ln>
          </c:spPr>
          <c:invertIfNegative val="0"/>
          <c:cat>
            <c:strRef>
              <c:f>'Summer Headcount by Class '!$W$6:$W$13</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'Summer Headcount by Class '!$AD$6:$AD$13</c:f>
              <c:numCache>
                <c:formatCode>General</c:formatCode>
                <c:ptCount val="8"/>
                <c:pt idx="0">
                  <c:v>20</c:v>
                </c:pt>
                <c:pt idx="1">
                  <c:v>83</c:v>
                </c:pt>
                <c:pt idx="2">
                  <c:v>143</c:v>
                </c:pt>
                <c:pt idx="3">
                  <c:v>250</c:v>
                </c:pt>
                <c:pt idx="4">
                  <c:v>12</c:v>
                </c:pt>
                <c:pt idx="5">
                  <c:v>84</c:v>
                </c:pt>
                <c:pt idx="6">
                  <c:v>72</c:v>
                </c:pt>
                <c:pt idx="7">
                  <c:v>50</c:v>
                </c:pt>
              </c:numCache>
            </c:numRef>
          </c:val>
        </c:ser>
        <c:ser>
          <c:idx val="3"/>
          <c:order val="3"/>
          <c:tx>
            <c:strRef>
              <c:f>'Summer Headcount by Class '!$AE$5</c:f>
              <c:strCache>
                <c:ptCount val="1"/>
                <c:pt idx="0">
                  <c:v>2015</c:v>
                </c:pt>
              </c:strCache>
            </c:strRef>
          </c:tx>
          <c:spPr>
            <a:solidFill>
              <a:srgbClr val="0070C0"/>
            </a:solidFill>
            <a:ln w="12700">
              <a:solidFill>
                <a:srgbClr val="000000"/>
              </a:solidFill>
              <a:prstDash val="solid"/>
            </a:ln>
          </c:spPr>
          <c:invertIfNegative val="0"/>
          <c:cat>
            <c:strRef>
              <c:f>'Summer Headcount by Class '!$W$6:$W$13</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'Summer Headcount by Class '!$AE$6:$AE$13</c:f>
              <c:numCache>
                <c:formatCode>General</c:formatCode>
                <c:ptCount val="8"/>
                <c:pt idx="0">
                  <c:v>33</c:v>
                </c:pt>
                <c:pt idx="1">
                  <c:v>74</c:v>
                </c:pt>
                <c:pt idx="2">
                  <c:v>125</c:v>
                </c:pt>
                <c:pt idx="3">
                  <c:v>271</c:v>
                </c:pt>
                <c:pt idx="4">
                  <c:v>18</c:v>
                </c:pt>
                <c:pt idx="5">
                  <c:v>99</c:v>
                </c:pt>
                <c:pt idx="6">
                  <c:v>70</c:v>
                </c:pt>
                <c:pt idx="7">
                  <c:v>38</c:v>
                </c:pt>
              </c:numCache>
            </c:numRef>
          </c:val>
        </c:ser>
        <c:ser>
          <c:idx val="4"/>
          <c:order val="4"/>
          <c:tx>
            <c:strRef>
              <c:f>'Summer Headcount by Class '!$AF$5</c:f>
              <c:strCache>
                <c:ptCount val="1"/>
                <c:pt idx="0">
                  <c:v>2016</c:v>
                </c:pt>
              </c:strCache>
            </c:strRef>
          </c:tx>
          <c:spPr>
            <a:solidFill>
              <a:schemeClr val="bg1">
                <a:lumMod val="50000"/>
              </a:schemeClr>
            </a:solidFill>
            <a:ln>
              <a:solidFill>
                <a:sysClr val="windowText" lastClr="000000"/>
              </a:solidFill>
            </a:ln>
          </c:spPr>
          <c:invertIfNegative val="0"/>
          <c:cat>
            <c:strRef>
              <c:f>'Summer Headcount by Class '!$W$6:$W$13</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'Summer Headcount by Class '!$AF$6:$AF$13</c:f>
              <c:numCache>
                <c:formatCode>General</c:formatCode>
                <c:ptCount val="8"/>
                <c:pt idx="0">
                  <c:v>20</c:v>
                </c:pt>
                <c:pt idx="1">
                  <c:v>73</c:v>
                </c:pt>
                <c:pt idx="2">
                  <c:v>133</c:v>
                </c:pt>
                <c:pt idx="3">
                  <c:v>252</c:v>
                </c:pt>
                <c:pt idx="4">
                  <c:v>12</c:v>
                </c:pt>
                <c:pt idx="5">
                  <c:v>93</c:v>
                </c:pt>
                <c:pt idx="6">
                  <c:v>34</c:v>
                </c:pt>
                <c:pt idx="7">
                  <c:v>38</c:v>
                </c:pt>
              </c:numCache>
            </c:numRef>
          </c:val>
        </c:ser>
        <c:dLbls>
          <c:showLegendKey val="0"/>
          <c:showVal val="0"/>
          <c:showCatName val="0"/>
          <c:showSerName val="0"/>
          <c:showPercent val="0"/>
          <c:showBubbleSize val="0"/>
        </c:dLbls>
        <c:gapWidth val="150"/>
        <c:axId val="721357688"/>
        <c:axId val="721354944"/>
      </c:barChart>
      <c:catAx>
        <c:axId val="721357688"/>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n-US"/>
                  <a:t>Class</a:t>
                </a:r>
              </a:p>
            </c:rich>
          </c:tx>
          <c:layout>
            <c:manualLayout>
              <c:xMode val="edge"/>
              <c:yMode val="edge"/>
              <c:x val="0.47083797452147746"/>
              <c:y val="0.901702117103036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1354944"/>
        <c:crosses val="autoZero"/>
        <c:auto val="1"/>
        <c:lblAlgn val="ctr"/>
        <c:lblOffset val="100"/>
        <c:tickLblSkip val="1"/>
        <c:tickMarkSkip val="1"/>
        <c:noMultiLvlLbl val="0"/>
      </c:catAx>
      <c:valAx>
        <c:axId val="721354944"/>
        <c:scaling>
          <c:orientation val="minMax"/>
          <c:max val="45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1357688"/>
        <c:crosses val="autoZero"/>
        <c:crossBetween val="between"/>
        <c:majorUnit val="50"/>
        <c:minorUnit val="50"/>
      </c:valAx>
      <c:spPr>
        <a:solidFill>
          <a:srgbClr val="FFFFFF"/>
        </a:solidFill>
        <a:ln w="12700">
          <a:solidFill>
            <a:srgbClr val="808080"/>
          </a:solidFill>
          <a:prstDash val="solid"/>
        </a:ln>
      </c:spPr>
    </c:plotArea>
    <c:legend>
      <c:legendPos val="b"/>
      <c:layout>
        <c:manualLayout>
          <c:xMode val="edge"/>
          <c:yMode val="edge"/>
          <c:x val="0.37221655352466204"/>
          <c:y val="0.95085145547732863"/>
          <c:w val="0.21965859792156406"/>
          <c:h val="4.4697408349559466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825"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Number of Online Courses Offered by Semester</a:t>
            </a:r>
          </a:p>
        </c:rich>
      </c:tx>
      <c:layout>
        <c:manualLayout>
          <c:xMode val="edge"/>
          <c:yMode val="edge"/>
          <c:x val="0.2406145136294823"/>
          <c:y val="3.6912751677852351E-2"/>
        </c:manualLayout>
      </c:layout>
      <c:overlay val="0"/>
      <c:spPr>
        <a:noFill/>
        <a:ln w="25400">
          <a:noFill/>
        </a:ln>
      </c:spPr>
    </c:title>
    <c:autoTitleDeleted val="0"/>
    <c:plotArea>
      <c:layout>
        <c:manualLayout>
          <c:layoutTarget val="inner"/>
          <c:xMode val="edge"/>
          <c:yMode val="edge"/>
          <c:x val="6.4846470415214422E-2"/>
          <c:y val="0.19798690158822879"/>
          <c:w val="0.90785058581300149"/>
          <c:h val="0.51342366005082718"/>
        </c:manualLayout>
      </c:layout>
      <c:barChart>
        <c:barDir val="col"/>
        <c:grouping val="clustered"/>
        <c:varyColors val="0"/>
        <c:ser>
          <c:idx val="0"/>
          <c:order val="0"/>
          <c:tx>
            <c:strRef>
              <c:f>'Number of Online Courses'!$D$4</c:f>
              <c:strCache>
                <c:ptCount val="1"/>
                <c:pt idx="0">
                  <c:v>Fall</c:v>
                </c:pt>
              </c:strCache>
            </c:strRef>
          </c:tx>
          <c:spPr>
            <a:solidFill>
              <a:srgbClr val="C0C0C0"/>
            </a:solidFill>
            <a:ln w="12700">
              <a:solidFill>
                <a:srgbClr val="000000"/>
              </a:solidFill>
              <a:prstDash val="solid"/>
            </a:ln>
          </c:spPr>
          <c:invertIfNegative val="0"/>
          <c:dLbls>
            <c:spPr>
              <a:noFill/>
              <a:ln w="25400">
                <a:noFill/>
              </a:ln>
            </c:spPr>
            <c:txPr>
              <a:bodyPr/>
              <a:lstStyle/>
              <a:p>
                <a:pPr>
                  <a:defRPr sz="7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'Number of Online Courses'!$C$5:$C$19</c:f>
              <c:strCache>
                <c:ptCount val="15"/>
                <c:pt idx="0">
                  <c:v>2001-2002</c:v>
                </c:pt>
                <c:pt idx="1">
                  <c:v>2002-2003</c:v>
                </c:pt>
                <c:pt idx="2">
                  <c:v>2003-2004</c:v>
                </c:pt>
                <c:pt idx="3">
                  <c:v>2004-2005</c:v>
                </c:pt>
                <c:pt idx="4">
                  <c:v>2005-2006</c:v>
                </c:pt>
                <c:pt idx="5">
                  <c:v>2006-2007</c:v>
                </c:pt>
                <c:pt idx="6">
                  <c:v>2007-2008</c:v>
                </c:pt>
                <c:pt idx="7">
                  <c:v>2008-2009</c:v>
                </c:pt>
                <c:pt idx="8">
                  <c:v>2009-2010</c:v>
                </c:pt>
                <c:pt idx="9">
                  <c:v>2010-2011</c:v>
                </c:pt>
                <c:pt idx="10">
                  <c:v>2011-2012</c:v>
                </c:pt>
                <c:pt idx="11">
                  <c:v>2012-2013</c:v>
                </c:pt>
                <c:pt idx="12">
                  <c:v>2013-2014</c:v>
                </c:pt>
                <c:pt idx="13">
                  <c:v>2014-2015</c:v>
                </c:pt>
                <c:pt idx="14">
                  <c:v>2015-2016</c:v>
                </c:pt>
              </c:strCache>
            </c:strRef>
          </c:cat>
          <c:val>
            <c:numRef>
              <c:f>'Number of Online Courses'!$D$5:$D$19</c:f>
              <c:numCache>
                <c:formatCode>General</c:formatCode>
                <c:ptCount val="15"/>
                <c:pt idx="0">
                  <c:v>4</c:v>
                </c:pt>
                <c:pt idx="1">
                  <c:v>7</c:v>
                </c:pt>
                <c:pt idx="2">
                  <c:v>11</c:v>
                </c:pt>
                <c:pt idx="3">
                  <c:v>13</c:v>
                </c:pt>
                <c:pt idx="4">
                  <c:v>17</c:v>
                </c:pt>
                <c:pt idx="5">
                  <c:v>21</c:v>
                </c:pt>
                <c:pt idx="6">
                  <c:v>23</c:v>
                </c:pt>
                <c:pt idx="7">
                  <c:v>30</c:v>
                </c:pt>
                <c:pt idx="8">
                  <c:v>35</c:v>
                </c:pt>
                <c:pt idx="9">
                  <c:v>40</c:v>
                </c:pt>
                <c:pt idx="10">
                  <c:v>45</c:v>
                </c:pt>
                <c:pt idx="11">
                  <c:v>43</c:v>
                </c:pt>
                <c:pt idx="12">
                  <c:v>58</c:v>
                </c:pt>
                <c:pt idx="13">
                  <c:v>48</c:v>
                </c:pt>
                <c:pt idx="14">
                  <c:v>51</c:v>
                </c:pt>
              </c:numCache>
            </c:numRef>
          </c:val>
        </c:ser>
        <c:ser>
          <c:idx val="1"/>
          <c:order val="1"/>
          <c:tx>
            <c:strRef>
              <c:f>'Number of Online Courses'!$E$4</c:f>
              <c:strCache>
                <c:ptCount val="1"/>
                <c:pt idx="0">
                  <c:v>Spring</c:v>
                </c:pt>
              </c:strCache>
            </c:strRef>
          </c:tx>
          <c:spPr>
            <a:solidFill>
              <a:srgbClr val="FFFFFF"/>
            </a:solidFill>
            <a:ln w="12700">
              <a:solidFill>
                <a:srgbClr val="000000"/>
              </a:solidFill>
              <a:prstDash val="solid"/>
            </a:ln>
          </c:spPr>
          <c:invertIfNegative val="0"/>
          <c:dLbls>
            <c:spPr>
              <a:noFill/>
              <a:ln w="25400">
                <a:noFill/>
              </a:ln>
            </c:spPr>
            <c:txPr>
              <a:bodyPr/>
              <a:lstStyle/>
              <a:p>
                <a:pPr>
                  <a:defRPr sz="7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'Number of Online Courses'!$C$5:$C$19</c:f>
              <c:strCache>
                <c:ptCount val="15"/>
                <c:pt idx="0">
                  <c:v>2001-2002</c:v>
                </c:pt>
                <c:pt idx="1">
                  <c:v>2002-2003</c:v>
                </c:pt>
                <c:pt idx="2">
                  <c:v>2003-2004</c:v>
                </c:pt>
                <c:pt idx="3">
                  <c:v>2004-2005</c:v>
                </c:pt>
                <c:pt idx="4">
                  <c:v>2005-2006</c:v>
                </c:pt>
                <c:pt idx="5">
                  <c:v>2006-2007</c:v>
                </c:pt>
                <c:pt idx="6">
                  <c:v>2007-2008</c:v>
                </c:pt>
                <c:pt idx="7">
                  <c:v>2008-2009</c:v>
                </c:pt>
                <c:pt idx="8">
                  <c:v>2009-2010</c:v>
                </c:pt>
                <c:pt idx="9">
                  <c:v>2010-2011</c:v>
                </c:pt>
                <c:pt idx="10">
                  <c:v>2011-2012</c:v>
                </c:pt>
                <c:pt idx="11">
                  <c:v>2012-2013</c:v>
                </c:pt>
                <c:pt idx="12">
                  <c:v>2013-2014</c:v>
                </c:pt>
                <c:pt idx="13">
                  <c:v>2014-2015</c:v>
                </c:pt>
                <c:pt idx="14">
                  <c:v>2015-2016</c:v>
                </c:pt>
              </c:strCache>
            </c:strRef>
          </c:cat>
          <c:val>
            <c:numRef>
              <c:f>'Number of Online Courses'!$E$5:$E$19</c:f>
              <c:numCache>
                <c:formatCode>General</c:formatCode>
                <c:ptCount val="15"/>
                <c:pt idx="0">
                  <c:v>6</c:v>
                </c:pt>
                <c:pt idx="1">
                  <c:v>10</c:v>
                </c:pt>
                <c:pt idx="2">
                  <c:v>10</c:v>
                </c:pt>
                <c:pt idx="3">
                  <c:v>14</c:v>
                </c:pt>
                <c:pt idx="4">
                  <c:v>17</c:v>
                </c:pt>
                <c:pt idx="5">
                  <c:v>18</c:v>
                </c:pt>
                <c:pt idx="6">
                  <c:v>29</c:v>
                </c:pt>
                <c:pt idx="7">
                  <c:v>36</c:v>
                </c:pt>
                <c:pt idx="8">
                  <c:v>50</c:v>
                </c:pt>
                <c:pt idx="9">
                  <c:v>57</c:v>
                </c:pt>
                <c:pt idx="10">
                  <c:v>62</c:v>
                </c:pt>
                <c:pt idx="11">
                  <c:v>56</c:v>
                </c:pt>
                <c:pt idx="12">
                  <c:v>57</c:v>
                </c:pt>
                <c:pt idx="13">
                  <c:v>55</c:v>
                </c:pt>
                <c:pt idx="14">
                  <c:v>57</c:v>
                </c:pt>
              </c:numCache>
            </c:numRef>
          </c:val>
        </c:ser>
        <c:ser>
          <c:idx val="2"/>
          <c:order val="2"/>
          <c:tx>
            <c:strRef>
              <c:f>'Number of Online Courses'!$F$4</c:f>
              <c:strCache>
                <c:ptCount val="1"/>
                <c:pt idx="0">
                  <c:v>Summer</c:v>
                </c:pt>
              </c:strCache>
            </c:strRef>
          </c:tx>
          <c:spPr>
            <a:solidFill>
              <a:schemeClr val="accent1"/>
            </a:solidFill>
            <a:ln w="12700">
              <a:solidFill>
                <a:srgbClr val="000000"/>
              </a:solidFill>
              <a:prstDash val="solid"/>
            </a:ln>
          </c:spPr>
          <c:invertIfNegative val="0"/>
          <c:dLbls>
            <c:spPr>
              <a:noFill/>
              <a:ln w="25400">
                <a:noFill/>
              </a:ln>
            </c:spPr>
            <c:txPr>
              <a:bodyPr/>
              <a:lstStyle/>
              <a:p>
                <a:pPr>
                  <a:defRPr sz="7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'Number of Online Courses'!$C$5:$C$19</c:f>
              <c:strCache>
                <c:ptCount val="15"/>
                <c:pt idx="0">
                  <c:v>2001-2002</c:v>
                </c:pt>
                <c:pt idx="1">
                  <c:v>2002-2003</c:v>
                </c:pt>
                <c:pt idx="2">
                  <c:v>2003-2004</c:v>
                </c:pt>
                <c:pt idx="3">
                  <c:v>2004-2005</c:v>
                </c:pt>
                <c:pt idx="4">
                  <c:v>2005-2006</c:v>
                </c:pt>
                <c:pt idx="5">
                  <c:v>2006-2007</c:v>
                </c:pt>
                <c:pt idx="6">
                  <c:v>2007-2008</c:v>
                </c:pt>
                <c:pt idx="7">
                  <c:v>2008-2009</c:v>
                </c:pt>
                <c:pt idx="8">
                  <c:v>2009-2010</c:v>
                </c:pt>
                <c:pt idx="9">
                  <c:v>2010-2011</c:v>
                </c:pt>
                <c:pt idx="10">
                  <c:v>2011-2012</c:v>
                </c:pt>
                <c:pt idx="11">
                  <c:v>2012-2013</c:v>
                </c:pt>
                <c:pt idx="12">
                  <c:v>2013-2014</c:v>
                </c:pt>
                <c:pt idx="13">
                  <c:v>2014-2015</c:v>
                </c:pt>
                <c:pt idx="14">
                  <c:v>2015-2016</c:v>
                </c:pt>
              </c:strCache>
            </c:strRef>
          </c:cat>
          <c:val>
            <c:numRef>
              <c:f>'Number of Online Courses'!$F$5:$F$19</c:f>
              <c:numCache>
                <c:formatCode>General</c:formatCode>
                <c:ptCount val="15"/>
                <c:pt idx="0">
                  <c:v>4</c:v>
                </c:pt>
                <c:pt idx="1">
                  <c:v>12</c:v>
                </c:pt>
                <c:pt idx="2">
                  <c:v>16</c:v>
                </c:pt>
                <c:pt idx="3">
                  <c:v>22</c:v>
                </c:pt>
                <c:pt idx="4">
                  <c:v>21</c:v>
                </c:pt>
                <c:pt idx="5">
                  <c:v>27</c:v>
                </c:pt>
                <c:pt idx="6">
                  <c:v>31</c:v>
                </c:pt>
                <c:pt idx="7">
                  <c:v>55</c:v>
                </c:pt>
                <c:pt idx="8">
                  <c:v>67</c:v>
                </c:pt>
                <c:pt idx="9">
                  <c:v>76</c:v>
                </c:pt>
                <c:pt idx="10">
                  <c:v>105</c:v>
                </c:pt>
                <c:pt idx="11">
                  <c:v>102</c:v>
                </c:pt>
                <c:pt idx="12">
                  <c:v>106</c:v>
                </c:pt>
                <c:pt idx="13">
                  <c:v>118</c:v>
                </c:pt>
                <c:pt idx="14">
                  <c:v>108</c:v>
                </c:pt>
              </c:numCache>
            </c:numRef>
          </c:val>
        </c:ser>
        <c:dLbls>
          <c:showLegendKey val="0"/>
          <c:showVal val="0"/>
          <c:showCatName val="0"/>
          <c:showSerName val="0"/>
          <c:showPercent val="0"/>
          <c:showBubbleSize val="0"/>
        </c:dLbls>
        <c:gapWidth val="150"/>
        <c:axId val="721358472"/>
        <c:axId val="721353768"/>
      </c:barChart>
      <c:catAx>
        <c:axId val="7213584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Academic Year</a:t>
                </a:r>
              </a:p>
            </c:rich>
          </c:tx>
          <c:layout>
            <c:manualLayout>
              <c:xMode val="edge"/>
              <c:yMode val="edge"/>
              <c:x val="0.44539284978456395"/>
              <c:y val="0.8020148320386167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Arial"/>
                <a:ea typeface="Arial"/>
                <a:cs typeface="Arial"/>
              </a:defRPr>
            </a:pPr>
            <a:endParaRPr lang="en-US"/>
          </a:p>
        </c:txPr>
        <c:crossAx val="721353768"/>
        <c:crosses val="autoZero"/>
        <c:auto val="1"/>
        <c:lblAlgn val="ctr"/>
        <c:lblOffset val="100"/>
        <c:tickLblSkip val="1"/>
        <c:tickMarkSkip val="1"/>
        <c:noMultiLvlLbl val="0"/>
      </c:catAx>
      <c:valAx>
        <c:axId val="7213537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1358472"/>
        <c:crosses val="autoZero"/>
        <c:crossBetween val="between"/>
      </c:valAx>
      <c:spPr>
        <a:solidFill>
          <a:srgbClr val="FFFFFF"/>
        </a:solidFill>
        <a:ln w="12700">
          <a:solidFill>
            <a:srgbClr val="808080"/>
          </a:solidFill>
          <a:prstDash val="solid"/>
        </a:ln>
      </c:spPr>
    </c:plotArea>
    <c:legend>
      <c:legendPos val="b"/>
      <c:layout>
        <c:manualLayout>
          <c:xMode val="edge"/>
          <c:yMode val="edge"/>
          <c:x val="0.40102424910196832"/>
          <c:y val="0.92282020116612962"/>
          <c:w val="0.22866912113801469"/>
          <c:h val="6.7114093959732418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Number of Online Courses Offered by Academic Year</a:t>
            </a:r>
          </a:p>
        </c:rich>
      </c:tx>
      <c:layout>
        <c:manualLayout>
          <c:xMode val="edge"/>
          <c:yMode val="edge"/>
          <c:x val="0.21124361158432892"/>
          <c:y val="3.3639143730886847E-2"/>
        </c:manualLayout>
      </c:layout>
      <c:overlay val="0"/>
      <c:spPr>
        <a:noFill/>
        <a:ln w="25400">
          <a:noFill/>
        </a:ln>
      </c:spPr>
    </c:title>
    <c:autoTitleDeleted val="0"/>
    <c:plotArea>
      <c:layout>
        <c:manualLayout>
          <c:layoutTarget val="inner"/>
          <c:xMode val="edge"/>
          <c:yMode val="edge"/>
          <c:x val="8.3475298126065245E-2"/>
          <c:y val="0.18654489961086826"/>
          <c:w val="0.8926746166950662"/>
          <c:h val="0.62079696100009862"/>
        </c:manualLayout>
      </c:layout>
      <c:barChart>
        <c:barDir val="col"/>
        <c:grouping val="clustered"/>
        <c:varyColors val="0"/>
        <c:ser>
          <c:idx val="0"/>
          <c:order val="0"/>
          <c:tx>
            <c:strRef>
              <c:f>'Number of Online Courses'!$G$4</c:f>
              <c:strCache>
                <c:ptCount val="1"/>
                <c:pt idx="0">
                  <c:v>Totals</c:v>
                </c:pt>
              </c:strCache>
            </c:strRef>
          </c:tx>
          <c:spPr>
            <a:solidFill>
              <a:srgbClr val="C0C0C0"/>
            </a:solidFill>
            <a:ln w="12700">
              <a:solidFill>
                <a:srgbClr val="000000"/>
              </a:solidFill>
              <a:prstDash val="solid"/>
            </a:ln>
          </c:spPr>
          <c:invertIfNegative val="0"/>
          <c:dLbls>
            <c:spPr>
              <a:noFill/>
              <a:ln w="25400">
                <a:noFill/>
              </a:ln>
            </c:spPr>
            <c:txPr>
              <a:bodyPr/>
              <a:lstStyle/>
              <a:p>
                <a:pPr>
                  <a:defRPr sz="8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'Number of Online Courses'!$C$5:$C$19</c:f>
              <c:strCache>
                <c:ptCount val="15"/>
                <c:pt idx="0">
                  <c:v>2001-2002</c:v>
                </c:pt>
                <c:pt idx="1">
                  <c:v>2002-2003</c:v>
                </c:pt>
                <c:pt idx="2">
                  <c:v>2003-2004</c:v>
                </c:pt>
                <c:pt idx="3">
                  <c:v>2004-2005</c:v>
                </c:pt>
                <c:pt idx="4">
                  <c:v>2005-2006</c:v>
                </c:pt>
                <c:pt idx="5">
                  <c:v>2006-2007</c:v>
                </c:pt>
                <c:pt idx="6">
                  <c:v>2007-2008</c:v>
                </c:pt>
                <c:pt idx="7">
                  <c:v>2008-2009</c:v>
                </c:pt>
                <c:pt idx="8">
                  <c:v>2009-2010</c:v>
                </c:pt>
                <c:pt idx="9">
                  <c:v>2010-2011</c:v>
                </c:pt>
                <c:pt idx="10">
                  <c:v>2011-2012</c:v>
                </c:pt>
                <c:pt idx="11">
                  <c:v>2012-2013</c:v>
                </c:pt>
                <c:pt idx="12">
                  <c:v>2013-2014</c:v>
                </c:pt>
                <c:pt idx="13">
                  <c:v>2014-2015</c:v>
                </c:pt>
                <c:pt idx="14">
                  <c:v>2015-2016</c:v>
                </c:pt>
              </c:strCache>
            </c:strRef>
          </c:cat>
          <c:val>
            <c:numRef>
              <c:f>'Number of Online Courses'!$G$5:$G$19</c:f>
              <c:numCache>
                <c:formatCode>_(* #,##0_);_(* \(#,##0\);_(* "-"??_);_(@_)</c:formatCode>
                <c:ptCount val="15"/>
                <c:pt idx="0">
                  <c:v>14</c:v>
                </c:pt>
                <c:pt idx="1">
                  <c:v>29</c:v>
                </c:pt>
                <c:pt idx="2">
                  <c:v>37</c:v>
                </c:pt>
                <c:pt idx="3">
                  <c:v>49</c:v>
                </c:pt>
                <c:pt idx="4">
                  <c:v>55</c:v>
                </c:pt>
                <c:pt idx="5">
                  <c:v>66</c:v>
                </c:pt>
                <c:pt idx="6">
                  <c:v>83</c:v>
                </c:pt>
                <c:pt idx="7">
                  <c:v>121</c:v>
                </c:pt>
                <c:pt idx="8">
                  <c:v>152</c:v>
                </c:pt>
                <c:pt idx="9">
                  <c:v>173</c:v>
                </c:pt>
                <c:pt idx="10">
                  <c:v>212</c:v>
                </c:pt>
                <c:pt idx="11">
                  <c:v>201</c:v>
                </c:pt>
                <c:pt idx="12">
                  <c:v>221</c:v>
                </c:pt>
                <c:pt idx="13">
                  <c:v>221</c:v>
                </c:pt>
                <c:pt idx="14">
                  <c:v>216</c:v>
                </c:pt>
              </c:numCache>
            </c:numRef>
          </c:val>
        </c:ser>
        <c:dLbls>
          <c:showLegendKey val="0"/>
          <c:showVal val="0"/>
          <c:showCatName val="0"/>
          <c:showSerName val="0"/>
          <c:showPercent val="0"/>
          <c:showBubbleSize val="0"/>
        </c:dLbls>
        <c:gapWidth val="150"/>
        <c:axId val="721354160"/>
        <c:axId val="721357296"/>
      </c:barChart>
      <c:catAx>
        <c:axId val="7213541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Academic Year</a:t>
                </a:r>
              </a:p>
            </c:rich>
          </c:tx>
          <c:layout>
            <c:manualLayout>
              <c:xMode val="edge"/>
              <c:yMode val="edge"/>
              <c:x val="0.45655877342419082"/>
              <c:y val="0.889910825367012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Arial"/>
                <a:ea typeface="Arial"/>
                <a:cs typeface="Arial"/>
              </a:defRPr>
            </a:pPr>
            <a:endParaRPr lang="en-US"/>
          </a:p>
        </c:txPr>
        <c:crossAx val="721357296"/>
        <c:crosses val="autoZero"/>
        <c:auto val="1"/>
        <c:lblAlgn val="ctr"/>
        <c:lblOffset val="100"/>
        <c:tickLblSkip val="1"/>
        <c:tickMarkSkip val="1"/>
        <c:noMultiLvlLbl val="0"/>
      </c:catAx>
      <c:valAx>
        <c:axId val="721357296"/>
        <c:scaling>
          <c:orientation val="minMax"/>
        </c:scaling>
        <c:delete val="0"/>
        <c:axPos val="l"/>
        <c:majorGridlines>
          <c:spPr>
            <a:ln w="3175">
              <a:solidFill>
                <a:srgbClr val="000000"/>
              </a:solidFill>
              <a:prstDash val="solid"/>
            </a:ln>
          </c:spPr>
        </c:majorGridlines>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135416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US"/>
              <a:t>Average Age History (Fall) - All Students</a:t>
            </a:r>
          </a:p>
        </c:rich>
      </c:tx>
      <c:layout>
        <c:manualLayout>
          <c:xMode val="edge"/>
          <c:yMode val="edge"/>
          <c:x val="0.21428594863142292"/>
          <c:y val="4.2016806722689079E-2"/>
        </c:manualLayout>
      </c:layout>
      <c:overlay val="0"/>
      <c:spPr>
        <a:noFill/>
        <a:ln w="25400">
          <a:noFill/>
        </a:ln>
      </c:spPr>
    </c:title>
    <c:autoTitleDeleted val="0"/>
    <c:plotArea>
      <c:layout>
        <c:manualLayout>
          <c:layoutTarget val="inner"/>
          <c:xMode val="edge"/>
          <c:yMode val="edge"/>
          <c:x val="0.10267868333945503"/>
          <c:y val="0.23949628967037051"/>
          <c:w val="0.86607237251540803"/>
          <c:h val="0.58823650094475666"/>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'Average Age'!$I$4:$K$4</c:f>
              <c:strCache>
                <c:ptCount val="3"/>
                <c:pt idx="0">
                  <c:v>Male</c:v>
                </c:pt>
                <c:pt idx="1">
                  <c:v>Female</c:v>
                </c:pt>
                <c:pt idx="2">
                  <c:v>All Students Average</c:v>
                </c:pt>
              </c:strCache>
            </c:strRef>
          </c:cat>
          <c:val>
            <c:numRef>
              <c:f>'Average Age'!$I$5:$K$5</c:f>
              <c:numCache>
                <c:formatCode>0.0%</c:formatCode>
                <c:ptCount val="3"/>
              </c:numCache>
            </c:numRef>
          </c:val>
        </c:ser>
        <c:ser>
          <c:idx val="1"/>
          <c:order val="1"/>
          <c:spPr>
            <a:pattFill prst="pct25">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'Average Age'!$I$4:$K$4</c:f>
              <c:strCache>
                <c:ptCount val="3"/>
                <c:pt idx="0">
                  <c:v>Male</c:v>
                </c:pt>
                <c:pt idx="1">
                  <c:v>Female</c:v>
                </c:pt>
                <c:pt idx="2">
                  <c:v>All Students Average</c:v>
                </c:pt>
              </c:strCache>
            </c:strRef>
          </c:cat>
          <c:val>
            <c:numRef>
              <c:f>'Average Age'!$I$6:$K$6</c:f>
              <c:numCache>
                <c:formatCode>0.0</c:formatCode>
                <c:ptCount val="3"/>
                <c:pt idx="0">
                  <c:v>21.7</c:v>
                </c:pt>
                <c:pt idx="1">
                  <c:v>21.7</c:v>
                </c:pt>
                <c:pt idx="2">
                  <c:v>21.7</c:v>
                </c:pt>
              </c:numCache>
            </c:numRef>
          </c:val>
        </c:ser>
        <c:ser>
          <c:idx val="2"/>
          <c:order val="2"/>
          <c:spPr>
            <a:solidFill>
              <a:srgbClr val="FFFFCC"/>
            </a:solidFill>
            <a:ln w="12700">
              <a:solidFill>
                <a:srgbClr val="000000"/>
              </a:solidFill>
              <a:prstDash val="solid"/>
            </a:ln>
          </c:spPr>
          <c:invertIfNegative val="0"/>
          <c:cat>
            <c:strRef>
              <c:f>'Average Age'!$I$4:$K$4</c:f>
              <c:strCache>
                <c:ptCount val="3"/>
                <c:pt idx="0">
                  <c:v>Male</c:v>
                </c:pt>
                <c:pt idx="1">
                  <c:v>Female</c:v>
                </c:pt>
                <c:pt idx="2">
                  <c:v>All Students Average</c:v>
                </c:pt>
              </c:strCache>
            </c:strRef>
          </c:cat>
          <c:val>
            <c:numRef>
              <c:f>'Average Age'!$I$7:$K$7</c:f>
              <c:numCache>
                <c:formatCode>0.0%</c:formatCode>
                <c:ptCount val="3"/>
              </c:numCache>
            </c:numRef>
          </c:val>
        </c:ser>
        <c:ser>
          <c:idx val="3"/>
          <c:order val="3"/>
          <c:spPr>
            <a:pattFill prst="wdUpDiag">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'Average Age'!$I$4:$K$4</c:f>
              <c:strCache>
                <c:ptCount val="3"/>
                <c:pt idx="0">
                  <c:v>Male</c:v>
                </c:pt>
                <c:pt idx="1">
                  <c:v>Female</c:v>
                </c:pt>
                <c:pt idx="2">
                  <c:v>All Students Average</c:v>
                </c:pt>
              </c:strCache>
            </c:strRef>
          </c:cat>
          <c:val>
            <c:numRef>
              <c:f>'Average Age'!$I$8:$K$8</c:f>
              <c:numCache>
                <c:formatCode>0.0</c:formatCode>
                <c:ptCount val="3"/>
                <c:pt idx="0">
                  <c:v>22</c:v>
                </c:pt>
                <c:pt idx="1">
                  <c:v>21.9</c:v>
                </c:pt>
                <c:pt idx="2">
                  <c:v>22</c:v>
                </c:pt>
              </c:numCache>
            </c:numRef>
          </c:val>
        </c:ser>
        <c:ser>
          <c:idx val="4"/>
          <c:order val="4"/>
          <c:spPr>
            <a:solidFill>
              <a:srgbClr val="660066"/>
            </a:solidFill>
            <a:ln w="12700">
              <a:solidFill>
                <a:srgbClr val="000000"/>
              </a:solidFill>
              <a:prstDash val="solid"/>
            </a:ln>
          </c:spPr>
          <c:invertIfNegative val="0"/>
          <c:cat>
            <c:strRef>
              <c:f>'Average Age'!$I$4:$K$4</c:f>
              <c:strCache>
                <c:ptCount val="3"/>
                <c:pt idx="0">
                  <c:v>Male</c:v>
                </c:pt>
                <c:pt idx="1">
                  <c:v>Female</c:v>
                </c:pt>
                <c:pt idx="2">
                  <c:v>All Students Average</c:v>
                </c:pt>
              </c:strCache>
            </c:strRef>
          </c:cat>
          <c:val>
            <c:numRef>
              <c:f>'Average Age'!$I$9:$K$9</c:f>
              <c:numCache>
                <c:formatCode>0.0%</c:formatCode>
                <c:ptCount val="3"/>
              </c:numCache>
            </c:numRef>
          </c:val>
        </c:ser>
        <c:ser>
          <c:idx val="5"/>
          <c:order val="5"/>
          <c:spPr>
            <a:solidFill>
              <a:srgbClr val="C0C0C0"/>
            </a:solid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'Average Age'!$I$4:$K$4</c:f>
              <c:strCache>
                <c:ptCount val="3"/>
                <c:pt idx="0">
                  <c:v>Male</c:v>
                </c:pt>
                <c:pt idx="1">
                  <c:v>Female</c:v>
                </c:pt>
                <c:pt idx="2">
                  <c:v>All Students Average</c:v>
                </c:pt>
              </c:strCache>
            </c:strRef>
          </c:cat>
          <c:val>
            <c:numRef>
              <c:f>'Average Age'!$I$10:$K$10</c:f>
              <c:numCache>
                <c:formatCode>0.0</c:formatCode>
                <c:ptCount val="3"/>
                <c:pt idx="0">
                  <c:v>21.9</c:v>
                </c:pt>
                <c:pt idx="1">
                  <c:v>21.8</c:v>
                </c:pt>
                <c:pt idx="2">
                  <c:v>21.8</c:v>
                </c:pt>
              </c:numCache>
            </c:numRef>
          </c:val>
        </c:ser>
        <c:ser>
          <c:idx val="6"/>
          <c:order val="6"/>
          <c:spPr>
            <a:solidFill>
              <a:srgbClr val="0066CC"/>
            </a:solidFill>
            <a:ln w="12700">
              <a:solidFill>
                <a:srgbClr val="000000"/>
              </a:solidFill>
              <a:prstDash val="solid"/>
            </a:ln>
          </c:spPr>
          <c:invertIfNegative val="0"/>
          <c:cat>
            <c:strRef>
              <c:f>'Average Age'!$I$4:$K$4</c:f>
              <c:strCache>
                <c:ptCount val="3"/>
                <c:pt idx="0">
                  <c:v>Male</c:v>
                </c:pt>
                <c:pt idx="1">
                  <c:v>Female</c:v>
                </c:pt>
                <c:pt idx="2">
                  <c:v>All Students Average</c:v>
                </c:pt>
              </c:strCache>
            </c:strRef>
          </c:cat>
          <c:val>
            <c:numRef>
              <c:f>'Average Age'!$I$11:$K$11</c:f>
              <c:numCache>
                <c:formatCode>0.0%</c:formatCode>
                <c:ptCount val="3"/>
              </c:numCache>
            </c:numRef>
          </c:val>
        </c:ser>
        <c:ser>
          <c:idx val="7"/>
          <c:order val="7"/>
          <c:spPr>
            <a:solidFill>
              <a:schemeClr val="accent1">
                <a:lumMod val="60000"/>
                <a:lumOff val="40000"/>
              </a:schemeClr>
            </a:solid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'Average Age'!$I$4:$K$4</c:f>
              <c:strCache>
                <c:ptCount val="3"/>
                <c:pt idx="0">
                  <c:v>Male</c:v>
                </c:pt>
                <c:pt idx="1">
                  <c:v>Female</c:v>
                </c:pt>
                <c:pt idx="2">
                  <c:v>All Students Average</c:v>
                </c:pt>
              </c:strCache>
            </c:strRef>
          </c:cat>
          <c:val>
            <c:numRef>
              <c:f>'Average Age'!$I$12:$K$12</c:f>
              <c:numCache>
                <c:formatCode>0.0</c:formatCode>
                <c:ptCount val="3"/>
                <c:pt idx="0">
                  <c:v>22</c:v>
                </c:pt>
                <c:pt idx="1">
                  <c:v>21.9</c:v>
                </c:pt>
                <c:pt idx="2">
                  <c:v>22</c:v>
                </c:pt>
              </c:numCache>
            </c:numRef>
          </c:val>
        </c:ser>
        <c:ser>
          <c:idx val="8"/>
          <c:order val="8"/>
          <c:spPr>
            <a:solidFill>
              <a:srgbClr val="000080"/>
            </a:solidFill>
            <a:ln w="12700">
              <a:solidFill>
                <a:srgbClr val="000000"/>
              </a:solidFill>
              <a:prstDash val="solid"/>
            </a:ln>
          </c:spPr>
          <c:invertIfNegative val="0"/>
          <c:cat>
            <c:strRef>
              <c:f>'Average Age'!$I$4:$K$4</c:f>
              <c:strCache>
                <c:ptCount val="3"/>
                <c:pt idx="0">
                  <c:v>Male</c:v>
                </c:pt>
                <c:pt idx="1">
                  <c:v>Female</c:v>
                </c:pt>
                <c:pt idx="2">
                  <c:v>All Students Average</c:v>
                </c:pt>
              </c:strCache>
            </c:strRef>
          </c:cat>
          <c:val>
            <c:numRef>
              <c:f>'Average Age'!$I$13:$K$13</c:f>
              <c:numCache>
                <c:formatCode>0.0%</c:formatCode>
                <c:ptCount val="3"/>
              </c:numCache>
            </c:numRef>
          </c:val>
        </c:ser>
        <c:ser>
          <c:idx val="9"/>
          <c:order val="9"/>
          <c:spPr>
            <a:pattFill prst="wdDnDiag">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'Average Age'!$I$4:$K$4</c:f>
              <c:strCache>
                <c:ptCount val="3"/>
                <c:pt idx="0">
                  <c:v>Male</c:v>
                </c:pt>
                <c:pt idx="1">
                  <c:v>Female</c:v>
                </c:pt>
                <c:pt idx="2">
                  <c:v>All Students Average</c:v>
                </c:pt>
              </c:strCache>
            </c:strRef>
          </c:cat>
          <c:val>
            <c:numRef>
              <c:f>'Average Age'!$I$14:$K$14</c:f>
              <c:numCache>
                <c:formatCode>0.0</c:formatCode>
                <c:ptCount val="3"/>
                <c:pt idx="0">
                  <c:v>22</c:v>
                </c:pt>
                <c:pt idx="1">
                  <c:v>21.4</c:v>
                </c:pt>
                <c:pt idx="2">
                  <c:v>21.6</c:v>
                </c:pt>
              </c:numCache>
            </c:numRef>
          </c:val>
        </c:ser>
        <c:dLbls>
          <c:showLegendKey val="0"/>
          <c:showVal val="0"/>
          <c:showCatName val="0"/>
          <c:showSerName val="0"/>
          <c:showPercent val="0"/>
          <c:showBubbleSize val="0"/>
        </c:dLbls>
        <c:gapWidth val="0"/>
        <c:overlap val="40"/>
        <c:axId val="721358080"/>
        <c:axId val="721351024"/>
      </c:barChart>
      <c:catAx>
        <c:axId val="72135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1351024"/>
        <c:crosses val="autoZero"/>
        <c:auto val="1"/>
        <c:lblAlgn val="ctr"/>
        <c:lblOffset val="100"/>
        <c:tickLblSkip val="1"/>
        <c:tickMarkSkip val="1"/>
        <c:noMultiLvlLbl val="0"/>
      </c:catAx>
      <c:valAx>
        <c:axId val="721351024"/>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135808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Average Age History (Spring) - All Students</a:t>
            </a:r>
          </a:p>
        </c:rich>
      </c:tx>
      <c:layout>
        <c:manualLayout>
          <c:xMode val="edge"/>
          <c:yMode val="edge"/>
          <c:x val="0.19419666291713536"/>
          <c:y val="4.2016806722689079E-2"/>
        </c:manualLayout>
      </c:layout>
      <c:overlay val="0"/>
      <c:spPr>
        <a:noFill/>
        <a:ln w="25400">
          <a:noFill/>
        </a:ln>
      </c:spPr>
    </c:title>
    <c:autoTitleDeleted val="0"/>
    <c:plotArea>
      <c:layout>
        <c:manualLayout>
          <c:layoutTarget val="inner"/>
          <c:xMode val="edge"/>
          <c:yMode val="edge"/>
          <c:x val="0.10267868333945503"/>
          <c:y val="0.23949628967037051"/>
          <c:w val="0.86607237251540803"/>
          <c:h val="0.58823650094475666"/>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'Average Age'!$I$20:$K$20</c:f>
              <c:strCache>
                <c:ptCount val="3"/>
                <c:pt idx="0">
                  <c:v>Male</c:v>
                </c:pt>
                <c:pt idx="1">
                  <c:v>Female</c:v>
                </c:pt>
                <c:pt idx="2">
                  <c:v>All Students Average</c:v>
                </c:pt>
              </c:strCache>
            </c:strRef>
          </c:cat>
          <c:val>
            <c:numRef>
              <c:f>'Average Age'!$I$21:$K$21</c:f>
              <c:numCache>
                <c:formatCode>0.0%</c:formatCode>
                <c:ptCount val="3"/>
              </c:numCache>
            </c:numRef>
          </c:val>
        </c:ser>
        <c:ser>
          <c:idx val="1"/>
          <c:order val="1"/>
          <c:spPr>
            <a:pattFill prst="pct25">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'Average Age'!$I$20:$K$20</c:f>
              <c:strCache>
                <c:ptCount val="3"/>
                <c:pt idx="0">
                  <c:v>Male</c:v>
                </c:pt>
                <c:pt idx="1">
                  <c:v>Female</c:v>
                </c:pt>
                <c:pt idx="2">
                  <c:v>All Students Average</c:v>
                </c:pt>
              </c:strCache>
            </c:strRef>
          </c:cat>
          <c:val>
            <c:numRef>
              <c:f>'Average Age'!$I$22:$K$22</c:f>
              <c:numCache>
                <c:formatCode>0.0</c:formatCode>
                <c:ptCount val="3"/>
                <c:pt idx="0">
                  <c:v>22.3</c:v>
                </c:pt>
                <c:pt idx="1">
                  <c:v>22.4</c:v>
                </c:pt>
                <c:pt idx="2">
                  <c:v>22.4</c:v>
                </c:pt>
              </c:numCache>
            </c:numRef>
          </c:val>
        </c:ser>
        <c:ser>
          <c:idx val="2"/>
          <c:order val="2"/>
          <c:spPr>
            <a:solidFill>
              <a:srgbClr val="FFFFCC"/>
            </a:solidFill>
            <a:ln w="12700">
              <a:solidFill>
                <a:srgbClr val="000000"/>
              </a:solidFill>
              <a:prstDash val="solid"/>
            </a:ln>
          </c:spPr>
          <c:invertIfNegative val="0"/>
          <c:cat>
            <c:strRef>
              <c:f>'Average Age'!$I$20:$K$20</c:f>
              <c:strCache>
                <c:ptCount val="3"/>
                <c:pt idx="0">
                  <c:v>Male</c:v>
                </c:pt>
                <c:pt idx="1">
                  <c:v>Female</c:v>
                </c:pt>
                <c:pt idx="2">
                  <c:v>All Students Average</c:v>
                </c:pt>
              </c:strCache>
            </c:strRef>
          </c:cat>
          <c:val>
            <c:numRef>
              <c:f>'Average Age'!$I$23:$K$23</c:f>
              <c:numCache>
                <c:formatCode>0.0%</c:formatCode>
                <c:ptCount val="3"/>
              </c:numCache>
            </c:numRef>
          </c:val>
        </c:ser>
        <c:ser>
          <c:idx val="3"/>
          <c:order val="3"/>
          <c:spPr>
            <a:pattFill prst="wdUpDiag">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'Average Age'!$I$20:$K$20</c:f>
              <c:strCache>
                <c:ptCount val="3"/>
                <c:pt idx="0">
                  <c:v>Male</c:v>
                </c:pt>
                <c:pt idx="1">
                  <c:v>Female</c:v>
                </c:pt>
                <c:pt idx="2">
                  <c:v>All Students Average</c:v>
                </c:pt>
              </c:strCache>
            </c:strRef>
          </c:cat>
          <c:val>
            <c:numRef>
              <c:f>'Average Age'!$I$24:$K$24</c:f>
              <c:numCache>
                <c:formatCode>0.0</c:formatCode>
                <c:ptCount val="3"/>
                <c:pt idx="0">
                  <c:v>22.4</c:v>
                </c:pt>
                <c:pt idx="1">
                  <c:v>22.4</c:v>
                </c:pt>
                <c:pt idx="2">
                  <c:v>22.4</c:v>
                </c:pt>
              </c:numCache>
            </c:numRef>
          </c:val>
        </c:ser>
        <c:ser>
          <c:idx val="4"/>
          <c:order val="4"/>
          <c:spPr>
            <a:solidFill>
              <a:srgbClr val="660066"/>
            </a:solidFill>
            <a:ln w="12700">
              <a:solidFill>
                <a:srgbClr val="000000"/>
              </a:solidFill>
              <a:prstDash val="solid"/>
            </a:ln>
          </c:spPr>
          <c:invertIfNegative val="0"/>
          <c:cat>
            <c:strRef>
              <c:f>'Average Age'!$I$20:$K$20</c:f>
              <c:strCache>
                <c:ptCount val="3"/>
                <c:pt idx="0">
                  <c:v>Male</c:v>
                </c:pt>
                <c:pt idx="1">
                  <c:v>Female</c:v>
                </c:pt>
                <c:pt idx="2">
                  <c:v>All Students Average</c:v>
                </c:pt>
              </c:strCache>
            </c:strRef>
          </c:cat>
          <c:val>
            <c:numRef>
              <c:f>'Average Age'!$I$25:$K$25</c:f>
              <c:numCache>
                <c:formatCode>0.0%</c:formatCode>
                <c:ptCount val="3"/>
              </c:numCache>
            </c:numRef>
          </c:val>
        </c:ser>
        <c:ser>
          <c:idx val="5"/>
          <c:order val="5"/>
          <c:spPr>
            <a:solidFill>
              <a:srgbClr val="C0C0C0"/>
            </a:solid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'Average Age'!$I$20:$K$20</c:f>
              <c:strCache>
                <c:ptCount val="3"/>
                <c:pt idx="0">
                  <c:v>Male</c:v>
                </c:pt>
                <c:pt idx="1">
                  <c:v>Female</c:v>
                </c:pt>
                <c:pt idx="2">
                  <c:v>All Students Average</c:v>
                </c:pt>
              </c:strCache>
            </c:strRef>
          </c:cat>
          <c:val>
            <c:numRef>
              <c:f>'Average Age'!$I$26:$K$26</c:f>
              <c:numCache>
                <c:formatCode>0.0</c:formatCode>
                <c:ptCount val="3"/>
                <c:pt idx="0">
                  <c:v>22.5</c:v>
                </c:pt>
                <c:pt idx="1">
                  <c:v>22.6</c:v>
                </c:pt>
                <c:pt idx="2">
                  <c:v>22.6</c:v>
                </c:pt>
              </c:numCache>
            </c:numRef>
          </c:val>
        </c:ser>
        <c:ser>
          <c:idx val="6"/>
          <c:order val="6"/>
          <c:spPr>
            <a:solidFill>
              <a:srgbClr val="0066CC"/>
            </a:solidFill>
            <a:ln w="12700">
              <a:solidFill>
                <a:srgbClr val="000000"/>
              </a:solidFill>
              <a:prstDash val="solid"/>
            </a:ln>
          </c:spPr>
          <c:invertIfNegative val="0"/>
          <c:cat>
            <c:strRef>
              <c:f>'Average Age'!$I$20:$K$20</c:f>
              <c:strCache>
                <c:ptCount val="3"/>
                <c:pt idx="0">
                  <c:v>Male</c:v>
                </c:pt>
                <c:pt idx="1">
                  <c:v>Female</c:v>
                </c:pt>
                <c:pt idx="2">
                  <c:v>All Students Average</c:v>
                </c:pt>
              </c:strCache>
            </c:strRef>
          </c:cat>
          <c:val>
            <c:numRef>
              <c:f>'Average Age'!$I$27:$K$27</c:f>
              <c:numCache>
                <c:formatCode>0.0%</c:formatCode>
                <c:ptCount val="3"/>
              </c:numCache>
            </c:numRef>
          </c:val>
        </c:ser>
        <c:ser>
          <c:idx val="7"/>
          <c:order val="7"/>
          <c:spPr>
            <a:solidFill>
              <a:schemeClr val="accent1">
                <a:lumMod val="60000"/>
                <a:lumOff val="40000"/>
              </a:schemeClr>
            </a:solid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'Average Age'!$I$20:$K$20</c:f>
              <c:strCache>
                <c:ptCount val="3"/>
                <c:pt idx="0">
                  <c:v>Male</c:v>
                </c:pt>
                <c:pt idx="1">
                  <c:v>Female</c:v>
                </c:pt>
                <c:pt idx="2">
                  <c:v>All Students Average</c:v>
                </c:pt>
              </c:strCache>
            </c:strRef>
          </c:cat>
          <c:val>
            <c:numRef>
              <c:f>'Average Age'!$I$28:$K$28</c:f>
              <c:numCache>
                <c:formatCode>0.0</c:formatCode>
                <c:ptCount val="3"/>
                <c:pt idx="0">
                  <c:v>22.7</c:v>
                </c:pt>
                <c:pt idx="1">
                  <c:v>22.2</c:v>
                </c:pt>
                <c:pt idx="2">
                  <c:v>22.4</c:v>
                </c:pt>
              </c:numCache>
            </c:numRef>
          </c:val>
        </c:ser>
        <c:ser>
          <c:idx val="8"/>
          <c:order val="8"/>
          <c:spPr>
            <a:solidFill>
              <a:srgbClr val="000080"/>
            </a:solidFill>
            <a:ln w="12700">
              <a:solidFill>
                <a:srgbClr val="000000"/>
              </a:solidFill>
              <a:prstDash val="solid"/>
            </a:ln>
          </c:spPr>
          <c:invertIfNegative val="0"/>
          <c:cat>
            <c:strRef>
              <c:f>'Average Age'!$I$20:$K$20</c:f>
              <c:strCache>
                <c:ptCount val="3"/>
                <c:pt idx="0">
                  <c:v>Male</c:v>
                </c:pt>
                <c:pt idx="1">
                  <c:v>Female</c:v>
                </c:pt>
                <c:pt idx="2">
                  <c:v>All Students Average</c:v>
                </c:pt>
              </c:strCache>
            </c:strRef>
          </c:cat>
          <c:val>
            <c:numRef>
              <c:f>'Average Age'!$I$29:$K$29</c:f>
              <c:numCache>
                <c:formatCode>0.0%</c:formatCode>
                <c:ptCount val="3"/>
              </c:numCache>
            </c:numRef>
          </c:val>
        </c:ser>
        <c:ser>
          <c:idx val="9"/>
          <c:order val="9"/>
          <c:spPr>
            <a:pattFill prst="wdDnDiag">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'Average Age'!$I$20:$K$20</c:f>
              <c:strCache>
                <c:ptCount val="3"/>
                <c:pt idx="0">
                  <c:v>Male</c:v>
                </c:pt>
                <c:pt idx="1">
                  <c:v>Female</c:v>
                </c:pt>
                <c:pt idx="2">
                  <c:v>All Students Average</c:v>
                </c:pt>
              </c:strCache>
            </c:strRef>
          </c:cat>
          <c:val>
            <c:numRef>
              <c:f>'Average Age'!$I$30:$K$30</c:f>
              <c:numCache>
                <c:formatCode>0.0</c:formatCode>
                <c:ptCount val="3"/>
                <c:pt idx="0">
                  <c:v>22.3</c:v>
                </c:pt>
                <c:pt idx="1">
                  <c:v>21.8</c:v>
                </c:pt>
                <c:pt idx="2">
                  <c:v>22</c:v>
                </c:pt>
              </c:numCache>
            </c:numRef>
          </c:val>
        </c:ser>
        <c:dLbls>
          <c:showLegendKey val="0"/>
          <c:showVal val="0"/>
          <c:showCatName val="0"/>
          <c:showSerName val="0"/>
          <c:showPercent val="0"/>
          <c:showBubbleSize val="0"/>
        </c:dLbls>
        <c:gapWidth val="0"/>
        <c:overlap val="40"/>
        <c:axId val="721354552"/>
        <c:axId val="721355728"/>
      </c:barChart>
      <c:catAx>
        <c:axId val="721354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1355728"/>
        <c:crosses val="autoZero"/>
        <c:auto val="1"/>
        <c:lblAlgn val="ctr"/>
        <c:lblOffset val="100"/>
        <c:tickLblSkip val="1"/>
        <c:tickMarkSkip val="1"/>
        <c:noMultiLvlLbl val="0"/>
      </c:catAx>
      <c:valAx>
        <c:axId val="721355728"/>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1354552"/>
        <c:crosses val="autoZero"/>
        <c:crossBetween val="between"/>
        <c:minorUnit val="1"/>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Fall 2015 Enrollment by Age </a:t>
            </a:r>
          </a:p>
        </c:rich>
      </c:tx>
      <c:layout>
        <c:manualLayout>
          <c:xMode val="edge"/>
          <c:yMode val="edge"/>
          <c:x val="0.33814432989690935"/>
          <c:y val="1.7123287671232879E-2"/>
        </c:manualLayout>
      </c:layout>
      <c:overlay val="0"/>
      <c:spPr>
        <a:noFill/>
        <a:ln w="25400">
          <a:noFill/>
        </a:ln>
      </c:spPr>
    </c:title>
    <c:autoTitleDeleted val="0"/>
    <c:plotArea>
      <c:layout>
        <c:manualLayout>
          <c:layoutTarget val="inner"/>
          <c:xMode val="edge"/>
          <c:yMode val="edge"/>
          <c:x val="0.11546391752577315"/>
          <c:y val="0.11301388761151475"/>
          <c:w val="0.85567010309278768"/>
          <c:h val="0.66096000936431365"/>
        </c:manualLayout>
      </c:layout>
      <c:barChart>
        <c:barDir val="col"/>
        <c:grouping val="clustered"/>
        <c:varyColors val="0"/>
        <c:ser>
          <c:idx val="0"/>
          <c:order val="0"/>
          <c:tx>
            <c:strRef>
              <c:f>'Fall 2015 by Age and Gend'!$A$4:$A$14</c:f>
              <c:strCache>
                <c:ptCount val="11"/>
                <c:pt idx="0">
                  <c:v>Age Group</c:v>
                </c:pt>
                <c:pt idx="1">
                  <c:v> Under 18 </c:v>
                </c:pt>
                <c:pt idx="2">
                  <c:v> 18-19 </c:v>
                </c:pt>
                <c:pt idx="3">
                  <c:v> 20-21 </c:v>
                </c:pt>
                <c:pt idx="4">
                  <c:v> 22-24 </c:v>
                </c:pt>
                <c:pt idx="5">
                  <c:v> 25-29 </c:v>
                </c:pt>
                <c:pt idx="6">
                  <c:v> 30-34 </c:v>
                </c:pt>
                <c:pt idx="7">
                  <c:v> 35-39 </c:v>
                </c:pt>
                <c:pt idx="8">
                  <c:v> 40-49 </c:v>
                </c:pt>
                <c:pt idx="9">
                  <c:v> 50-64 </c:v>
                </c:pt>
                <c:pt idx="10">
                  <c:v> 65 and over </c:v>
                </c:pt>
              </c:strCache>
            </c:strRef>
          </c:tx>
          <c:spPr>
            <a:solidFill>
              <a:srgbClr val="C0C0C0"/>
            </a:solidFill>
            <a:ln w="12700">
              <a:solidFill>
                <a:srgbClr val="000000"/>
              </a:solidFill>
              <a:prstDash val="solid"/>
            </a:ln>
          </c:spPr>
          <c:invertIfNegative val="0"/>
          <c:dLbls>
            <c:spPr>
              <a:noFill/>
              <a:ln w="25400">
                <a:noFill/>
              </a:ln>
            </c:spPr>
            <c:txPr>
              <a:bodyPr/>
              <a:lstStyle/>
              <a:p>
                <a:pP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'Fall 2015 by Age and Gend'!$A$5:$A$14</c:f>
              <c:strCache>
                <c:ptCount val="10"/>
                <c:pt idx="0">
                  <c:v> Under 18 </c:v>
                </c:pt>
                <c:pt idx="1">
                  <c:v> 18-19 </c:v>
                </c:pt>
                <c:pt idx="2">
                  <c:v> 20-21 </c:v>
                </c:pt>
                <c:pt idx="3">
                  <c:v> 22-24 </c:v>
                </c:pt>
                <c:pt idx="4">
                  <c:v> 25-29 </c:v>
                </c:pt>
                <c:pt idx="5">
                  <c:v> 30-34 </c:v>
                </c:pt>
                <c:pt idx="6">
                  <c:v> 35-39 </c:v>
                </c:pt>
                <c:pt idx="7">
                  <c:v> 40-49 </c:v>
                </c:pt>
                <c:pt idx="8">
                  <c:v> 50-64 </c:v>
                </c:pt>
                <c:pt idx="9">
                  <c:v> 65 and over </c:v>
                </c:pt>
              </c:strCache>
            </c:strRef>
          </c:cat>
          <c:val>
            <c:numRef>
              <c:f>'Fall 2015 by Age and Gend'!$E$5:$E$14</c:f>
              <c:numCache>
                <c:formatCode>0%</c:formatCode>
                <c:ptCount val="10"/>
                <c:pt idx="0">
                  <c:v>5.9237319511292116E-3</c:v>
                </c:pt>
                <c:pt idx="1">
                  <c:v>0.29026286560533138</c:v>
                </c:pt>
                <c:pt idx="2">
                  <c:v>0.34209552017771194</c:v>
                </c:pt>
                <c:pt idx="3">
                  <c:v>0.28322843391336544</c:v>
                </c:pt>
                <c:pt idx="4">
                  <c:v>4.2576823398741206E-2</c:v>
                </c:pt>
                <c:pt idx="5">
                  <c:v>1.1847463902258423E-2</c:v>
                </c:pt>
                <c:pt idx="6">
                  <c:v>6.6641984450203631E-3</c:v>
                </c:pt>
                <c:pt idx="7">
                  <c:v>1.0736764161421697E-2</c:v>
                </c:pt>
                <c:pt idx="8">
                  <c:v>5.5534987041836355E-3</c:v>
                </c:pt>
                <c:pt idx="9">
                  <c:v>1.1106997408367272E-3</c:v>
                </c:pt>
              </c:numCache>
            </c:numRef>
          </c:val>
        </c:ser>
        <c:dLbls>
          <c:showLegendKey val="0"/>
          <c:showVal val="0"/>
          <c:showCatName val="0"/>
          <c:showSerName val="0"/>
          <c:showPercent val="0"/>
          <c:showBubbleSize val="0"/>
        </c:dLbls>
        <c:gapWidth val="150"/>
        <c:axId val="723116704"/>
        <c:axId val="723112000"/>
      </c:barChart>
      <c:catAx>
        <c:axId val="723116704"/>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n-US"/>
                  <a:t>Age Groups</a:t>
                </a:r>
              </a:p>
            </c:rich>
          </c:tx>
          <c:layout>
            <c:manualLayout>
              <c:xMode val="edge"/>
              <c:yMode val="edge"/>
              <c:x val="0.45567010309278388"/>
              <c:y val="0.910960342285981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723112000"/>
        <c:crosses val="autoZero"/>
        <c:auto val="1"/>
        <c:lblAlgn val="ctr"/>
        <c:lblOffset val="100"/>
        <c:tickLblSkip val="1"/>
        <c:tickMarkSkip val="1"/>
        <c:noMultiLvlLbl val="0"/>
      </c:catAx>
      <c:valAx>
        <c:axId val="723112000"/>
        <c:scaling>
          <c:orientation val="minMax"/>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n-US"/>
                  <a:t>Percentages</a:t>
                </a:r>
              </a:p>
            </c:rich>
          </c:tx>
          <c:layout>
            <c:manualLayout>
              <c:xMode val="edge"/>
              <c:yMode val="edge"/>
              <c:x val="1.0309278350515465E-2"/>
              <c:y val="0.3150688526947854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723116704"/>
        <c:crosses val="autoZero"/>
        <c:crossBetween val="between"/>
      </c:valAx>
      <c:spPr>
        <a:solidFill>
          <a:srgbClr val="FFFFFF"/>
        </a:solidFill>
        <a:ln w="12700">
          <a:solidFill>
            <a:srgbClr val="00000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African-American Student Enrollment</a:t>
            </a:r>
          </a:p>
        </c:rich>
      </c:tx>
      <c:layout>
        <c:manualLayout>
          <c:xMode val="edge"/>
          <c:yMode val="edge"/>
          <c:x val="0.30952430946131732"/>
          <c:y val="3.5294117647058851E-2"/>
        </c:manualLayout>
      </c:layout>
      <c:overlay val="0"/>
      <c:spPr>
        <a:noFill/>
        <a:ln w="25400">
          <a:noFill/>
        </a:ln>
      </c:spPr>
    </c:title>
    <c:autoTitleDeleted val="0"/>
    <c:plotArea>
      <c:layout>
        <c:manualLayout>
          <c:layoutTarget val="inner"/>
          <c:xMode val="edge"/>
          <c:yMode val="edge"/>
          <c:x val="7.301598619789533E-2"/>
          <c:y val="0.22058855208604103"/>
          <c:w val="0.80635045627240864"/>
          <c:h val="0.58823613889610393"/>
        </c:manualLayout>
      </c:layout>
      <c:barChart>
        <c:barDir val="col"/>
        <c:grouping val="clustered"/>
        <c:varyColors val="0"/>
        <c:ser>
          <c:idx val="0"/>
          <c:order val="0"/>
          <c:tx>
            <c:strRef>
              <c:f>'Black Enrollment History'!$M$7</c:f>
              <c:strCache>
                <c:ptCount val="1"/>
                <c:pt idx="0">
                  <c:v>2011</c:v>
                </c:pt>
              </c:strCache>
            </c:strRef>
          </c:tx>
          <c:spPr>
            <a:solidFill>
              <a:srgbClr val="333333"/>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'Black Enrollment History'!$N$5:$P$6</c:f>
              <c:strCache>
                <c:ptCount val="3"/>
                <c:pt idx="0">
                  <c:v>Black Male</c:v>
                </c:pt>
                <c:pt idx="1">
                  <c:v>Black Female</c:v>
                </c:pt>
                <c:pt idx="2">
                  <c:v>Total Black</c:v>
                </c:pt>
              </c:strCache>
            </c:strRef>
          </c:cat>
          <c:val>
            <c:numRef>
              <c:f>'Black Enrollment History'!$N$7:$P$7</c:f>
              <c:numCache>
                <c:formatCode>General</c:formatCode>
                <c:ptCount val="3"/>
                <c:pt idx="0">
                  <c:v>243</c:v>
                </c:pt>
                <c:pt idx="1">
                  <c:v>799</c:v>
                </c:pt>
                <c:pt idx="2">
                  <c:v>1042</c:v>
                </c:pt>
              </c:numCache>
            </c:numRef>
          </c:val>
        </c:ser>
        <c:ser>
          <c:idx val="2"/>
          <c:order val="1"/>
          <c:tx>
            <c:strRef>
              <c:f>'Black Enrollment History'!$M$9</c:f>
              <c:strCache>
                <c:ptCount val="1"/>
                <c:pt idx="0">
                  <c:v>2012</c:v>
                </c:pt>
              </c:strCache>
            </c:strRef>
          </c:tx>
          <c:spPr>
            <a:solidFill>
              <a:srgbClr val="0070C0"/>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'Black Enrollment History'!$N$5:$P$6</c:f>
              <c:strCache>
                <c:ptCount val="3"/>
                <c:pt idx="0">
                  <c:v>Black Male</c:v>
                </c:pt>
                <c:pt idx="1">
                  <c:v>Black Female</c:v>
                </c:pt>
                <c:pt idx="2">
                  <c:v>Total Black</c:v>
                </c:pt>
              </c:strCache>
            </c:strRef>
          </c:cat>
          <c:val>
            <c:numRef>
              <c:f>'Black Enrollment History'!$N$9:$P$9</c:f>
              <c:numCache>
                <c:formatCode>General</c:formatCode>
                <c:ptCount val="3"/>
                <c:pt idx="0">
                  <c:v>230</c:v>
                </c:pt>
                <c:pt idx="1">
                  <c:v>765</c:v>
                </c:pt>
                <c:pt idx="2">
                  <c:v>995</c:v>
                </c:pt>
              </c:numCache>
            </c:numRef>
          </c:val>
        </c:ser>
        <c:ser>
          <c:idx val="4"/>
          <c:order val="2"/>
          <c:tx>
            <c:strRef>
              <c:f>'Black Enrollment History'!$M$11</c:f>
              <c:strCache>
                <c:ptCount val="1"/>
                <c:pt idx="0">
                  <c:v>2013</c:v>
                </c:pt>
              </c:strCache>
            </c:strRef>
          </c:tx>
          <c:spPr>
            <a:solidFill>
              <a:srgbClr val="C0C0C0"/>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'Black Enrollment History'!$N$5:$P$6</c:f>
              <c:strCache>
                <c:ptCount val="3"/>
                <c:pt idx="0">
                  <c:v>Black Male</c:v>
                </c:pt>
                <c:pt idx="1">
                  <c:v>Black Female</c:v>
                </c:pt>
                <c:pt idx="2">
                  <c:v>Total Black</c:v>
                </c:pt>
              </c:strCache>
            </c:strRef>
          </c:cat>
          <c:val>
            <c:numRef>
              <c:f>'Black Enrollment History'!$N$11:$P$11</c:f>
              <c:numCache>
                <c:formatCode>General</c:formatCode>
                <c:ptCount val="3"/>
                <c:pt idx="0">
                  <c:v>203</c:v>
                </c:pt>
                <c:pt idx="1">
                  <c:v>641</c:v>
                </c:pt>
                <c:pt idx="2">
                  <c:v>844</c:v>
                </c:pt>
              </c:numCache>
            </c:numRef>
          </c:val>
        </c:ser>
        <c:ser>
          <c:idx val="6"/>
          <c:order val="3"/>
          <c:tx>
            <c:strRef>
              <c:f>'Black Enrollment History'!$M$13</c:f>
              <c:strCache>
                <c:ptCount val="1"/>
                <c:pt idx="0">
                  <c:v>2014</c:v>
                </c:pt>
              </c:strCache>
            </c:strRef>
          </c:tx>
          <c:spPr>
            <a:solidFill>
              <a:srgbClr val="FFFFFF"/>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'Black Enrollment History'!$N$5:$P$6</c:f>
              <c:strCache>
                <c:ptCount val="3"/>
                <c:pt idx="0">
                  <c:v>Black Male</c:v>
                </c:pt>
                <c:pt idx="1">
                  <c:v>Black Female</c:v>
                </c:pt>
                <c:pt idx="2">
                  <c:v>Total Black</c:v>
                </c:pt>
              </c:strCache>
            </c:strRef>
          </c:cat>
          <c:val>
            <c:numRef>
              <c:f>'Black Enrollment History'!$N$13:$P$13</c:f>
              <c:numCache>
                <c:formatCode>General</c:formatCode>
                <c:ptCount val="3"/>
                <c:pt idx="0">
                  <c:v>214</c:v>
                </c:pt>
                <c:pt idx="1">
                  <c:v>650</c:v>
                </c:pt>
                <c:pt idx="2">
                  <c:v>864</c:v>
                </c:pt>
              </c:numCache>
            </c:numRef>
          </c:val>
        </c:ser>
        <c:ser>
          <c:idx val="8"/>
          <c:order val="4"/>
          <c:tx>
            <c:strRef>
              <c:f>'Black Enrollment History'!$M$15</c:f>
              <c:strCache>
                <c:ptCount val="1"/>
                <c:pt idx="0">
                  <c:v>2015</c:v>
                </c:pt>
              </c:strCache>
            </c:strRef>
          </c:tx>
          <c:spPr>
            <a:pattFill prst="wdDnDiag">
              <a:fgClr>
                <a:srgbClr val="FFFFFF"/>
              </a:fgClr>
              <a:bgClr>
                <a:srgbClr val="333333"/>
              </a:bgClr>
            </a:patt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'Black Enrollment History'!$N$5:$P$6</c:f>
              <c:strCache>
                <c:ptCount val="3"/>
                <c:pt idx="0">
                  <c:v>Black Male</c:v>
                </c:pt>
                <c:pt idx="1">
                  <c:v>Black Female</c:v>
                </c:pt>
                <c:pt idx="2">
                  <c:v>Total Black</c:v>
                </c:pt>
              </c:strCache>
            </c:strRef>
          </c:cat>
          <c:val>
            <c:numRef>
              <c:f>'Black Enrollment History'!$N$15:$P$15</c:f>
              <c:numCache>
                <c:formatCode>General</c:formatCode>
                <c:ptCount val="3"/>
                <c:pt idx="0">
                  <c:v>215</c:v>
                </c:pt>
                <c:pt idx="1">
                  <c:v>598</c:v>
                </c:pt>
                <c:pt idx="2">
                  <c:v>813</c:v>
                </c:pt>
              </c:numCache>
            </c:numRef>
          </c:val>
        </c:ser>
        <c:dLbls>
          <c:showLegendKey val="0"/>
          <c:showVal val="0"/>
          <c:showCatName val="0"/>
          <c:showSerName val="0"/>
          <c:showPercent val="0"/>
          <c:showBubbleSize val="0"/>
        </c:dLbls>
        <c:gapWidth val="150"/>
        <c:axId val="723118272"/>
        <c:axId val="723113960"/>
      </c:barChart>
      <c:catAx>
        <c:axId val="7231182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3113960"/>
        <c:crosses val="autoZero"/>
        <c:auto val="0"/>
        <c:lblAlgn val="ctr"/>
        <c:lblOffset val="100"/>
        <c:tickLblSkip val="1"/>
        <c:tickMarkSkip val="1"/>
        <c:noMultiLvlLbl val="0"/>
      </c:catAx>
      <c:valAx>
        <c:axId val="723113960"/>
        <c:scaling>
          <c:orientation val="minMax"/>
        </c:scaling>
        <c:delete val="0"/>
        <c:axPos val="l"/>
        <c:majorGridlines>
          <c:spPr>
            <a:ln w="12700">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3118272"/>
        <c:crosses val="autoZero"/>
        <c:crossBetween val="between"/>
      </c:valAx>
      <c:spPr>
        <a:solidFill>
          <a:srgbClr val="FFFFFF"/>
        </a:solidFill>
        <a:ln w="12700">
          <a:solidFill>
            <a:srgbClr val="808080"/>
          </a:solidFill>
          <a:prstDash val="solid"/>
        </a:ln>
      </c:spPr>
    </c:plotArea>
    <c:legend>
      <c:legendPos val="b"/>
      <c:layout>
        <c:manualLayout>
          <c:xMode val="edge"/>
          <c:yMode val="edge"/>
          <c:x val="0.31904811898512686"/>
          <c:y val="0.91764829396325465"/>
          <c:w val="0.31428621422322417"/>
          <c:h val="5.8823529411764719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Fall FTE Students</a:t>
            </a:r>
          </a:p>
        </c:rich>
      </c:tx>
      <c:layout>
        <c:manualLayout>
          <c:xMode val="edge"/>
          <c:yMode val="edge"/>
          <c:x val="0.40562942725449286"/>
          <c:y val="3.5947712418301019E-2"/>
        </c:manualLayout>
      </c:layout>
      <c:overlay val="0"/>
      <c:spPr>
        <a:noFill/>
        <a:ln w="25400">
          <a:noFill/>
        </a:ln>
      </c:spPr>
    </c:title>
    <c:autoTitleDeleted val="0"/>
    <c:plotArea>
      <c:layout>
        <c:manualLayout>
          <c:layoutTarget val="inner"/>
          <c:xMode val="edge"/>
          <c:yMode val="edge"/>
          <c:x val="8.2781523875274751E-2"/>
          <c:y val="0.16339921427955917"/>
          <c:w val="0.85264969591533502"/>
          <c:h val="0.70261662140210568"/>
        </c:manualLayout>
      </c:layout>
      <c:barChart>
        <c:barDir val="col"/>
        <c:grouping val="clustered"/>
        <c:varyColors val="0"/>
        <c:ser>
          <c:idx val="0"/>
          <c:order val="0"/>
          <c:spPr>
            <a:solidFill>
              <a:srgbClr val="969696"/>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dLbl>
            <c:dLbl>
              <c:idx val="4"/>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dLbl>
            <c:spPr>
              <a:noFill/>
              <a:ln w="25400">
                <a:noFill/>
              </a:ln>
            </c:spPr>
            <c:txPr>
              <a:bodyPr/>
              <a:lstStyle/>
              <a:p>
                <a:pPr>
                  <a:defRPr sz="8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25400">
                <a:solidFill>
                  <a:srgbClr val="000000"/>
                </a:solidFill>
                <a:prstDash val="solid"/>
              </a:ln>
            </c:spPr>
            <c:trendlineType val="exp"/>
            <c:dispRSqr val="0"/>
            <c:dispEq val="0"/>
          </c:trendline>
          <c:cat>
            <c:multiLvlStrRef>
              <c:f>('FTE Student-Faculty Ratio'!$B$6,'FTE Student-Faculty Ratio'!$B$8,'FTE Student-Faculty Ratio'!$B$10,'FTE Student-Faculty Ratio'!$B$12,'FTE Student-Faculty Ratio'!$B$14)</c:f>
            </c:multiLvlStrRef>
          </c:cat>
          <c:val>
            <c:numRef>
              <c:f>('FTE Student-Faculty Ratio'!$C$6,'FTE Student-Faculty Ratio'!$C$8,'FTE Student-Faculty Ratio'!$C$10,'FTE Student-Faculty Ratio'!$C$12,'FTE Student-Faculty Ratio'!$C$14)</c:f>
            </c:numRef>
          </c:val>
        </c:ser>
        <c:dLbls>
          <c:showLegendKey val="0"/>
          <c:showVal val="0"/>
          <c:showCatName val="0"/>
          <c:showSerName val="0"/>
          <c:showPercent val="0"/>
          <c:showBubbleSize val="0"/>
        </c:dLbls>
        <c:gapWidth val="98"/>
        <c:axId val="723117880"/>
        <c:axId val="723114744"/>
      </c:barChart>
      <c:catAx>
        <c:axId val="7231178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3114744"/>
        <c:crossesAt val="0"/>
        <c:auto val="0"/>
        <c:lblAlgn val="ctr"/>
        <c:lblOffset val="100"/>
        <c:tickLblSkip val="1"/>
        <c:tickMarkSkip val="1"/>
        <c:noMultiLvlLbl val="0"/>
      </c:catAx>
      <c:valAx>
        <c:axId val="723114744"/>
        <c:scaling>
          <c:orientation val="minMax"/>
          <c:max val="3000"/>
          <c:min val="200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3117880"/>
        <c:crosses val="autoZero"/>
        <c:crossBetween val="between"/>
        <c:majorUnit val="100"/>
        <c:minorUnit val="10"/>
      </c:valAx>
      <c:spPr>
        <a:solidFill>
          <a:srgbClr val="FFFFFF"/>
        </a:solidFill>
        <a:ln w="3175">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455" r="0.7500000000000045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01117321461876"/>
          <c:y val="6.2091701426233062E-2"/>
          <c:w val="0.85736991860167655"/>
          <c:h val="0.69608065283092335"/>
        </c:manualLayout>
      </c:layout>
      <c:barChart>
        <c:barDir val="col"/>
        <c:grouping val="clustered"/>
        <c:varyColors val="0"/>
        <c:ser>
          <c:idx val="2"/>
          <c:order val="0"/>
          <c:tx>
            <c:strRef>
              <c:f>'Freshmen SAT 91-95'!$P$3:$P$4</c:f>
              <c:strCache>
                <c:ptCount val="2"/>
                <c:pt idx="0">
                  <c:v>COMBINED</c:v>
                </c:pt>
                <c:pt idx="1">
                  <c:v>Lander</c:v>
                </c:pt>
              </c:strCache>
            </c:strRef>
          </c:tx>
          <c:spPr>
            <a:solidFill>
              <a:srgbClr val="FFFFFF"/>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exp"/>
            <c:dispRSqr val="0"/>
            <c:dispEq val="0"/>
          </c:trendline>
          <c:cat>
            <c:numRef>
              <c:f>'Freshmen SAT 91-95'!$O$5:$O$14</c:f>
              <c:numCache>
                <c:formatCode>General</c:formatCode>
                <c:ptCount val="10"/>
                <c:pt idx="1">
                  <c:v>1991</c:v>
                </c:pt>
                <c:pt idx="3">
                  <c:v>1992</c:v>
                </c:pt>
                <c:pt idx="5">
                  <c:v>1993</c:v>
                </c:pt>
                <c:pt idx="7">
                  <c:v>1994</c:v>
                </c:pt>
                <c:pt idx="9">
                  <c:v>1995</c:v>
                </c:pt>
              </c:numCache>
            </c:numRef>
          </c:cat>
          <c:val>
            <c:numRef>
              <c:f>'Freshmen SAT 91-95'!$P$5:$P$14</c:f>
              <c:numCache>
                <c:formatCode>General</c:formatCode>
                <c:ptCount val="10"/>
                <c:pt idx="1">
                  <c:v>863</c:v>
                </c:pt>
                <c:pt idx="3">
                  <c:v>858</c:v>
                </c:pt>
                <c:pt idx="5">
                  <c:v>861</c:v>
                </c:pt>
                <c:pt idx="7">
                  <c:v>887</c:v>
                </c:pt>
                <c:pt idx="9">
                  <c:v>922</c:v>
                </c:pt>
              </c:numCache>
            </c:numRef>
          </c:val>
        </c:ser>
        <c:ser>
          <c:idx val="0"/>
          <c:order val="1"/>
          <c:tx>
            <c:strRef>
              <c:f>'Freshmen SAT 91-95'!$Q$3:$Q$4</c:f>
              <c:strCache>
                <c:ptCount val="2"/>
                <c:pt idx="0">
                  <c:v>COMBINED</c:v>
                </c:pt>
                <c:pt idx="1">
                  <c:v>State</c:v>
                </c:pt>
              </c:strCache>
            </c:strRef>
          </c:tx>
          <c:spPr>
            <a:pattFill prst="wdUpDiag">
              <a:fgClr>
                <a:srgbClr val="FFFFFF"/>
              </a:fgClr>
              <a:bgClr>
                <a:srgbClr val="333333"/>
              </a:bgClr>
            </a:patt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exp"/>
            <c:dispRSqr val="0"/>
            <c:dispEq val="0"/>
          </c:trendline>
          <c:cat>
            <c:numRef>
              <c:f>'Freshmen SAT 91-95'!$O$5:$O$14</c:f>
              <c:numCache>
                <c:formatCode>General</c:formatCode>
                <c:ptCount val="10"/>
                <c:pt idx="1">
                  <c:v>1991</c:v>
                </c:pt>
                <c:pt idx="3">
                  <c:v>1992</c:v>
                </c:pt>
                <c:pt idx="5">
                  <c:v>1993</c:v>
                </c:pt>
                <c:pt idx="7">
                  <c:v>1994</c:v>
                </c:pt>
                <c:pt idx="9">
                  <c:v>1995</c:v>
                </c:pt>
              </c:numCache>
            </c:numRef>
          </c:cat>
          <c:val>
            <c:numRef>
              <c:f>'Freshmen SAT 91-95'!$Q$5:$Q$14</c:f>
              <c:numCache>
                <c:formatCode>General</c:formatCode>
                <c:ptCount val="10"/>
                <c:pt idx="1">
                  <c:v>832</c:v>
                </c:pt>
                <c:pt idx="3">
                  <c:v>831</c:v>
                </c:pt>
                <c:pt idx="5">
                  <c:v>838</c:v>
                </c:pt>
                <c:pt idx="7">
                  <c:v>838</c:v>
                </c:pt>
                <c:pt idx="9">
                  <c:v>844</c:v>
                </c:pt>
              </c:numCache>
            </c:numRef>
          </c:val>
        </c:ser>
        <c:ser>
          <c:idx val="1"/>
          <c:order val="2"/>
          <c:tx>
            <c:strRef>
              <c:f>'Freshmen SAT 91-95'!$R$3:$R$4</c:f>
              <c:strCache>
                <c:ptCount val="2"/>
                <c:pt idx="0">
                  <c:v>COMBINED</c:v>
                </c:pt>
                <c:pt idx="1">
                  <c:v> Nation</c:v>
                </c:pt>
              </c:strCache>
            </c:strRef>
          </c:tx>
          <c:spPr>
            <a:solidFill>
              <a:srgbClr val="C0C0C0"/>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exp"/>
            <c:dispRSqr val="0"/>
            <c:dispEq val="0"/>
          </c:trendline>
          <c:cat>
            <c:numRef>
              <c:f>'Freshmen SAT 91-95'!$O$5:$O$14</c:f>
              <c:numCache>
                <c:formatCode>General</c:formatCode>
                <c:ptCount val="10"/>
                <c:pt idx="1">
                  <c:v>1991</c:v>
                </c:pt>
                <c:pt idx="3">
                  <c:v>1992</c:v>
                </c:pt>
                <c:pt idx="5">
                  <c:v>1993</c:v>
                </c:pt>
                <c:pt idx="7">
                  <c:v>1994</c:v>
                </c:pt>
                <c:pt idx="9">
                  <c:v>1995</c:v>
                </c:pt>
              </c:numCache>
            </c:numRef>
          </c:cat>
          <c:val>
            <c:numRef>
              <c:f>'Freshmen SAT 91-95'!$R$5:$R$14</c:f>
              <c:numCache>
                <c:formatCode>General</c:formatCode>
                <c:ptCount val="10"/>
                <c:pt idx="1">
                  <c:v>896</c:v>
                </c:pt>
                <c:pt idx="3">
                  <c:v>899</c:v>
                </c:pt>
                <c:pt idx="5">
                  <c:v>902</c:v>
                </c:pt>
                <c:pt idx="7">
                  <c:v>902</c:v>
                </c:pt>
                <c:pt idx="9">
                  <c:v>910</c:v>
                </c:pt>
              </c:numCache>
            </c:numRef>
          </c:val>
        </c:ser>
        <c:dLbls>
          <c:showLegendKey val="0"/>
          <c:showVal val="0"/>
          <c:showCatName val="0"/>
          <c:showSerName val="0"/>
          <c:showPercent val="0"/>
          <c:showBubbleSize val="0"/>
        </c:dLbls>
        <c:gapWidth val="0"/>
        <c:axId val="523940720"/>
        <c:axId val="523944248"/>
      </c:barChart>
      <c:catAx>
        <c:axId val="5239407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3944248"/>
        <c:crosses val="autoZero"/>
        <c:auto val="0"/>
        <c:lblAlgn val="ctr"/>
        <c:lblOffset val="100"/>
        <c:tickLblSkip val="1"/>
        <c:tickMarkSkip val="1"/>
        <c:noMultiLvlLbl val="0"/>
      </c:catAx>
      <c:valAx>
        <c:axId val="523944248"/>
        <c:scaling>
          <c:orientation val="minMax"/>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3940720"/>
        <c:crosses val="autoZero"/>
        <c:crossBetween val="between"/>
      </c:valAx>
      <c:spPr>
        <a:noFill/>
        <a:ln w="12700">
          <a:solidFill>
            <a:srgbClr val="808080"/>
          </a:solidFill>
          <a:prstDash val="solid"/>
        </a:ln>
      </c:spPr>
    </c:plotArea>
    <c:legend>
      <c:legendPos val="b"/>
      <c:legendEntry>
        <c:idx val="3"/>
        <c:delete val="1"/>
      </c:legendEntry>
      <c:legendEntry>
        <c:idx val="4"/>
        <c:delete val="1"/>
      </c:legendEntry>
      <c:legendEntry>
        <c:idx val="5"/>
        <c:delete val="1"/>
      </c:legendEntry>
      <c:layout>
        <c:manualLayout>
          <c:xMode val="edge"/>
          <c:yMode val="edge"/>
          <c:x val="0.2171158557636714"/>
          <c:y val="0.91503576758787564"/>
          <c:w val="0.54992125984251983"/>
          <c:h val="6.5359820218551135E-2"/>
        </c:manualLayout>
      </c:layout>
      <c:overlay val="0"/>
      <c:spPr>
        <a:solidFill>
          <a:srgbClr val="FFFFFF"/>
        </a:solidFill>
        <a:ln w="25400">
          <a:noFill/>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Fall FTE Teaching Faculty</a:t>
            </a:r>
          </a:p>
        </c:rich>
      </c:tx>
      <c:layout>
        <c:manualLayout>
          <c:xMode val="edge"/>
          <c:yMode val="edge"/>
          <c:x val="0.36092752726695088"/>
          <c:y val="3.5947712418301019E-2"/>
        </c:manualLayout>
      </c:layout>
      <c:overlay val="0"/>
      <c:spPr>
        <a:noFill/>
        <a:ln w="25400">
          <a:noFill/>
        </a:ln>
      </c:spPr>
    </c:title>
    <c:autoTitleDeleted val="0"/>
    <c:plotArea>
      <c:layout>
        <c:manualLayout>
          <c:layoutTarget val="inner"/>
          <c:xMode val="edge"/>
          <c:yMode val="edge"/>
          <c:x val="6.4569588622714308E-2"/>
          <c:y val="0.13071937142364756"/>
          <c:w val="0.86920600069039"/>
          <c:h val="0.75163638568597368"/>
        </c:manualLayout>
      </c:layout>
      <c:barChart>
        <c:barDir val="col"/>
        <c:grouping val="clustered"/>
        <c:varyColors val="0"/>
        <c:ser>
          <c:idx val="0"/>
          <c:order val="0"/>
          <c:spPr>
            <a:solidFill>
              <a:schemeClr val="bg1">
                <a:lumMod val="50000"/>
              </a:schemeClr>
            </a:solidFill>
          </c:spPr>
          <c:invertIfNegative val="0"/>
          <c:dLbls>
            <c:spPr>
              <a:noFill/>
              <a:ln>
                <a:noFill/>
              </a:ln>
              <a:effectLst/>
            </c:spPr>
            <c:txPr>
              <a:bodyPr/>
              <a:lstStyle/>
              <a:p>
                <a:pPr>
                  <a:defRPr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25400"/>
            </c:spPr>
            <c:trendlineType val="linear"/>
            <c:dispRSqr val="0"/>
            <c:dispEq val="0"/>
          </c:trendline>
          <c:cat>
            <c:multiLvlStrRef>
              <c:f>('FTE Student-Faculty Ratio'!$B$6,'FTE Student-Faculty Ratio'!$B$8,'FTE Student-Faculty Ratio'!$B$10,'FTE Student-Faculty Ratio'!$B$12,'FTE Student-Faculty Ratio'!$B$14)</c:f>
            </c:multiLvlStrRef>
          </c:cat>
          <c:val>
            <c:numRef>
              <c:f>('FTE Student-Faculty Ratio'!$D$6,'FTE Student-Faculty Ratio'!$D$8,'FTE Student-Faculty Ratio'!$D$10,'FTE Student-Faculty Ratio'!$D$12,'FTE Student-Faculty Ratio'!$D$14)</c:f>
            </c:numRef>
          </c:val>
        </c:ser>
        <c:dLbls>
          <c:showLegendKey val="0"/>
          <c:showVal val="0"/>
          <c:showCatName val="0"/>
          <c:showSerName val="0"/>
          <c:showPercent val="0"/>
          <c:showBubbleSize val="0"/>
        </c:dLbls>
        <c:gapWidth val="98"/>
        <c:axId val="723111216"/>
        <c:axId val="723115920"/>
      </c:barChart>
      <c:catAx>
        <c:axId val="7231112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3115920"/>
        <c:crosses val="autoZero"/>
        <c:auto val="0"/>
        <c:lblAlgn val="ctr"/>
        <c:lblOffset val="100"/>
        <c:tickLblSkip val="1"/>
        <c:tickMarkSkip val="1"/>
        <c:noMultiLvlLbl val="0"/>
      </c:catAx>
      <c:valAx>
        <c:axId val="723115920"/>
        <c:scaling>
          <c:orientation val="minMax"/>
          <c:max val="180"/>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311121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455" r="0.7500000000000045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Fall FTE Student/Faculty Ratio</a:t>
            </a:r>
          </a:p>
        </c:rich>
      </c:tx>
      <c:layout>
        <c:manualLayout>
          <c:xMode val="edge"/>
          <c:yMode val="edge"/>
          <c:x val="0.33774862430248864"/>
          <c:y val="3.5947712418301019E-2"/>
        </c:manualLayout>
      </c:layout>
      <c:overlay val="0"/>
      <c:spPr>
        <a:noFill/>
        <a:ln w="25400">
          <a:noFill/>
        </a:ln>
      </c:spPr>
    </c:title>
    <c:autoTitleDeleted val="0"/>
    <c:plotArea>
      <c:layout>
        <c:manualLayout>
          <c:layoutTarget val="inner"/>
          <c:xMode val="edge"/>
          <c:yMode val="edge"/>
          <c:x val="5.2980175280175845E-2"/>
          <c:y val="0.1274513871380564"/>
          <c:w val="0.87913978355542244"/>
          <c:h val="0.7581723542571559"/>
        </c:manualLayout>
      </c:layout>
      <c:barChart>
        <c:barDir val="col"/>
        <c:grouping val="clustered"/>
        <c:varyColors val="0"/>
        <c:ser>
          <c:idx val="0"/>
          <c:order val="0"/>
          <c:spPr>
            <a:solidFill>
              <a:schemeClr val="bg1">
                <a:lumMod val="50000"/>
              </a:schemeClr>
            </a:solidFill>
          </c:spPr>
          <c:invertIfNegative val="0"/>
          <c:dLbls>
            <c:spPr>
              <a:noFill/>
              <a:ln>
                <a:noFill/>
              </a:ln>
              <a:effectLst/>
            </c:spPr>
            <c:txPr>
              <a:bodyPr/>
              <a:lstStyle/>
              <a:p>
                <a:pPr>
                  <a:defRPr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25400"/>
            </c:spPr>
            <c:trendlineType val="linear"/>
            <c:dispRSqr val="0"/>
            <c:dispEq val="0"/>
          </c:trendline>
          <c:cat>
            <c:multiLvlStrRef>
              <c:f>('FTE Student-Faculty Ratio'!$B$6,'FTE Student-Faculty Ratio'!$B$8,'FTE Student-Faculty Ratio'!$B$10,'FTE Student-Faculty Ratio'!$B$12,'FTE Student-Faculty Ratio'!$B$14)</c:f>
            </c:multiLvlStrRef>
          </c:cat>
          <c:val>
            <c:numRef>
              <c:f>('FTE Student-Faculty Ratio'!$E$6,'FTE Student-Faculty Ratio'!$E$8,'FTE Student-Faculty Ratio'!$E$10,'FTE Student-Faculty Ratio'!$E$12,'FTE Student-Faculty Ratio'!$E$14)</c:f>
            </c:numRef>
          </c:val>
        </c:ser>
        <c:dLbls>
          <c:showLegendKey val="0"/>
          <c:showVal val="0"/>
          <c:showCatName val="0"/>
          <c:showSerName val="0"/>
          <c:showPercent val="0"/>
          <c:showBubbleSize val="0"/>
        </c:dLbls>
        <c:gapWidth val="98"/>
        <c:axId val="723116312"/>
        <c:axId val="723112784"/>
      </c:barChart>
      <c:catAx>
        <c:axId val="7231163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3112784"/>
        <c:crosses val="autoZero"/>
        <c:auto val="0"/>
        <c:lblAlgn val="ctr"/>
        <c:lblOffset val="100"/>
        <c:tickLblSkip val="1"/>
        <c:tickMarkSkip val="1"/>
        <c:noMultiLvlLbl val="0"/>
      </c:catAx>
      <c:valAx>
        <c:axId val="723112784"/>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311631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455" r="0.7500000000000045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Full-Time Faculty Headcount by Division/School by Tenure Status and Terminal Degree
Fall 2013
</a:t>
            </a:r>
          </a:p>
        </c:rich>
      </c:tx>
      <c:layout>
        <c:manualLayout>
          <c:xMode val="edge"/>
          <c:yMode val="edge"/>
          <c:x val="0.12985571587125416"/>
          <c:y val="1.9575842708695782E-2"/>
        </c:manualLayout>
      </c:layout>
      <c:overlay val="0"/>
      <c:spPr>
        <a:noFill/>
        <a:ln w="25400">
          <a:noFill/>
        </a:ln>
      </c:spPr>
    </c:title>
    <c:autoTitleDeleted val="0"/>
    <c:plotArea>
      <c:layout>
        <c:manualLayout>
          <c:layoutTarget val="inner"/>
          <c:xMode val="edge"/>
          <c:yMode val="edge"/>
          <c:x val="4.1065482796892344E-2"/>
          <c:y val="0.13050570962479607"/>
          <c:w val="0.80244173140954889"/>
          <c:h val="0.61663947797716578"/>
        </c:manualLayout>
      </c:layout>
      <c:barChart>
        <c:barDir val="col"/>
        <c:grouping val="clustered"/>
        <c:varyColors val="0"/>
        <c:ser>
          <c:idx val="0"/>
          <c:order val="0"/>
          <c:tx>
            <c:strRef>
              <c:f>'Faculty by Div,Tenure,Degree'!$B$5</c:f>
              <c:strCache>
                <c:ptCount val="1"/>
                <c:pt idx="0">
                  <c:v>TOTAL FULL-TIME FACULTY</c:v>
                </c:pt>
              </c:strCache>
            </c:strRef>
          </c:tx>
          <c:spPr>
            <a:solidFill>
              <a:srgbClr val="C0C0C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by Div,Tenure,Degree'!$B$7:$B$33</c:f>
            </c:numRef>
          </c:val>
          <c:extLst>
            <c:ext xmlns:c15="http://schemas.microsoft.com/office/drawing/2012/chart" uri="{02D57815-91ED-43cb-92C2-25804820EDAC}">
              <c15:filteredCategoryTitle>
                <c15:cat>
                  <c:multiLvlStrRef>
                    <c:extLst>
                      <c:ext uri="{02D57815-91ED-43cb-92C2-25804820EDAC}">
                        <c15:formulaRef>
                          <c15:sqref>'Faculty by Div,Tenure,Degree'!$A$7:$A$33</c15:sqref>
                        </c15:formulaRef>
                      </c:ext>
                    </c:extLst>
                  </c:multiLvlStrRef>
                </c15:cat>
              </c15:filteredCategoryTitle>
            </c:ext>
          </c:extLst>
        </c:ser>
        <c:ser>
          <c:idx val="1"/>
          <c:order val="1"/>
          <c:tx>
            <c:strRef>
              <c:f>'Faculty by Div,Tenure,Degree'!$C$5</c:f>
              <c:strCache>
                <c:ptCount val="1"/>
                <c:pt idx="0">
                  <c:v>NUMBER WITH TENURE</c:v>
                </c:pt>
              </c:strCache>
            </c:strRef>
          </c:tx>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by Div,Tenure,Degree'!$C$7:$C$33</c:f>
            </c:numRef>
          </c:val>
          <c:extLst>
            <c:ext xmlns:c15="http://schemas.microsoft.com/office/drawing/2012/chart" uri="{02D57815-91ED-43cb-92C2-25804820EDAC}">
              <c15:filteredCategoryTitle>
                <c15:cat>
                  <c:multiLvlStrRef>
                    <c:extLst>
                      <c:ext uri="{02D57815-91ED-43cb-92C2-25804820EDAC}">
                        <c15:formulaRef>
                          <c15:sqref>'Faculty by Div,Tenure,Degree'!$A$7:$A$33</c15:sqref>
                        </c15:formulaRef>
                      </c:ext>
                    </c:extLst>
                  </c:multiLvlStrRef>
                </c15:cat>
              </c15:filteredCategoryTitle>
            </c:ext>
          </c:extLst>
        </c:ser>
        <c:ser>
          <c:idx val="2"/>
          <c:order val="2"/>
          <c:tx>
            <c:strRef>
              <c:f>'Faculty by Div,Tenure,Degree'!$D$5</c:f>
              <c:strCache>
                <c:ptCount val="1"/>
                <c:pt idx="0">
                  <c:v>NUMBER WITH TERMINAL DEGREE</c:v>
                </c:pt>
              </c:strCache>
            </c:strRef>
          </c:tx>
          <c:spPr>
            <a:pattFill prst="wdUpDiag">
              <a:fgClr>
                <a:srgbClr val="000000"/>
              </a:fgClr>
              <a:bgClr>
                <a:srgbClr val="FFFFFF"/>
              </a:bgClr>
            </a:patt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by Div,Tenure,Degree'!$D$7:$D$33</c:f>
            </c:numRef>
          </c:val>
          <c:extLst>
            <c:ext xmlns:c15="http://schemas.microsoft.com/office/drawing/2012/chart" uri="{02D57815-91ED-43cb-92C2-25804820EDAC}">
              <c15:filteredCategoryTitle>
                <c15:cat>
                  <c:multiLvlStrRef>
                    <c:extLst>
                      <c:ext uri="{02D57815-91ED-43cb-92C2-25804820EDAC}">
                        <c15:formulaRef>
                          <c15:sqref>'Faculty by Div,Tenure,Degree'!$A$7:$A$33</c15:sqref>
                        </c15:formulaRef>
                      </c:ext>
                    </c:extLst>
                  </c:multiLvlStrRef>
                </c15:cat>
              </c15:filteredCategoryTitle>
            </c:ext>
          </c:extLst>
        </c:ser>
        <c:dLbls>
          <c:showLegendKey val="0"/>
          <c:showVal val="0"/>
          <c:showCatName val="0"/>
          <c:showSerName val="0"/>
          <c:showPercent val="0"/>
          <c:showBubbleSize val="0"/>
        </c:dLbls>
        <c:gapWidth val="0"/>
        <c:axId val="723113176"/>
        <c:axId val="723113568"/>
      </c:barChart>
      <c:catAx>
        <c:axId val="72311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rtl="0">
              <a:defRPr sz="800" b="0" i="0" u="none" strike="noStrike" baseline="0">
                <a:solidFill>
                  <a:srgbClr val="000000"/>
                </a:solidFill>
                <a:latin typeface="Arial"/>
                <a:ea typeface="Arial"/>
                <a:cs typeface="Arial"/>
              </a:defRPr>
            </a:pPr>
            <a:endParaRPr lang="en-US"/>
          </a:p>
        </c:txPr>
        <c:crossAx val="723113568"/>
        <c:crosses val="autoZero"/>
        <c:auto val="1"/>
        <c:lblAlgn val="ctr"/>
        <c:lblOffset val="0"/>
        <c:tickLblSkip val="1"/>
        <c:tickMarkSkip val="1"/>
        <c:noMultiLvlLbl val="0"/>
      </c:catAx>
      <c:valAx>
        <c:axId val="72311356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23113176"/>
        <c:crosses val="autoZero"/>
        <c:crossBetween val="between"/>
      </c:valAx>
      <c:spPr>
        <a:solidFill>
          <a:srgbClr val="FFFFFF"/>
        </a:solidFill>
        <a:ln w="3175">
          <a:solidFill>
            <a:srgbClr val="000000"/>
          </a:solidFill>
          <a:prstDash val="solid"/>
        </a:ln>
      </c:spPr>
    </c:plotArea>
    <c:legend>
      <c:legendPos val="r"/>
      <c:layout>
        <c:manualLayout>
          <c:xMode val="edge"/>
          <c:yMode val="edge"/>
          <c:x val="0.85349611542730297"/>
          <c:y val="0.37683518692732981"/>
          <c:w val="0.14539400665926749"/>
          <c:h val="0.11092988990124186"/>
        </c:manualLayout>
      </c:layout>
      <c:overlay val="0"/>
      <c:spPr>
        <a:solidFill>
          <a:srgbClr val="FFFFFF"/>
        </a:solidFill>
        <a:ln w="25400">
          <a:noFill/>
        </a:ln>
      </c:spPr>
      <c:txPr>
        <a:bodyPr/>
        <a:lstStyle/>
        <a:p>
          <a:pPr>
            <a:defRPr sz="41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77510040160636E-2"/>
          <c:y val="5.1903114186851222E-2"/>
          <c:w val="0.81927710843373491"/>
          <c:h val="0.75086505190311892"/>
        </c:manualLayout>
      </c:layout>
      <c:barChart>
        <c:barDir val="col"/>
        <c:grouping val="clustered"/>
        <c:varyColors val="0"/>
        <c:ser>
          <c:idx val="1"/>
          <c:order val="0"/>
          <c:tx>
            <c:strRef>
              <c:f>'Faculty by Rank and Gender'!$C$5</c:f>
              <c:strCache>
                <c:ptCount val="1"/>
                <c:pt idx="0">
                  <c:v>Professor</c:v>
                </c:pt>
              </c:strCache>
            </c:strRef>
          </c:tx>
          <c:spPr>
            <a:pattFill prst="wdUpDiag">
              <a:fgClr>
                <a:srgbClr val="000000"/>
              </a:fgClr>
              <a:bgClr>
                <a:srgbClr val="FFFFFF"/>
              </a:bgClr>
            </a:patt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'Faculty by Rank and Gender'!$D$3:$F$3</c:f>
            </c:multiLvlStrRef>
          </c:cat>
          <c:val>
            <c:numRef>
              <c:f>'Faculty by Rank and Gender'!$D$5:$F$5</c:f>
            </c:numRef>
          </c:val>
        </c:ser>
        <c:ser>
          <c:idx val="3"/>
          <c:order val="1"/>
          <c:tx>
            <c:strRef>
              <c:f>'Faculty by Rank and Gender'!$C$7</c:f>
              <c:strCache>
                <c:ptCount val="1"/>
                <c:pt idx="0">
                  <c:v>Associate Professor</c:v>
                </c:pt>
              </c:strCache>
            </c:strRef>
          </c:tx>
          <c:spPr>
            <a:solidFill>
              <a:srgbClr val="FFFFFF"/>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'Faculty by Rank and Gender'!$D$3:$F$3</c:f>
            </c:multiLvlStrRef>
          </c:cat>
          <c:val>
            <c:numRef>
              <c:f>'Faculty by Rank and Gender'!$D$7:$F$7</c:f>
            </c:numRef>
          </c:val>
        </c:ser>
        <c:ser>
          <c:idx val="5"/>
          <c:order val="2"/>
          <c:tx>
            <c:strRef>
              <c:f>'Faculty by Rank and Gender'!$C$9</c:f>
              <c:strCache>
                <c:ptCount val="1"/>
                <c:pt idx="0">
                  <c:v>Assistant Professor</c:v>
                </c:pt>
              </c:strCache>
            </c:strRef>
          </c:tx>
          <c:spPr>
            <a:solidFill>
              <a:srgbClr val="808080"/>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'Faculty by Rank and Gender'!$D$3:$F$3</c:f>
            </c:multiLvlStrRef>
          </c:cat>
          <c:val>
            <c:numRef>
              <c:f>'Faculty by Rank and Gender'!$D$9:$F$9</c:f>
            </c:numRef>
          </c:val>
        </c:ser>
        <c:ser>
          <c:idx val="7"/>
          <c:order val="3"/>
          <c:tx>
            <c:strRef>
              <c:f>'Faculty by Rank and Gender'!$C$11</c:f>
              <c:strCache>
                <c:ptCount val="1"/>
                <c:pt idx="0">
                  <c:v>Instructor</c:v>
                </c:pt>
              </c:strCache>
            </c:strRef>
          </c:tx>
          <c:spPr>
            <a:pattFill prst="wdUpDiag">
              <a:fgClr>
                <a:srgbClr val="FFFFFF"/>
              </a:fgClr>
              <a:bgClr>
                <a:srgbClr val="C0C0C0"/>
              </a:bgClr>
            </a:patt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'Faculty by Rank and Gender'!$D$3:$F$3</c:f>
            </c:multiLvlStrRef>
          </c:cat>
          <c:val>
            <c:numRef>
              <c:f>'Faculty by Rank and Gender'!$D$11:$F$11</c:f>
            </c:numRef>
          </c:val>
        </c:ser>
        <c:ser>
          <c:idx val="0"/>
          <c:order val="4"/>
          <c:tx>
            <c:strRef>
              <c:f>'Faculty by Rank and Gender'!$C$13</c:f>
              <c:strCache>
                <c:ptCount val="1"/>
                <c:pt idx="0">
                  <c:v>Lecturer</c:v>
                </c:pt>
              </c:strCache>
            </c:strRef>
          </c:tx>
          <c:spPr>
            <a:solidFill>
              <a:schemeClr val="tx1"/>
            </a:solidFill>
          </c:spPr>
          <c:invertIfNegative val="0"/>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by Rank and Gender'!$D$13:$F$13</c:f>
            </c:numRef>
          </c:val>
        </c:ser>
        <c:dLbls>
          <c:showLegendKey val="0"/>
          <c:showVal val="0"/>
          <c:showCatName val="0"/>
          <c:showSerName val="0"/>
          <c:showPercent val="0"/>
          <c:showBubbleSize val="0"/>
        </c:dLbls>
        <c:gapWidth val="140"/>
        <c:axId val="726652760"/>
        <c:axId val="726653152"/>
      </c:barChart>
      <c:catAx>
        <c:axId val="7266527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6653152"/>
        <c:crosses val="autoZero"/>
        <c:auto val="0"/>
        <c:lblAlgn val="ctr"/>
        <c:lblOffset val="100"/>
        <c:tickLblSkip val="1"/>
        <c:tickMarkSkip val="1"/>
        <c:noMultiLvlLbl val="0"/>
      </c:catAx>
      <c:valAx>
        <c:axId val="726653152"/>
        <c:scaling>
          <c:orientation val="minMax"/>
          <c:max val="5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6652760"/>
        <c:crosses val="autoZero"/>
        <c:crossBetween val="between"/>
      </c:valAx>
      <c:spPr>
        <a:noFill/>
        <a:ln w="12700">
          <a:solidFill>
            <a:srgbClr val="808080"/>
          </a:solidFill>
          <a:prstDash val="solid"/>
        </a:ln>
      </c:spPr>
    </c:plotArea>
    <c:legend>
      <c:legendPos val="b"/>
      <c:layout>
        <c:manualLayout>
          <c:xMode val="edge"/>
          <c:yMode val="edge"/>
          <c:x val="0.19076347384287917"/>
          <c:y val="0.92041667801905358"/>
          <c:w val="0.71256279712023496"/>
          <c:h val="6.0339118509840195E-2"/>
        </c:manualLayout>
      </c:layout>
      <c:overlay val="0"/>
      <c:spPr>
        <a:solidFill>
          <a:srgbClr val="FFFFFF"/>
        </a:solidFill>
        <a:ln w="25400">
          <a:noFill/>
        </a:ln>
      </c:spPr>
      <c:txPr>
        <a:bodyPr/>
        <a:lstStyle/>
        <a:p>
          <a:pPr>
            <a:defRPr sz="4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422" r="0.75000000000000422" t="1" header="0.5" footer="0.5"/>
    <c:pageSetup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85662431941808"/>
          <c:y val="6.985294117647059E-2"/>
          <c:w val="0.83847549909255903"/>
          <c:h val="0.69117647058823561"/>
        </c:manualLayout>
      </c:layout>
      <c:barChart>
        <c:barDir val="col"/>
        <c:grouping val="clustered"/>
        <c:varyColors val="0"/>
        <c:ser>
          <c:idx val="2"/>
          <c:order val="0"/>
          <c:tx>
            <c:strRef>
              <c:f>'Faculty Salaries by Rank'!#REF!</c:f>
              <c:strCache>
                <c:ptCount val="1"/>
                <c:pt idx="0">
                  <c:v>#REF!</c:v>
                </c:pt>
              </c:strCache>
            </c:strRef>
          </c:tx>
          <c:spPr>
            <a:solidFill>
              <a:srgbClr val="000000"/>
            </a:solidFill>
            <a:ln w="12700">
              <a:solidFill>
                <a:srgbClr val="000000"/>
              </a:solidFill>
              <a:prstDash val="solid"/>
            </a:ln>
          </c:spPr>
          <c:invertIfNegative val="0"/>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Salaries by Rank'!#REF!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'Faculty Salaries by Rank'!$A$5:$A$11</c15:sqref>
                        </c15:formulaRef>
                      </c:ext>
                    </c:extLst>
                  </c:multiLvlStrRef>
                </c15:cat>
              </c15:filteredCategoryTitle>
            </c:ext>
          </c:extLst>
        </c:ser>
        <c:ser>
          <c:idx val="3"/>
          <c:order val="1"/>
          <c:tx>
            <c:strRef>
              <c:f>'Faculty Salaries by Rank'!$B$3:$B$4</c:f>
              <c:strCache>
                <c:ptCount val="2"/>
                <c:pt idx="0">
                  <c:v>2003-2004</c:v>
                </c:pt>
              </c:strCache>
            </c:strRef>
          </c:tx>
          <c:spPr>
            <a:pattFill prst="wdUpDiag">
              <a:fgClr>
                <a:srgbClr val="000000"/>
              </a:fgClr>
              <a:bgClr>
                <a:srgbClr val="FFFFFF"/>
              </a:bgClr>
            </a:pattFill>
            <a:ln w="12700">
              <a:solidFill>
                <a:srgbClr val="000000"/>
              </a:solidFill>
              <a:prstDash val="solid"/>
            </a:ln>
          </c:spPr>
          <c:invertIfNegative val="0"/>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Salaries by Rank'!$B$5:$B$11</c:f>
            </c:numRef>
          </c:val>
          <c:extLst>
            <c:ext xmlns:c15="http://schemas.microsoft.com/office/drawing/2012/chart" uri="{02D57815-91ED-43cb-92C2-25804820EDAC}">
              <c15:filteredCategoryTitle>
                <c15:cat>
                  <c:multiLvlStrRef>
                    <c:extLst>
                      <c:ext uri="{02D57815-91ED-43cb-92C2-25804820EDAC}">
                        <c15:formulaRef>
                          <c15:sqref>'Faculty Salaries by Rank'!$A$5:$A$11</c15:sqref>
                        </c15:formulaRef>
                      </c:ext>
                    </c:extLst>
                  </c:multiLvlStrRef>
                </c15:cat>
              </c15:filteredCategoryTitle>
            </c:ext>
          </c:extLst>
        </c:ser>
        <c:ser>
          <c:idx val="4"/>
          <c:order val="2"/>
          <c:tx>
            <c:strRef>
              <c:f>'Faculty Salaries by Rank'!$C$3:$C$4</c:f>
              <c:strCache>
                <c:ptCount val="2"/>
                <c:pt idx="0">
                  <c:v>2004-2005</c:v>
                </c:pt>
              </c:strCache>
            </c:strRef>
          </c:tx>
          <c:spPr>
            <a:solidFill>
              <a:srgbClr val="969696"/>
            </a:solidFill>
            <a:ln w="12700">
              <a:solidFill>
                <a:srgbClr val="000000"/>
              </a:solidFill>
              <a:prstDash val="solid"/>
            </a:ln>
          </c:spPr>
          <c:invertIfNegative val="0"/>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Salaries by Rank'!$C$5:$C$11</c:f>
            </c:numRef>
          </c:val>
          <c:extLst>
            <c:ext xmlns:c15="http://schemas.microsoft.com/office/drawing/2012/chart" uri="{02D57815-91ED-43cb-92C2-25804820EDAC}">
              <c15:filteredCategoryTitle>
                <c15:cat>
                  <c:multiLvlStrRef>
                    <c:extLst>
                      <c:ext uri="{02D57815-91ED-43cb-92C2-25804820EDAC}">
                        <c15:formulaRef>
                          <c15:sqref>'Faculty Salaries by Rank'!$A$5:$A$11</c15:sqref>
                        </c15:formulaRef>
                      </c:ext>
                    </c:extLst>
                  </c:multiLvlStrRef>
                </c15:cat>
              </c15:filteredCategoryTitle>
            </c:ext>
          </c:extLst>
        </c:ser>
        <c:ser>
          <c:idx val="5"/>
          <c:order val="3"/>
          <c:tx>
            <c:strRef>
              <c:f>'Faculty Salaries by Rank'!$D$3:$D$4</c:f>
              <c:strCache>
                <c:ptCount val="2"/>
                <c:pt idx="0">
                  <c:v>2005-2006</c:v>
                </c:pt>
              </c:strCache>
            </c:strRef>
          </c:tx>
          <c:spPr>
            <a:pattFill prst="pct5">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Salaries by Rank'!$D$5:$D$11</c:f>
            </c:numRef>
          </c:val>
          <c:extLst>
            <c:ext xmlns:c15="http://schemas.microsoft.com/office/drawing/2012/chart" uri="{02D57815-91ED-43cb-92C2-25804820EDAC}">
              <c15:filteredCategoryTitle>
                <c15:cat>
                  <c:multiLvlStrRef>
                    <c:extLst>
                      <c:ext uri="{02D57815-91ED-43cb-92C2-25804820EDAC}">
                        <c15:formulaRef>
                          <c15:sqref>'Faculty Salaries by Rank'!$A$5:$A$11</c15:sqref>
                        </c15:formulaRef>
                      </c:ext>
                    </c:extLst>
                  </c:multiLvlStrRef>
                </c15:cat>
              </c15:filteredCategoryTitle>
            </c:ext>
          </c:extLst>
        </c:ser>
        <c:ser>
          <c:idx val="0"/>
          <c:order val="4"/>
          <c:tx>
            <c:strRef>
              <c:f>'Faculty Salaries by Rank'!$E$3</c:f>
              <c:strCache>
                <c:ptCount val="1"/>
                <c:pt idx="0">
                  <c:v>2006-2007</c:v>
                </c:pt>
              </c:strCache>
            </c:strRef>
          </c:tx>
          <c:spPr>
            <a:solidFill>
              <a:srgbClr val="FFFFFF"/>
            </a:solidFill>
            <a:ln w="12700">
              <a:solidFill>
                <a:srgbClr val="000000"/>
              </a:solidFill>
              <a:prstDash val="solid"/>
            </a:ln>
          </c:spPr>
          <c:invertIfNegative val="0"/>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Salaries by Rank'!$E$5:$E$11</c:f>
            </c:numRef>
          </c:val>
          <c:extLst>
            <c:ext xmlns:c15="http://schemas.microsoft.com/office/drawing/2012/chart" uri="{02D57815-91ED-43cb-92C2-25804820EDAC}">
              <c15:filteredCategoryTitle>
                <c15:cat>
                  <c:multiLvlStrRef>
                    <c:extLst>
                      <c:ext uri="{02D57815-91ED-43cb-92C2-25804820EDAC}">
                        <c15:formulaRef>
                          <c15:sqref>'Faculty Salaries by Rank'!$A$5:$A$11</c15:sqref>
                        </c15:formulaRef>
                      </c:ext>
                    </c:extLst>
                  </c:multiLvlStrRef>
                </c15:cat>
              </c15:filteredCategoryTitle>
            </c:ext>
          </c:extLst>
        </c:ser>
        <c:ser>
          <c:idx val="1"/>
          <c:order val="5"/>
          <c:tx>
            <c:strRef>
              <c:f>'Faculty Salaries by Rank'!$F$3</c:f>
              <c:strCache>
                <c:ptCount val="1"/>
                <c:pt idx="0">
                  <c:v>2007-2008</c:v>
                </c:pt>
              </c:strCache>
            </c:strRef>
          </c:tx>
          <c:spPr>
            <a:solidFill>
              <a:schemeClr val="tx1"/>
            </a:solidFill>
            <a:effectLst>
              <a:outerShdw blurRad="50800" dist="50800" dir="5400000" algn="ctr" rotWithShape="0">
                <a:schemeClr val="tx1"/>
              </a:outerShdw>
            </a:effectLst>
          </c:spPr>
          <c:invertIfNegative val="0"/>
          <c:dLbls>
            <c:spPr>
              <a:noFill/>
              <a:ln>
                <a:noFill/>
              </a:ln>
              <a:effectLst/>
            </c:spPr>
            <c:txPr>
              <a:bodyPr rot="-5400000" vert="horz"/>
              <a:lstStyle/>
              <a:p>
                <a:pPr algn="ctr">
                  <a:defRPr sz="6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Salaries by Rank'!$F$5:$F$11</c:f>
            </c:numRef>
          </c:val>
        </c:ser>
        <c:dLbls>
          <c:showLegendKey val="0"/>
          <c:showVal val="0"/>
          <c:showCatName val="0"/>
          <c:showSerName val="0"/>
          <c:showPercent val="0"/>
          <c:showBubbleSize val="0"/>
        </c:dLbls>
        <c:gapWidth val="0"/>
        <c:axId val="726654328"/>
        <c:axId val="726651192"/>
      </c:barChart>
      <c:catAx>
        <c:axId val="7266543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726651192"/>
        <c:crosses val="autoZero"/>
        <c:auto val="0"/>
        <c:lblAlgn val="ctr"/>
        <c:lblOffset val="100"/>
        <c:tickLblSkip val="1"/>
        <c:tickMarkSkip val="1"/>
        <c:noMultiLvlLbl val="0"/>
      </c:catAx>
      <c:valAx>
        <c:axId val="726651192"/>
        <c:scaling>
          <c:orientation val="minMax"/>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6654328"/>
        <c:crosses val="autoZero"/>
        <c:crossBetween val="between"/>
      </c:valAx>
      <c:spPr>
        <a:noFill/>
        <a:ln w="3175">
          <a:solidFill>
            <a:srgbClr val="000000"/>
          </a:solidFill>
          <a:prstDash val="solid"/>
        </a:ln>
      </c:spPr>
    </c:plotArea>
    <c:legend>
      <c:legendPos val="b"/>
      <c:layout>
        <c:manualLayout>
          <c:xMode val="edge"/>
          <c:yMode val="edge"/>
          <c:x val="0.22686034281815856"/>
          <c:y val="0.91911764705882371"/>
          <c:w val="0.53494641689644384"/>
          <c:h val="6.4110313416705422E-2"/>
        </c:manualLayout>
      </c:layout>
      <c:overlay val="0"/>
      <c:spPr>
        <a:solidFill>
          <a:srgbClr val="FFFFFF"/>
        </a:solidFill>
        <a:ln w="25400">
          <a:noFill/>
        </a:ln>
      </c:spPr>
      <c:txPr>
        <a:bodyPr/>
        <a:lstStyle/>
        <a:p>
          <a:pPr>
            <a:defRPr sz="4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4" r="0.750000000000004" t="1" header="0.5" footer="0.5"/>
    <c:pageSetup orientation="landscape" horizontalDpi="1200" verticalDpi="1200"/>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Full-time Undergraduate Academic Fees by Academic Year</a:t>
            </a:r>
          </a:p>
        </c:rich>
      </c:tx>
      <c:layout>
        <c:manualLayout>
          <c:xMode val="edge"/>
          <c:yMode val="edge"/>
          <c:x val="0.13943377992783584"/>
          <c:y val="1.7006802721088437E-2"/>
        </c:manualLayout>
      </c:layout>
      <c:overlay val="0"/>
      <c:spPr>
        <a:noFill/>
        <a:ln w="25400">
          <a:noFill/>
        </a:ln>
      </c:spPr>
    </c:title>
    <c:autoTitleDeleted val="0"/>
    <c:plotArea>
      <c:layout>
        <c:manualLayout>
          <c:layoutTarget val="inner"/>
          <c:xMode val="edge"/>
          <c:yMode val="edge"/>
          <c:x val="0.12854057849217579"/>
          <c:y val="0.18707545132949296"/>
          <c:w val="0.7559928938438194"/>
          <c:h val="0.57823321320024579"/>
        </c:manualLayout>
      </c:layout>
      <c:barChart>
        <c:barDir val="col"/>
        <c:grouping val="clustered"/>
        <c:varyColors val="0"/>
        <c:ser>
          <c:idx val="0"/>
          <c:order val="0"/>
          <c:tx>
            <c:strRef>
              <c:f>'Academic Fees'!$C$4</c:f>
              <c:strCache>
                <c:ptCount val="1"/>
                <c:pt idx="0">
                  <c:v>IN-STATE</c:v>
                </c:pt>
              </c:strCache>
            </c:strRef>
          </c:tx>
          <c:spPr>
            <a:solidFill>
              <a:schemeClr val="bg1">
                <a:lumMod val="75000"/>
              </a:schemeClr>
            </a:solidFill>
            <a:ln w="12700">
              <a:solidFill>
                <a:srgbClr val="000000"/>
              </a:solidFill>
              <a:prstDash val="solid"/>
            </a:ln>
          </c:spPr>
          <c:invertIfNegative val="0"/>
          <c:dLbls>
            <c:spPr>
              <a:noFill/>
              <a:ln w="25400">
                <a:noFill/>
              </a:ln>
            </c:spPr>
            <c:txPr>
              <a:bodyPr rot="-5400000" vert="horz"/>
              <a:lstStyle/>
              <a:p>
                <a:pPr algn="r">
                  <a:defRPr sz="7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exp"/>
            <c:dispRSqr val="0"/>
            <c:dispEq val="0"/>
          </c:trendline>
          <c:cat>
            <c:strRef>
              <c:f>'Academic Fees'!$B$8:$B$16</c:f>
              <c:strCache>
                <c:ptCount val="9"/>
                <c:pt idx="0">
                  <c:v>2011-2012</c:v>
                </c:pt>
                <c:pt idx="2">
                  <c:v>2012-2013</c:v>
                </c:pt>
                <c:pt idx="4">
                  <c:v>2013-2014</c:v>
                </c:pt>
                <c:pt idx="6">
                  <c:v>2014-2015</c:v>
                </c:pt>
                <c:pt idx="8">
                  <c:v>2015-2016</c:v>
                </c:pt>
              </c:strCache>
            </c:strRef>
          </c:cat>
          <c:val>
            <c:numRef>
              <c:f>'Academic Fees'!$C$8:$C$16</c:f>
              <c:numCache>
                <c:formatCode>General</c:formatCode>
                <c:ptCount val="9"/>
                <c:pt idx="0" formatCode="_(&quot;$&quot;* #,##0_);_(&quot;$&quot;* \(#,##0\);_(&quot;$&quot;* &quot;-&quot;_);_(@_)">
                  <c:v>9504</c:v>
                </c:pt>
                <c:pt idx="2" formatCode="_(&quot;$&quot;* #,##0_);_(&quot;$&quot;* \(#,##0\);_(&quot;$&quot;* &quot;-&quot;_);_(@_)">
                  <c:v>9792</c:v>
                </c:pt>
                <c:pt idx="4" formatCode="_(&quot;$&quot;* #,##0_);_(&quot;$&quot;* \(#,##0\);_(&quot;$&quot;* &quot;-&quot;_);_(@_)">
                  <c:v>10100</c:v>
                </c:pt>
                <c:pt idx="6" formatCode="_(&quot;$&quot;* #,##0_);_(&quot;$&quot;* \(#,##0\);_(&quot;$&quot;* &quot;-&quot;_);_(@_)">
                  <c:v>10418</c:v>
                </c:pt>
                <c:pt idx="8" formatCode="_(&quot;$&quot;* #,##0_);_(&quot;$&quot;* \(#,##0\);_(&quot;$&quot;* &quot;-&quot;_);_(@_)">
                  <c:v>10752</c:v>
                </c:pt>
              </c:numCache>
            </c:numRef>
          </c:val>
        </c:ser>
        <c:ser>
          <c:idx val="1"/>
          <c:order val="1"/>
          <c:tx>
            <c:strRef>
              <c:f>'Academic Fees'!$D$4</c:f>
              <c:strCache>
                <c:ptCount val="1"/>
                <c:pt idx="0">
                  <c:v>OUT-OF-STATE</c:v>
                </c:pt>
              </c:strCache>
            </c:strRef>
          </c:tx>
          <c:spPr>
            <a:solidFill>
              <a:schemeClr val="tx2">
                <a:lumMod val="60000"/>
                <a:lumOff val="40000"/>
              </a:schemeClr>
            </a:solidFill>
            <a:ln w="12700">
              <a:solidFill>
                <a:srgbClr val="000000"/>
              </a:solidFill>
              <a:prstDash val="solid"/>
            </a:ln>
          </c:spPr>
          <c:invertIfNegative val="0"/>
          <c:dLbls>
            <c:spPr>
              <a:noFill/>
              <a:ln w="25400">
                <a:noFill/>
              </a:ln>
            </c:spPr>
            <c:txPr>
              <a:bodyPr rot="-5400000" vert="horz"/>
              <a:lstStyle/>
              <a:p>
                <a:pPr algn="r">
                  <a:defRPr sz="7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exp"/>
            <c:dispRSqr val="0"/>
            <c:dispEq val="0"/>
          </c:trendline>
          <c:cat>
            <c:strRef>
              <c:f>'Academic Fees'!$B$8:$B$16</c:f>
              <c:strCache>
                <c:ptCount val="9"/>
                <c:pt idx="0">
                  <c:v>2011-2012</c:v>
                </c:pt>
                <c:pt idx="2">
                  <c:v>2012-2013</c:v>
                </c:pt>
                <c:pt idx="4">
                  <c:v>2013-2014</c:v>
                </c:pt>
                <c:pt idx="6">
                  <c:v>2014-2015</c:v>
                </c:pt>
                <c:pt idx="8">
                  <c:v>2015-2016</c:v>
                </c:pt>
              </c:strCache>
            </c:strRef>
          </c:cat>
          <c:val>
            <c:numRef>
              <c:f>'Academic Fees'!$D$8:$D$16</c:f>
              <c:numCache>
                <c:formatCode>General</c:formatCode>
                <c:ptCount val="9"/>
                <c:pt idx="0" formatCode="_(&quot;$&quot;* #,##0_);_(&quot;$&quot;* \(#,##0\);_(&quot;$&quot;* &quot;-&quot;_);_(@_)">
                  <c:v>17976</c:v>
                </c:pt>
                <c:pt idx="2" formatCode="_(&quot;$&quot;* #,##0_);_(&quot;$&quot;* \(#,##0\);_(&quot;$&quot;* &quot;-&quot;_);_(@_)">
                  <c:v>18552</c:v>
                </c:pt>
                <c:pt idx="4" formatCode="_(&quot;$&quot;* #,##0_);_(&quot;$&quot;* \(#,##0\);_(&quot;$&quot;* &quot;-&quot;_);_(@_)">
                  <c:v>19136</c:v>
                </c:pt>
                <c:pt idx="6" formatCode="_(&quot;$&quot;* #,##0_);_(&quot;$&quot;* \(#,##0\);_(&quot;$&quot;* &quot;-&quot;_);_(@_)">
                  <c:v>19738</c:v>
                </c:pt>
                <c:pt idx="8" formatCode="_(&quot;$&quot;* #,##0_);_(&quot;$&quot;* \(#,##0\);_(&quot;$&quot;* &quot;-&quot;_);_(@_)">
                  <c:v>20370</c:v>
                </c:pt>
              </c:numCache>
            </c:numRef>
          </c:val>
        </c:ser>
        <c:dLbls>
          <c:showLegendKey val="0"/>
          <c:showVal val="0"/>
          <c:showCatName val="1"/>
          <c:showSerName val="0"/>
          <c:showPercent val="0"/>
          <c:showBubbleSize val="0"/>
        </c:dLbls>
        <c:gapWidth val="0"/>
        <c:axId val="726651976"/>
        <c:axId val="726653544"/>
      </c:barChart>
      <c:catAx>
        <c:axId val="72665197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726653544"/>
        <c:crosses val="autoZero"/>
        <c:auto val="1"/>
        <c:lblAlgn val="ctr"/>
        <c:lblOffset val="100"/>
        <c:tickLblSkip val="1"/>
        <c:tickMarkSkip val="1"/>
        <c:noMultiLvlLbl val="0"/>
      </c:catAx>
      <c:valAx>
        <c:axId val="726653544"/>
        <c:scaling>
          <c:orientation val="minMax"/>
        </c:scaling>
        <c:delete val="0"/>
        <c:axPos val="l"/>
        <c:majorGridlines>
          <c:spPr>
            <a:ln w="3175">
              <a:solidFill>
                <a:srgbClr val="000000"/>
              </a:solidFill>
              <a:prstDash val="solid"/>
            </a:ln>
          </c:spPr>
        </c:majorGridlines>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6651976"/>
        <c:crosses val="autoZero"/>
        <c:crossBetween val="between"/>
      </c:valAx>
      <c:spPr>
        <a:solidFill>
          <a:srgbClr val="FFFFFF"/>
        </a:solidFill>
        <a:ln w="3175">
          <a:solidFill>
            <a:srgbClr val="000000"/>
          </a:solidFill>
          <a:prstDash val="solid"/>
        </a:ln>
      </c:spPr>
    </c:plotArea>
    <c:legend>
      <c:legendPos val="b"/>
      <c:legendEntry>
        <c:idx val="2"/>
        <c:delete val="1"/>
      </c:legendEntry>
      <c:legendEntry>
        <c:idx val="3"/>
        <c:delete val="1"/>
      </c:legendEntry>
      <c:layout>
        <c:manualLayout>
          <c:xMode val="edge"/>
          <c:yMode val="edge"/>
          <c:x val="0.27473197206281419"/>
          <c:y val="0.94218008463227809"/>
          <c:w val="0.37467302815961556"/>
          <c:h val="4.7619047619047693E-2"/>
        </c:manualLayout>
      </c:layout>
      <c:overlay val="0"/>
      <c:spPr>
        <a:solidFill>
          <a:srgbClr val="FFFFFF"/>
        </a:solidFill>
        <a:ln w="25400">
          <a:noFill/>
        </a:ln>
      </c:spPr>
      <c:txPr>
        <a:bodyPr/>
        <a:lstStyle/>
        <a:p>
          <a:pPr>
            <a:defRPr sz="7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4" r="0.750000000000004" t="1" header="0.5" footer="0.5"/>
    <c:pageSetup orientation="landscape" horizontalDpi="-4"/>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128526645768025E-2"/>
          <c:y val="0.11764743428128348"/>
          <c:w val="0.9106583072100316"/>
          <c:h val="0.65686484140383461"/>
        </c:manualLayout>
      </c:layout>
      <c:barChart>
        <c:barDir val="col"/>
        <c:grouping val="clustered"/>
        <c:varyColors val="0"/>
        <c:ser>
          <c:idx val="2"/>
          <c:order val="0"/>
          <c:tx>
            <c:strRef>
              <c:f>'Freshmen SAT 96-15'!$O$3:$O$4</c:f>
              <c:strCache>
                <c:ptCount val="2"/>
                <c:pt idx="0">
                  <c:v>COMBINED</c:v>
                </c:pt>
                <c:pt idx="1">
                  <c:v>Lander</c:v>
                </c:pt>
              </c:strCache>
            </c:strRef>
          </c:tx>
          <c:spPr>
            <a:solidFill>
              <a:srgbClr val="FFFFFF"/>
            </a:solidFill>
            <a:ln w="12700">
              <a:solidFill>
                <a:srgbClr val="000000"/>
              </a:solidFill>
              <a:prstDash val="solid"/>
            </a:ln>
          </c:spPr>
          <c:invertIfNegative val="0"/>
          <c:dLbls>
            <c:spPr>
              <a:noFill/>
              <a:ln w="25400">
                <a:noFill/>
              </a:ln>
            </c:spPr>
            <c:txPr>
              <a:bodyPr rot="-5400000" vert="horz"/>
              <a:lstStyle/>
              <a:p>
                <a:pPr algn="ctr">
                  <a:defRPr sz="7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log"/>
            <c:dispRSqr val="0"/>
            <c:dispEq val="0"/>
          </c:trendline>
          <c:cat>
            <c:numRef>
              <c:f>'Freshmen SAT 96-15'!$N$5:$N$44</c:f>
              <c:numCache>
                <c:formatCode>General</c:formatCode>
                <c:ptCount val="40"/>
                <c:pt idx="1">
                  <c:v>1996</c:v>
                </c:pt>
                <c:pt idx="3">
                  <c:v>1997</c:v>
                </c:pt>
                <c:pt idx="5">
                  <c:v>1998</c:v>
                </c:pt>
                <c:pt idx="7">
                  <c:v>1999</c:v>
                </c:pt>
                <c:pt idx="9">
                  <c:v>2000</c:v>
                </c:pt>
                <c:pt idx="11">
                  <c:v>2001</c:v>
                </c:pt>
                <c:pt idx="13">
                  <c:v>2002</c:v>
                </c:pt>
                <c:pt idx="15">
                  <c:v>2003</c:v>
                </c:pt>
                <c:pt idx="17">
                  <c:v>2004</c:v>
                </c:pt>
                <c:pt idx="19">
                  <c:v>2005</c:v>
                </c:pt>
                <c:pt idx="21">
                  <c:v>2006</c:v>
                </c:pt>
                <c:pt idx="23">
                  <c:v>2007</c:v>
                </c:pt>
                <c:pt idx="25">
                  <c:v>2008</c:v>
                </c:pt>
                <c:pt idx="27">
                  <c:v>2009</c:v>
                </c:pt>
                <c:pt idx="29">
                  <c:v>2010</c:v>
                </c:pt>
                <c:pt idx="31">
                  <c:v>2011</c:v>
                </c:pt>
                <c:pt idx="33">
                  <c:v>2012</c:v>
                </c:pt>
                <c:pt idx="35">
                  <c:v>2013</c:v>
                </c:pt>
                <c:pt idx="37">
                  <c:v>2014</c:v>
                </c:pt>
                <c:pt idx="39">
                  <c:v>2015</c:v>
                </c:pt>
              </c:numCache>
            </c:numRef>
          </c:cat>
          <c:val>
            <c:numRef>
              <c:f>'Freshmen SAT 96-15'!$O$5:$O$44</c:f>
              <c:numCache>
                <c:formatCode>General</c:formatCode>
                <c:ptCount val="40"/>
                <c:pt idx="1">
                  <c:v>987</c:v>
                </c:pt>
                <c:pt idx="3">
                  <c:v>983</c:v>
                </c:pt>
                <c:pt idx="5">
                  <c:v>971</c:v>
                </c:pt>
                <c:pt idx="7">
                  <c:v>977</c:v>
                </c:pt>
                <c:pt idx="9">
                  <c:v>996</c:v>
                </c:pt>
                <c:pt idx="11">
                  <c:v>996</c:v>
                </c:pt>
                <c:pt idx="13">
                  <c:v>976</c:v>
                </c:pt>
                <c:pt idx="15">
                  <c:v>992</c:v>
                </c:pt>
                <c:pt idx="17">
                  <c:v>974</c:v>
                </c:pt>
                <c:pt idx="19">
                  <c:v>974</c:v>
                </c:pt>
                <c:pt idx="21">
                  <c:v>968</c:v>
                </c:pt>
                <c:pt idx="23">
                  <c:v>994</c:v>
                </c:pt>
                <c:pt idx="25">
                  <c:v>964</c:v>
                </c:pt>
                <c:pt idx="27">
                  <c:v>989</c:v>
                </c:pt>
                <c:pt idx="29">
                  <c:v>986</c:v>
                </c:pt>
                <c:pt idx="31">
                  <c:v>968</c:v>
                </c:pt>
                <c:pt idx="33">
                  <c:v>981</c:v>
                </c:pt>
                <c:pt idx="35">
                  <c:v>970</c:v>
                </c:pt>
                <c:pt idx="37">
                  <c:v>982</c:v>
                </c:pt>
                <c:pt idx="39">
                  <c:v>971</c:v>
                </c:pt>
              </c:numCache>
            </c:numRef>
          </c:val>
        </c:ser>
        <c:ser>
          <c:idx val="0"/>
          <c:order val="1"/>
          <c:tx>
            <c:strRef>
              <c:f>'Freshmen SAT 96-15'!$P$3:$P$4</c:f>
              <c:strCache>
                <c:ptCount val="2"/>
                <c:pt idx="0">
                  <c:v>COMBINED</c:v>
                </c:pt>
                <c:pt idx="1">
                  <c:v>State</c:v>
                </c:pt>
              </c:strCache>
            </c:strRef>
          </c:tx>
          <c:spPr>
            <a:solidFill>
              <a:schemeClr val="accent1">
                <a:lumMod val="75000"/>
              </a:schemeClr>
            </a:solidFill>
            <a:ln w="12700">
              <a:solidFill>
                <a:srgbClr val="000000"/>
              </a:solidFill>
              <a:prstDash val="solid"/>
            </a:ln>
          </c:spPr>
          <c:invertIfNegative val="0"/>
          <c:dLbls>
            <c:spPr>
              <a:noFill/>
              <a:ln w="25400">
                <a:noFill/>
              </a:ln>
            </c:spPr>
            <c:txPr>
              <a:bodyPr rot="-5400000" vert="horz"/>
              <a:lstStyle/>
              <a:p>
                <a:pPr algn="ctr">
                  <a:defRPr sz="7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log"/>
            <c:dispRSqr val="0"/>
            <c:dispEq val="0"/>
          </c:trendline>
          <c:cat>
            <c:numRef>
              <c:f>'Freshmen SAT 96-15'!$N$5:$N$44</c:f>
              <c:numCache>
                <c:formatCode>General</c:formatCode>
                <c:ptCount val="40"/>
                <c:pt idx="1">
                  <c:v>1996</c:v>
                </c:pt>
                <c:pt idx="3">
                  <c:v>1997</c:v>
                </c:pt>
                <c:pt idx="5">
                  <c:v>1998</c:v>
                </c:pt>
                <c:pt idx="7">
                  <c:v>1999</c:v>
                </c:pt>
                <c:pt idx="9">
                  <c:v>2000</c:v>
                </c:pt>
                <c:pt idx="11">
                  <c:v>2001</c:v>
                </c:pt>
                <c:pt idx="13">
                  <c:v>2002</c:v>
                </c:pt>
                <c:pt idx="15">
                  <c:v>2003</c:v>
                </c:pt>
                <c:pt idx="17">
                  <c:v>2004</c:v>
                </c:pt>
                <c:pt idx="19">
                  <c:v>2005</c:v>
                </c:pt>
                <c:pt idx="21">
                  <c:v>2006</c:v>
                </c:pt>
                <c:pt idx="23">
                  <c:v>2007</c:v>
                </c:pt>
                <c:pt idx="25">
                  <c:v>2008</c:v>
                </c:pt>
                <c:pt idx="27">
                  <c:v>2009</c:v>
                </c:pt>
                <c:pt idx="29">
                  <c:v>2010</c:v>
                </c:pt>
                <c:pt idx="31">
                  <c:v>2011</c:v>
                </c:pt>
                <c:pt idx="33">
                  <c:v>2012</c:v>
                </c:pt>
                <c:pt idx="35">
                  <c:v>2013</c:v>
                </c:pt>
                <c:pt idx="37">
                  <c:v>2014</c:v>
                </c:pt>
                <c:pt idx="39">
                  <c:v>2015</c:v>
                </c:pt>
              </c:numCache>
            </c:numRef>
          </c:cat>
          <c:val>
            <c:numRef>
              <c:f>'Freshmen SAT 96-15'!$P$5:$P$44</c:f>
              <c:numCache>
                <c:formatCode>General</c:formatCode>
                <c:ptCount val="40"/>
                <c:pt idx="1">
                  <c:v>954</c:v>
                </c:pt>
                <c:pt idx="3">
                  <c:v>953</c:v>
                </c:pt>
                <c:pt idx="5">
                  <c:v>951</c:v>
                </c:pt>
                <c:pt idx="7">
                  <c:v>954</c:v>
                </c:pt>
                <c:pt idx="9">
                  <c:v>966</c:v>
                </c:pt>
                <c:pt idx="11">
                  <c:v>974</c:v>
                </c:pt>
                <c:pt idx="13">
                  <c:v>981</c:v>
                </c:pt>
                <c:pt idx="15">
                  <c:v>989</c:v>
                </c:pt>
                <c:pt idx="17">
                  <c:v>986</c:v>
                </c:pt>
                <c:pt idx="19">
                  <c:v>993</c:v>
                </c:pt>
                <c:pt idx="21">
                  <c:v>985</c:v>
                </c:pt>
                <c:pt idx="23">
                  <c:v>984</c:v>
                </c:pt>
                <c:pt idx="25">
                  <c:v>985</c:v>
                </c:pt>
                <c:pt idx="27">
                  <c:v>982</c:v>
                </c:pt>
                <c:pt idx="29">
                  <c:v>979</c:v>
                </c:pt>
                <c:pt idx="31">
                  <c:v>972</c:v>
                </c:pt>
                <c:pt idx="33">
                  <c:v>969</c:v>
                </c:pt>
                <c:pt idx="35">
                  <c:v>971</c:v>
                </c:pt>
                <c:pt idx="37">
                  <c:v>978</c:v>
                </c:pt>
                <c:pt idx="39">
                  <c:v>975</c:v>
                </c:pt>
              </c:numCache>
            </c:numRef>
          </c:val>
        </c:ser>
        <c:ser>
          <c:idx val="1"/>
          <c:order val="2"/>
          <c:tx>
            <c:strRef>
              <c:f>'Freshmen SAT 96-15'!$Q$3:$Q$4</c:f>
              <c:strCache>
                <c:ptCount val="2"/>
                <c:pt idx="0">
                  <c:v>COMBINED</c:v>
                </c:pt>
                <c:pt idx="1">
                  <c:v> Nation</c:v>
                </c:pt>
              </c:strCache>
            </c:strRef>
          </c:tx>
          <c:spPr>
            <a:solidFill>
              <a:srgbClr val="C0C0C0"/>
            </a:solidFill>
            <a:ln w="12700">
              <a:solidFill>
                <a:srgbClr val="000000"/>
              </a:solidFill>
              <a:prstDash val="solid"/>
            </a:ln>
          </c:spPr>
          <c:invertIfNegative val="0"/>
          <c:dLbls>
            <c:spPr>
              <a:noFill/>
              <a:ln w="25400">
                <a:noFill/>
              </a:ln>
            </c:spPr>
            <c:txPr>
              <a:bodyPr rot="-5400000" vert="horz"/>
              <a:lstStyle/>
              <a:p>
                <a:pPr algn="ctr">
                  <a:defRPr sz="7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log"/>
            <c:dispRSqr val="0"/>
            <c:dispEq val="0"/>
          </c:trendline>
          <c:cat>
            <c:numRef>
              <c:f>'Freshmen SAT 96-15'!$N$5:$N$44</c:f>
              <c:numCache>
                <c:formatCode>General</c:formatCode>
                <c:ptCount val="40"/>
                <c:pt idx="1">
                  <c:v>1996</c:v>
                </c:pt>
                <c:pt idx="3">
                  <c:v>1997</c:v>
                </c:pt>
                <c:pt idx="5">
                  <c:v>1998</c:v>
                </c:pt>
                <c:pt idx="7">
                  <c:v>1999</c:v>
                </c:pt>
                <c:pt idx="9">
                  <c:v>2000</c:v>
                </c:pt>
                <c:pt idx="11">
                  <c:v>2001</c:v>
                </c:pt>
                <c:pt idx="13">
                  <c:v>2002</c:v>
                </c:pt>
                <c:pt idx="15">
                  <c:v>2003</c:v>
                </c:pt>
                <c:pt idx="17">
                  <c:v>2004</c:v>
                </c:pt>
                <c:pt idx="19">
                  <c:v>2005</c:v>
                </c:pt>
                <c:pt idx="21">
                  <c:v>2006</c:v>
                </c:pt>
                <c:pt idx="23">
                  <c:v>2007</c:v>
                </c:pt>
                <c:pt idx="25">
                  <c:v>2008</c:v>
                </c:pt>
                <c:pt idx="27">
                  <c:v>2009</c:v>
                </c:pt>
                <c:pt idx="29">
                  <c:v>2010</c:v>
                </c:pt>
                <c:pt idx="31">
                  <c:v>2011</c:v>
                </c:pt>
                <c:pt idx="33">
                  <c:v>2012</c:v>
                </c:pt>
                <c:pt idx="35">
                  <c:v>2013</c:v>
                </c:pt>
                <c:pt idx="37">
                  <c:v>2014</c:v>
                </c:pt>
                <c:pt idx="39">
                  <c:v>2015</c:v>
                </c:pt>
              </c:numCache>
            </c:numRef>
          </c:cat>
          <c:val>
            <c:numRef>
              <c:f>'Freshmen SAT 96-15'!$Q$5:$Q$44</c:f>
              <c:numCache>
                <c:formatCode>General</c:formatCode>
                <c:ptCount val="40"/>
                <c:pt idx="1">
                  <c:v>1013</c:v>
                </c:pt>
                <c:pt idx="3">
                  <c:v>1016</c:v>
                </c:pt>
                <c:pt idx="5">
                  <c:v>1017</c:v>
                </c:pt>
                <c:pt idx="7">
                  <c:v>1016</c:v>
                </c:pt>
                <c:pt idx="9">
                  <c:v>1019</c:v>
                </c:pt>
                <c:pt idx="11">
                  <c:v>1020</c:v>
                </c:pt>
                <c:pt idx="13">
                  <c:v>1020</c:v>
                </c:pt>
                <c:pt idx="15">
                  <c:v>1026</c:v>
                </c:pt>
                <c:pt idx="17">
                  <c:v>1026</c:v>
                </c:pt>
                <c:pt idx="19">
                  <c:v>1028</c:v>
                </c:pt>
                <c:pt idx="21">
                  <c:v>1021</c:v>
                </c:pt>
                <c:pt idx="23">
                  <c:v>1017</c:v>
                </c:pt>
                <c:pt idx="25">
                  <c:v>1017</c:v>
                </c:pt>
                <c:pt idx="27">
                  <c:v>1016</c:v>
                </c:pt>
                <c:pt idx="29">
                  <c:v>1017</c:v>
                </c:pt>
                <c:pt idx="31">
                  <c:v>1011</c:v>
                </c:pt>
                <c:pt idx="33">
                  <c:v>1010</c:v>
                </c:pt>
                <c:pt idx="35">
                  <c:v>1010</c:v>
                </c:pt>
                <c:pt idx="37">
                  <c:v>1010</c:v>
                </c:pt>
                <c:pt idx="39">
                  <c:v>1006</c:v>
                </c:pt>
              </c:numCache>
            </c:numRef>
          </c:val>
        </c:ser>
        <c:dLbls>
          <c:showLegendKey val="0"/>
          <c:showVal val="0"/>
          <c:showCatName val="0"/>
          <c:showSerName val="0"/>
          <c:showPercent val="0"/>
          <c:showBubbleSize val="0"/>
        </c:dLbls>
        <c:gapWidth val="0"/>
        <c:axId val="523941504"/>
        <c:axId val="523942288"/>
      </c:barChart>
      <c:catAx>
        <c:axId val="5239415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523942288"/>
        <c:crosses val="autoZero"/>
        <c:auto val="0"/>
        <c:lblAlgn val="ctr"/>
        <c:lblOffset val="100"/>
        <c:tickLblSkip val="1"/>
        <c:tickMarkSkip val="1"/>
        <c:noMultiLvlLbl val="0"/>
      </c:catAx>
      <c:valAx>
        <c:axId val="523942288"/>
        <c:scaling>
          <c:orientation val="minMax"/>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3941504"/>
        <c:crosses val="autoZero"/>
        <c:crossBetween val="between"/>
      </c:valAx>
      <c:spPr>
        <a:noFill/>
        <a:ln w="12700">
          <a:solidFill>
            <a:srgbClr val="808080"/>
          </a:solidFill>
          <a:prstDash val="solid"/>
        </a:ln>
      </c:spPr>
    </c:plotArea>
    <c:legend>
      <c:legendPos val="b"/>
      <c:legendEntry>
        <c:idx val="3"/>
        <c:delete val="1"/>
      </c:legendEntry>
      <c:legendEntry>
        <c:idx val="4"/>
        <c:delete val="1"/>
      </c:legendEntry>
      <c:legendEntry>
        <c:idx val="5"/>
        <c:delete val="1"/>
      </c:legendEntry>
      <c:layout>
        <c:manualLayout>
          <c:xMode val="edge"/>
          <c:yMode val="edge"/>
          <c:x val="0.16186333201554751"/>
          <c:y val="0.9117674506372978"/>
          <c:w val="0.70608762451389917"/>
          <c:h val="6.5359820218551135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900915493396298E-2"/>
          <c:y val="7.6142226342186439E-2"/>
          <c:w val="0.85977396573867804"/>
          <c:h val="0.72842729867359191"/>
        </c:manualLayout>
      </c:layout>
      <c:barChart>
        <c:barDir val="col"/>
        <c:grouping val="clustered"/>
        <c:varyColors val="0"/>
        <c:ser>
          <c:idx val="0"/>
          <c:order val="0"/>
          <c:tx>
            <c:strRef>
              <c:f>'Transfer Application History'!$K$3</c:f>
              <c:strCache>
                <c:ptCount val="1"/>
                <c:pt idx="0">
                  <c:v>APPLICATIONS RECEIVED</c:v>
                </c:pt>
              </c:strCache>
            </c:strRef>
          </c:tx>
          <c:spPr>
            <a:solidFill>
              <a:srgbClr val="C0C0C0"/>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log"/>
            <c:dispRSqr val="0"/>
            <c:dispEq val="0"/>
          </c:trendline>
          <c:cat>
            <c:numRef>
              <c:f>'Transfer Application History'!$J$4:$J$19</c:f>
              <c:numCache>
                <c:formatCode>General</c:formatCode>
                <c:ptCount val="10"/>
                <c:pt idx="1">
                  <c:v>2011</c:v>
                </c:pt>
                <c:pt idx="3">
                  <c:v>2012</c:v>
                </c:pt>
                <c:pt idx="5">
                  <c:v>2013</c:v>
                </c:pt>
                <c:pt idx="7">
                  <c:v>2014</c:v>
                </c:pt>
                <c:pt idx="9">
                  <c:v>2015</c:v>
                </c:pt>
              </c:numCache>
            </c:numRef>
          </c:cat>
          <c:val>
            <c:numRef>
              <c:f>'Transfer Application History'!$K$4:$K$19</c:f>
              <c:numCache>
                <c:formatCode>General</c:formatCode>
                <c:ptCount val="10"/>
                <c:pt idx="1">
                  <c:v>639</c:v>
                </c:pt>
                <c:pt idx="3">
                  <c:v>598</c:v>
                </c:pt>
                <c:pt idx="5">
                  <c:v>591</c:v>
                </c:pt>
                <c:pt idx="7">
                  <c:v>590</c:v>
                </c:pt>
                <c:pt idx="9">
                  <c:v>459</c:v>
                </c:pt>
              </c:numCache>
            </c:numRef>
          </c:val>
        </c:ser>
        <c:ser>
          <c:idx val="1"/>
          <c:order val="1"/>
          <c:tx>
            <c:strRef>
              <c:f>'Transfer Application History'!$L$3</c:f>
              <c:strCache>
                <c:ptCount val="1"/>
                <c:pt idx="0">
                  <c:v>APPLICATIONS ACCEPTED</c:v>
                </c:pt>
              </c:strCache>
            </c:strRef>
          </c:tx>
          <c:spPr>
            <a:solidFill>
              <a:srgbClr val="FFFFFF"/>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log"/>
            <c:dispRSqr val="0"/>
            <c:dispEq val="0"/>
          </c:trendline>
          <c:cat>
            <c:numRef>
              <c:f>'Transfer Application History'!$J$4:$J$19</c:f>
              <c:numCache>
                <c:formatCode>General</c:formatCode>
                <c:ptCount val="10"/>
                <c:pt idx="1">
                  <c:v>2011</c:v>
                </c:pt>
                <c:pt idx="3">
                  <c:v>2012</c:v>
                </c:pt>
                <c:pt idx="5">
                  <c:v>2013</c:v>
                </c:pt>
                <c:pt idx="7">
                  <c:v>2014</c:v>
                </c:pt>
                <c:pt idx="9">
                  <c:v>2015</c:v>
                </c:pt>
              </c:numCache>
            </c:numRef>
          </c:cat>
          <c:val>
            <c:numRef>
              <c:f>'Transfer Application History'!$L$4:$L$19</c:f>
              <c:numCache>
                <c:formatCode>General</c:formatCode>
                <c:ptCount val="10"/>
                <c:pt idx="1">
                  <c:v>299</c:v>
                </c:pt>
                <c:pt idx="3">
                  <c:v>311</c:v>
                </c:pt>
                <c:pt idx="5">
                  <c:v>311</c:v>
                </c:pt>
                <c:pt idx="7">
                  <c:v>329</c:v>
                </c:pt>
                <c:pt idx="9">
                  <c:v>271</c:v>
                </c:pt>
              </c:numCache>
            </c:numRef>
          </c:val>
        </c:ser>
        <c:ser>
          <c:idx val="2"/>
          <c:order val="2"/>
          <c:tx>
            <c:strRef>
              <c:f>'Transfer Application History'!$M$3</c:f>
              <c:strCache>
                <c:ptCount val="1"/>
                <c:pt idx="0">
                  <c:v>APPLICATIONS ENROLLED</c:v>
                </c:pt>
              </c:strCache>
            </c:strRef>
          </c:tx>
          <c:spPr>
            <a:solidFill>
              <a:srgbClr val="0070C0"/>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log"/>
            <c:dispRSqr val="0"/>
            <c:dispEq val="0"/>
          </c:trendline>
          <c:cat>
            <c:numRef>
              <c:f>'Transfer Application History'!$J$4:$J$19</c:f>
              <c:numCache>
                <c:formatCode>General</c:formatCode>
                <c:ptCount val="10"/>
                <c:pt idx="1">
                  <c:v>2011</c:v>
                </c:pt>
                <c:pt idx="3">
                  <c:v>2012</c:v>
                </c:pt>
                <c:pt idx="5">
                  <c:v>2013</c:v>
                </c:pt>
                <c:pt idx="7">
                  <c:v>2014</c:v>
                </c:pt>
                <c:pt idx="9">
                  <c:v>2015</c:v>
                </c:pt>
              </c:numCache>
            </c:numRef>
          </c:cat>
          <c:val>
            <c:numRef>
              <c:f>'Transfer Application History'!$M$4:$M$19</c:f>
              <c:numCache>
                <c:formatCode>General</c:formatCode>
                <c:ptCount val="10"/>
                <c:pt idx="1">
                  <c:v>201</c:v>
                </c:pt>
                <c:pt idx="3">
                  <c:v>203</c:v>
                </c:pt>
                <c:pt idx="5">
                  <c:v>194</c:v>
                </c:pt>
                <c:pt idx="7">
                  <c:v>207</c:v>
                </c:pt>
                <c:pt idx="9">
                  <c:v>164</c:v>
                </c:pt>
              </c:numCache>
            </c:numRef>
          </c:val>
        </c:ser>
        <c:dLbls>
          <c:showLegendKey val="0"/>
          <c:showVal val="0"/>
          <c:showCatName val="0"/>
          <c:showSerName val="0"/>
          <c:showPercent val="0"/>
          <c:showBubbleSize val="0"/>
        </c:dLbls>
        <c:gapWidth val="0"/>
        <c:axId val="442289104"/>
        <c:axId val="442287144"/>
      </c:barChart>
      <c:catAx>
        <c:axId val="442289104"/>
        <c:scaling>
          <c:orientation val="minMax"/>
        </c:scaling>
        <c:delete val="0"/>
        <c:axPos val="b"/>
        <c:title>
          <c:tx>
            <c:rich>
              <a:bodyPr/>
              <a:lstStyle/>
              <a:p>
                <a:pPr>
                  <a:defRPr sz="900" b="1" i="0" u="none" strike="noStrike" baseline="0">
                    <a:solidFill>
                      <a:srgbClr val="000000"/>
                    </a:solidFill>
                    <a:latin typeface="Arial"/>
                    <a:ea typeface="Arial"/>
                    <a:cs typeface="Arial"/>
                  </a:defRPr>
                </a:pPr>
                <a:r>
                  <a:rPr lang="en-US" sz="900"/>
                  <a:t>Fall of...</a:t>
                </a:r>
              </a:p>
            </c:rich>
          </c:tx>
          <c:layout>
            <c:manualLayout>
              <c:xMode val="edge"/>
              <c:yMode val="edge"/>
              <c:x val="0.49291814443874432"/>
              <c:y val="0.8730975125571297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42287144"/>
        <c:crosses val="autoZero"/>
        <c:auto val="0"/>
        <c:lblAlgn val="ctr"/>
        <c:lblOffset val="100"/>
        <c:tickLblSkip val="1"/>
        <c:tickMarkSkip val="1"/>
        <c:noMultiLvlLbl val="0"/>
      </c:catAx>
      <c:valAx>
        <c:axId val="442287144"/>
        <c:scaling>
          <c:orientation val="minMax"/>
          <c:max val="700"/>
          <c:min val="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Number of Applicants</a:t>
                </a:r>
              </a:p>
            </c:rich>
          </c:tx>
          <c:layout>
            <c:manualLayout>
              <c:xMode val="edge"/>
              <c:yMode val="edge"/>
              <c:x val="2.5495750708215296E-2"/>
              <c:y val="0.2842642258550168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42289104"/>
        <c:crosses val="autoZero"/>
        <c:crossBetween val="between"/>
        <c:majorUnit val="50"/>
      </c:valAx>
      <c:spPr>
        <a:noFill/>
        <a:ln w="12700">
          <a:solidFill>
            <a:srgbClr val="808080"/>
          </a:solidFill>
          <a:prstDash val="solid"/>
        </a:ln>
      </c:spPr>
    </c:plotArea>
    <c:legend>
      <c:legendPos val="b"/>
      <c:legendEntry>
        <c:idx val="3"/>
        <c:delete val="1"/>
      </c:legendEntry>
      <c:legendEntry>
        <c:idx val="4"/>
        <c:delete val="1"/>
      </c:legendEntry>
      <c:legendEntry>
        <c:idx val="5"/>
        <c:delete val="1"/>
      </c:legendEntry>
      <c:layout>
        <c:manualLayout>
          <c:xMode val="edge"/>
          <c:yMode val="edge"/>
          <c:x val="0.13309638137462507"/>
          <c:y val="0.94670157347083428"/>
          <c:w val="0.74984553241662699"/>
          <c:h val="3.8071065989847691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0"/>
          <c:spPr>
            <a:solidFill>
              <a:srgbClr val="C0C0C0"/>
            </a:solidFill>
            <a:ln w="12700">
              <a:solidFill>
                <a:srgbClr val="000000"/>
              </a:solidFill>
              <a:prstDash val="solid"/>
            </a:ln>
          </c:spPr>
          <c:invertIfNegative val="0"/>
          <c:dLbls>
            <c:spPr>
              <a:noFill/>
              <a:ln w="25400">
                <a:noFill/>
              </a:ln>
            </c:spPr>
            <c:txPr>
              <a:bodyPr rot="-5400000" vert="horz"/>
              <a:lstStyle/>
              <a:p>
                <a:pPr algn="ctr">
                  <a:defRPr sz="6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val>
            <c:numRef>
              <c:f>'UG cr hrs per student'!#REF!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'UG cr hrs per student'!#REF!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'UG cr hrs per student'!#REF!</c15:sqref>
                        </c15:formulaRef>
                      </c:ext>
                    </c:extLst>
                    <c:numCache>
                      <c:formatCode>General</c:formatCode>
                      <c:ptCount val="1"/>
                      <c:pt idx="0">
                        <c:v>1</c:v>
                      </c:pt>
                    </c:numCache>
                  </c:numRef>
                </c15:cat>
              </c15:filteredCategoryTitle>
            </c:ext>
          </c:extLst>
        </c:ser>
        <c:ser>
          <c:idx val="5"/>
          <c:order val="1"/>
          <c:spPr>
            <a:pattFill prst="wdUpDiag">
              <a:fgClr>
                <a:srgbClr val="333333"/>
              </a:fgClr>
              <a:bgClr>
                <a:srgbClr val="FFFFFF"/>
              </a:bgClr>
            </a:pattFill>
            <a:ln w="12700">
              <a:solidFill>
                <a:srgbClr val="000000"/>
              </a:solidFill>
              <a:prstDash val="solid"/>
            </a:ln>
          </c:spPr>
          <c:invertIfNegative val="0"/>
          <c:dLbls>
            <c:spPr>
              <a:noFill/>
              <a:ln w="25400">
                <a:noFill/>
              </a:ln>
            </c:spPr>
            <c:txPr>
              <a:bodyPr rot="-5400000" vert="horz"/>
              <a:lstStyle/>
              <a:p>
                <a:pPr algn="ctr">
                  <a:defRPr sz="6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val>
            <c:numRef>
              <c:f>'UG cr hrs per student'!#REF!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'UG cr hrs per student'!#REF!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'UG cr hrs per student'!#REF!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0"/>
        <c:axId val="157515568"/>
        <c:axId val="157372392"/>
      </c:barChart>
      <c:catAx>
        <c:axId val="15751556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Spring of...</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7372392"/>
        <c:crosses val="autoZero"/>
        <c:auto val="0"/>
        <c:lblAlgn val="ctr"/>
        <c:lblOffset val="100"/>
        <c:tickLblSkip val="1"/>
        <c:tickMarkSkip val="1"/>
        <c:noMultiLvlLbl val="0"/>
      </c:catAx>
      <c:valAx>
        <c:axId val="157372392"/>
        <c:scaling>
          <c:orientation val="minMax"/>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7515568"/>
        <c:crosses val="autoZero"/>
        <c:crossBetween val="between"/>
      </c:valAx>
      <c:spPr>
        <a:noFill/>
        <a:ln w="12700">
          <a:solidFill>
            <a:srgbClr val="C0C0C0"/>
          </a:solidFill>
          <a:prstDash val="solid"/>
        </a:ln>
      </c:spPr>
    </c:plotArea>
    <c:legend>
      <c:legendPos val="r"/>
      <c:legendEntry>
        <c:idx val="2"/>
        <c:delete val="1"/>
      </c:legendEntry>
      <c:legendEntry>
        <c:idx val="3"/>
        <c:delete val="1"/>
      </c:legendEntry>
      <c:overlay val="0"/>
      <c:spPr>
        <a:solidFill>
          <a:srgbClr val="FFFFFF"/>
        </a:solidFill>
        <a:ln w="25400">
          <a:noFill/>
        </a:ln>
      </c:spPr>
      <c:txPr>
        <a:bodyPr/>
        <a:lstStyle/>
        <a:p>
          <a:pPr>
            <a:defRPr sz="3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Average Hours Enrolled per UG Student</a:t>
            </a:r>
          </a:p>
        </c:rich>
      </c:tx>
      <c:layout>
        <c:manualLayout>
          <c:xMode val="edge"/>
          <c:yMode val="edge"/>
          <c:x val="0.37245859088395245"/>
          <c:y val="2.4714898370247873E-2"/>
        </c:manualLayout>
      </c:layout>
      <c:overlay val="0"/>
      <c:spPr>
        <a:noFill/>
        <a:ln w="25400">
          <a:noFill/>
        </a:ln>
      </c:spPr>
    </c:title>
    <c:autoTitleDeleted val="0"/>
    <c:plotArea>
      <c:layout>
        <c:manualLayout>
          <c:layoutTarget val="inner"/>
          <c:xMode val="edge"/>
          <c:yMode val="edge"/>
          <c:x val="9.3097913322633452E-2"/>
          <c:y val="0.11287139626333952"/>
          <c:w val="0.884430176565008"/>
          <c:h val="0.80000077351560062"/>
        </c:manualLayout>
      </c:layout>
      <c:barChart>
        <c:barDir val="col"/>
        <c:grouping val="clustered"/>
        <c:varyColors val="0"/>
        <c:ser>
          <c:idx val="1"/>
          <c:order val="0"/>
          <c:spPr>
            <a:solidFill>
              <a:srgbClr val="0070C0"/>
            </a:solidFill>
          </c:spPr>
          <c:invertIfNegative val="0"/>
          <c:dLbls>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'UG cr hrs per student'!$AE$4:$AE$16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'UG cr hrs per student'!$AF$4:$AF$16</c:f>
              <c:numCache>
                <c:formatCode>0.00</c:formatCode>
                <c:ptCount val="13"/>
                <c:pt idx="0">
                  <c:v>13.45596051632498</c:v>
                </c:pt>
                <c:pt idx="1">
                  <c:v>13.540065861690451</c:v>
                </c:pt>
                <c:pt idx="2">
                  <c:v>13.774119448698315</c:v>
                </c:pt>
                <c:pt idx="3">
                  <c:v>13.508137774413322</c:v>
                </c:pt>
                <c:pt idx="4">
                  <c:v>13.692796610169491</c:v>
                </c:pt>
                <c:pt idx="5">
                  <c:v>13.838976377952756</c:v>
                </c:pt>
                <c:pt idx="6">
                  <c:v>14.141986375044819</c:v>
                </c:pt>
                <c:pt idx="7">
                  <c:v>14.107476635514018</c:v>
                </c:pt>
                <c:pt idx="8">
                  <c:v>14.001481237656353</c:v>
                </c:pt>
                <c:pt idx="9" formatCode="General">
                  <c:v>14.08</c:v>
                </c:pt>
                <c:pt idx="10" formatCode="General">
                  <c:v>14.21</c:v>
                </c:pt>
                <c:pt idx="11">
                  <c:v>14.22</c:v>
                </c:pt>
                <c:pt idx="12" formatCode="General">
                  <c:v>14.28</c:v>
                </c:pt>
              </c:numCache>
            </c:numRef>
          </c:val>
        </c:ser>
        <c:dLbls>
          <c:showLegendKey val="0"/>
          <c:showVal val="0"/>
          <c:showCatName val="0"/>
          <c:showSerName val="0"/>
          <c:showPercent val="0"/>
          <c:showBubbleSize val="0"/>
        </c:dLbls>
        <c:gapWidth val="150"/>
        <c:axId val="440765064"/>
        <c:axId val="442291424"/>
      </c:barChart>
      <c:catAx>
        <c:axId val="440765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442291424"/>
        <c:crosses val="autoZero"/>
        <c:auto val="1"/>
        <c:lblAlgn val="ctr"/>
        <c:lblOffset val="100"/>
        <c:tickLblSkip val="1"/>
        <c:tickMarkSkip val="1"/>
        <c:noMultiLvlLbl val="0"/>
      </c:catAx>
      <c:valAx>
        <c:axId val="442291424"/>
        <c:scaling>
          <c:orientation val="minMax"/>
          <c:max val="14.4"/>
          <c:min val="13"/>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440765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3370138984738"/>
          <c:y val="0.13679245283018987"/>
          <c:w val="0.73866859028278764"/>
          <c:h val="0.59905660377358494"/>
        </c:manualLayout>
      </c:layout>
      <c:barChart>
        <c:barDir val="col"/>
        <c:grouping val="clustered"/>
        <c:varyColors val="0"/>
        <c:ser>
          <c:idx val="2"/>
          <c:order val="0"/>
          <c:tx>
            <c:strRef>
              <c:f>'Headcount &amp; FTE History'!$E$28:$E$30</c:f>
              <c:strCache>
                <c:ptCount val="3"/>
                <c:pt idx="0">
                  <c:v>HEADCOUNT</c:v>
                </c:pt>
                <c:pt idx="1">
                  <c:v>TOTAL</c:v>
                </c:pt>
              </c:strCache>
            </c:strRef>
          </c:tx>
          <c:spPr>
            <a:solidFill>
              <a:srgbClr val="0070C0"/>
            </a:solidFill>
            <a:ln w="12700">
              <a:solidFill>
                <a:srgbClr val="000000"/>
              </a:solidFill>
              <a:prstDash val="solid"/>
            </a:ln>
          </c:spPr>
          <c:invertIfNegative val="0"/>
          <c:dLbls>
            <c:spPr>
              <a:noFill/>
              <a:ln w="25400">
                <a:noFill/>
              </a:ln>
            </c:spPr>
            <c:txPr>
              <a:bodyPr rot="-5400000" vert="horz"/>
              <a:lstStyle/>
              <a:p>
                <a:pPr algn="ctr">
                  <a:defRPr sz="6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log"/>
            <c:dispRSqr val="0"/>
            <c:dispEq val="0"/>
          </c:trendline>
          <c:cat>
            <c:numRef>
              <c:f>'Headcount &amp; FTE History'!$B$31:$B$39</c:f>
              <c:numCache>
                <c:formatCode>General</c:formatCode>
                <c:ptCount val="9"/>
                <c:pt idx="0">
                  <c:v>2012</c:v>
                </c:pt>
                <c:pt idx="2">
                  <c:v>2013</c:v>
                </c:pt>
                <c:pt idx="4">
                  <c:v>2014</c:v>
                </c:pt>
                <c:pt idx="6">
                  <c:v>2015</c:v>
                </c:pt>
                <c:pt idx="8">
                  <c:v>2016</c:v>
                </c:pt>
              </c:numCache>
            </c:numRef>
          </c:cat>
          <c:val>
            <c:numRef>
              <c:f>'Headcount &amp; FTE History'!$E$31:$E$39</c:f>
              <c:numCache>
                <c:formatCode>General</c:formatCode>
                <c:ptCount val="9"/>
                <c:pt idx="0" formatCode="0">
                  <c:v>2849</c:v>
                </c:pt>
                <c:pt idx="2" formatCode="0">
                  <c:v>2780</c:v>
                </c:pt>
                <c:pt idx="4" formatCode="0">
                  <c:v>2661</c:v>
                </c:pt>
                <c:pt idx="6" formatCode="0">
                  <c:v>2539</c:v>
                </c:pt>
                <c:pt idx="8" formatCode="0">
                  <c:v>2463</c:v>
                </c:pt>
              </c:numCache>
            </c:numRef>
          </c:val>
        </c:ser>
        <c:ser>
          <c:idx val="5"/>
          <c:order val="1"/>
          <c:tx>
            <c:strRef>
              <c:f>'Headcount &amp; FTE History'!$H$28:$H$30</c:f>
              <c:strCache>
                <c:ptCount val="3"/>
                <c:pt idx="0">
                  <c:v>FTE</c:v>
                </c:pt>
                <c:pt idx="1">
                  <c:v>TOTAL</c:v>
                </c:pt>
              </c:strCache>
            </c:strRef>
          </c:tx>
          <c:spPr>
            <a:solidFill>
              <a:schemeClr val="bg1">
                <a:lumMod val="85000"/>
              </a:schemeClr>
            </a:solidFill>
            <a:ln w="12700">
              <a:solidFill>
                <a:srgbClr val="000000"/>
              </a:solidFill>
              <a:prstDash val="solid"/>
            </a:ln>
          </c:spPr>
          <c:invertIfNegative val="0"/>
          <c:dLbls>
            <c:spPr>
              <a:noFill/>
              <a:ln w="25400">
                <a:noFill/>
              </a:ln>
            </c:spPr>
            <c:txPr>
              <a:bodyPr rot="-5400000" vert="horz"/>
              <a:lstStyle/>
              <a:p>
                <a:pPr algn="ctr">
                  <a:defRPr sz="6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log"/>
            <c:dispRSqr val="0"/>
            <c:dispEq val="0"/>
          </c:trendline>
          <c:cat>
            <c:numRef>
              <c:f>'Headcount &amp; FTE History'!$B$31:$B$39</c:f>
              <c:numCache>
                <c:formatCode>General</c:formatCode>
                <c:ptCount val="9"/>
                <c:pt idx="0">
                  <c:v>2012</c:v>
                </c:pt>
                <c:pt idx="2">
                  <c:v>2013</c:v>
                </c:pt>
                <c:pt idx="4">
                  <c:v>2014</c:v>
                </c:pt>
                <c:pt idx="6">
                  <c:v>2015</c:v>
                </c:pt>
                <c:pt idx="8">
                  <c:v>2016</c:v>
                </c:pt>
              </c:numCache>
            </c:numRef>
          </c:cat>
          <c:val>
            <c:numRef>
              <c:f>'Headcount &amp; FTE History'!$H$31:$H$39</c:f>
              <c:numCache>
                <c:formatCode>General</c:formatCode>
                <c:ptCount val="9"/>
                <c:pt idx="0" formatCode="0">
                  <c:v>2653</c:v>
                </c:pt>
                <c:pt idx="2" formatCode="0">
                  <c:v>2591</c:v>
                </c:pt>
                <c:pt idx="4" formatCode="0">
                  <c:v>2448.5</c:v>
                </c:pt>
                <c:pt idx="6" formatCode="0">
                  <c:v>2353</c:v>
                </c:pt>
                <c:pt idx="8" formatCode="0">
                  <c:v>2302</c:v>
                </c:pt>
              </c:numCache>
            </c:numRef>
          </c:val>
        </c:ser>
        <c:dLbls>
          <c:showLegendKey val="0"/>
          <c:showVal val="0"/>
          <c:showCatName val="0"/>
          <c:showSerName val="0"/>
          <c:showPercent val="0"/>
          <c:showBubbleSize val="0"/>
        </c:dLbls>
        <c:gapWidth val="0"/>
        <c:axId val="524643112"/>
        <c:axId val="524645464"/>
      </c:barChart>
      <c:catAx>
        <c:axId val="5246431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Spring of...</a:t>
                </a:r>
              </a:p>
            </c:rich>
          </c:tx>
          <c:layout>
            <c:manualLayout>
              <c:xMode val="edge"/>
              <c:yMode val="edge"/>
              <c:x val="0.42133445319335266"/>
              <c:y val="0.88207547169811873"/>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4645464"/>
        <c:crosses val="autoZero"/>
        <c:auto val="0"/>
        <c:lblAlgn val="ctr"/>
        <c:lblOffset val="100"/>
        <c:tickLblSkip val="1"/>
        <c:tickMarkSkip val="1"/>
        <c:noMultiLvlLbl val="0"/>
      </c:catAx>
      <c:valAx>
        <c:axId val="524645464"/>
        <c:scaling>
          <c:orientation val="minMax"/>
        </c:scaling>
        <c:delete val="0"/>
        <c:axPos val="l"/>
        <c:majorGridlines>
          <c:spPr>
            <a:ln w="3175">
              <a:solidFill>
                <a:srgbClr val="000000"/>
              </a:solidFill>
              <a:prstDash val="solid"/>
            </a:ln>
          </c:spPr>
        </c:majorGridlines>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4643112"/>
        <c:crosses val="autoZero"/>
        <c:crossBetween val="between"/>
      </c:valAx>
      <c:spPr>
        <a:noFill/>
        <a:ln w="12700">
          <a:solidFill>
            <a:srgbClr val="C0C0C0"/>
          </a:solidFill>
          <a:prstDash val="solid"/>
        </a:ln>
      </c:spPr>
    </c:plotArea>
    <c:legend>
      <c:legendPos val="r"/>
      <c:legendEntry>
        <c:idx val="2"/>
        <c:delete val="1"/>
      </c:legendEntry>
      <c:legendEntry>
        <c:idx val="3"/>
        <c:delete val="1"/>
      </c:legendEntry>
      <c:layout>
        <c:manualLayout>
          <c:xMode val="edge"/>
          <c:yMode val="edge"/>
          <c:x val="0.59897151237296387"/>
          <c:y val="0.84905660377358971"/>
          <c:w val="0.36903106432844718"/>
          <c:h val="0.12735849056603901"/>
        </c:manualLayout>
      </c:layout>
      <c:overlay val="0"/>
      <c:spPr>
        <a:solidFill>
          <a:srgbClr val="FFFFFF"/>
        </a:solidFill>
        <a:ln w="25400">
          <a:noFill/>
        </a:ln>
      </c:spPr>
      <c:txPr>
        <a:bodyPr/>
        <a:lstStyle/>
        <a:p>
          <a:pPr>
            <a:defRPr sz="5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66844919786249"/>
          <c:y val="0.12796238142953453"/>
          <c:w val="0.75401069518716579"/>
          <c:h val="0.61137582238555599"/>
        </c:manualLayout>
      </c:layout>
      <c:barChart>
        <c:barDir val="col"/>
        <c:grouping val="clustered"/>
        <c:varyColors val="0"/>
        <c:ser>
          <c:idx val="2"/>
          <c:order val="0"/>
          <c:tx>
            <c:strRef>
              <c:f>'Headcount &amp; FTE History'!$E$3:$E$5</c:f>
              <c:strCache>
                <c:ptCount val="3"/>
                <c:pt idx="0">
                  <c:v>HEADCOUNT</c:v>
                </c:pt>
                <c:pt idx="1">
                  <c:v>TOTAL</c:v>
                </c:pt>
              </c:strCache>
            </c:strRef>
          </c:tx>
          <c:spPr>
            <a:solidFill>
              <a:srgbClr val="0070C0"/>
            </a:solidFill>
            <a:ln w="12700">
              <a:solidFill>
                <a:srgbClr val="000000"/>
              </a:solidFill>
              <a:prstDash val="solid"/>
            </a:ln>
          </c:spPr>
          <c:invertIfNegative val="0"/>
          <c:dLbls>
            <c:spPr>
              <a:noFill/>
              <a:ln w="25400">
                <a:noFill/>
              </a:ln>
            </c:spPr>
            <c:txPr>
              <a:bodyPr rot="-5400000" vert="horz"/>
              <a:lstStyle/>
              <a:p>
                <a:pPr algn="ctr">
                  <a:defRPr sz="6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log"/>
            <c:dispRSqr val="0"/>
            <c:dispEq val="0"/>
          </c:trendline>
          <c:cat>
            <c:numRef>
              <c:f>'Headcount &amp; FTE History'!$B$8:$B$20</c:f>
              <c:numCache>
                <c:formatCode>General</c:formatCode>
                <c:ptCount val="10"/>
                <c:pt idx="1">
                  <c:v>2011</c:v>
                </c:pt>
                <c:pt idx="3">
                  <c:v>2012</c:v>
                </c:pt>
                <c:pt idx="5">
                  <c:v>2013</c:v>
                </c:pt>
                <c:pt idx="7">
                  <c:v>2014</c:v>
                </c:pt>
                <c:pt idx="9">
                  <c:v>2015</c:v>
                </c:pt>
              </c:numCache>
            </c:numRef>
          </c:cat>
          <c:val>
            <c:numRef>
              <c:f>'Headcount &amp; FTE History'!$E$8:$E$20</c:f>
              <c:numCache>
                <c:formatCode>0</c:formatCode>
                <c:ptCount val="10"/>
                <c:pt idx="1">
                  <c:v>3069</c:v>
                </c:pt>
                <c:pt idx="3">
                  <c:v>3049</c:v>
                </c:pt>
                <c:pt idx="5">
                  <c:v>2877</c:v>
                </c:pt>
                <c:pt idx="7">
                  <c:v>2787</c:v>
                </c:pt>
                <c:pt idx="9">
                  <c:v>2701</c:v>
                </c:pt>
              </c:numCache>
            </c:numRef>
          </c:val>
        </c:ser>
        <c:ser>
          <c:idx val="5"/>
          <c:order val="1"/>
          <c:tx>
            <c:strRef>
              <c:f>'Headcount &amp; FTE History'!$H$3:$H$5</c:f>
              <c:strCache>
                <c:ptCount val="3"/>
                <c:pt idx="0">
                  <c:v>FTE</c:v>
                </c:pt>
                <c:pt idx="1">
                  <c:v>TOTAL</c:v>
                </c:pt>
              </c:strCache>
            </c:strRef>
          </c:tx>
          <c:spPr>
            <a:pattFill prst="wdUpDiag">
              <a:fgClr>
                <a:srgbClr val="000000"/>
              </a:fgClr>
              <a:bgClr>
                <a:srgbClr val="FFFFFF"/>
              </a:bgClr>
            </a:pattFill>
            <a:ln w="12700">
              <a:solidFill>
                <a:srgbClr val="000000"/>
              </a:solidFill>
              <a:prstDash val="solid"/>
            </a:ln>
          </c:spPr>
          <c:invertIfNegative val="0"/>
          <c:dPt>
            <c:idx val="1"/>
            <c:invertIfNegative val="0"/>
            <c:bubble3D val="0"/>
            <c:spPr>
              <a:solidFill>
                <a:schemeClr val="bg1">
                  <a:lumMod val="85000"/>
                </a:schemeClr>
              </a:solidFill>
              <a:ln w="12700">
                <a:solidFill>
                  <a:srgbClr val="000000"/>
                </a:solidFill>
                <a:prstDash val="solid"/>
              </a:ln>
            </c:spPr>
          </c:dPt>
          <c:dPt>
            <c:idx val="3"/>
            <c:invertIfNegative val="0"/>
            <c:bubble3D val="0"/>
            <c:spPr>
              <a:solidFill>
                <a:schemeClr val="bg1">
                  <a:lumMod val="85000"/>
                </a:schemeClr>
              </a:solidFill>
              <a:ln w="12700">
                <a:solidFill>
                  <a:srgbClr val="000000"/>
                </a:solidFill>
                <a:prstDash val="solid"/>
              </a:ln>
            </c:spPr>
          </c:dPt>
          <c:dPt>
            <c:idx val="5"/>
            <c:invertIfNegative val="0"/>
            <c:bubble3D val="0"/>
            <c:spPr>
              <a:solidFill>
                <a:schemeClr val="bg1">
                  <a:lumMod val="85000"/>
                </a:schemeClr>
              </a:solidFill>
              <a:ln w="12700">
                <a:solidFill>
                  <a:srgbClr val="000000"/>
                </a:solidFill>
                <a:prstDash val="solid"/>
              </a:ln>
            </c:spPr>
          </c:dPt>
          <c:dPt>
            <c:idx val="7"/>
            <c:invertIfNegative val="0"/>
            <c:bubble3D val="0"/>
            <c:spPr>
              <a:solidFill>
                <a:schemeClr val="bg1">
                  <a:lumMod val="85000"/>
                </a:schemeClr>
              </a:solidFill>
              <a:ln w="12700">
                <a:solidFill>
                  <a:srgbClr val="000000"/>
                </a:solidFill>
                <a:prstDash val="solid"/>
              </a:ln>
            </c:spPr>
          </c:dPt>
          <c:dPt>
            <c:idx val="9"/>
            <c:invertIfNegative val="0"/>
            <c:bubble3D val="0"/>
            <c:spPr>
              <a:solidFill>
                <a:schemeClr val="bg1">
                  <a:lumMod val="85000"/>
                </a:schemeClr>
              </a:solidFill>
              <a:ln w="12700">
                <a:solidFill>
                  <a:srgbClr val="000000"/>
                </a:solidFill>
                <a:prstDash val="solid"/>
              </a:ln>
            </c:spPr>
          </c:dPt>
          <c:dLbls>
            <c:spPr>
              <a:noFill/>
              <a:ln w="25400">
                <a:noFill/>
              </a:ln>
            </c:spPr>
            <c:txPr>
              <a:bodyPr rot="-5400000" vert="horz"/>
              <a:lstStyle/>
              <a:p>
                <a:pPr algn="ctr">
                  <a:defRPr sz="6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log"/>
            <c:dispRSqr val="0"/>
            <c:dispEq val="0"/>
          </c:trendline>
          <c:cat>
            <c:numRef>
              <c:f>'Headcount &amp; FTE History'!$B$8:$B$20</c:f>
              <c:numCache>
                <c:formatCode>General</c:formatCode>
                <c:ptCount val="10"/>
                <c:pt idx="1">
                  <c:v>2011</c:v>
                </c:pt>
                <c:pt idx="3">
                  <c:v>2012</c:v>
                </c:pt>
                <c:pt idx="5">
                  <c:v>2013</c:v>
                </c:pt>
                <c:pt idx="7">
                  <c:v>2014</c:v>
                </c:pt>
                <c:pt idx="9">
                  <c:v>2015</c:v>
                </c:pt>
              </c:numCache>
            </c:numRef>
          </c:cat>
          <c:val>
            <c:numRef>
              <c:f>'Headcount &amp; FTE History'!$H$8:$H$20</c:f>
              <c:numCache>
                <c:formatCode>0</c:formatCode>
                <c:ptCount val="10"/>
                <c:pt idx="1">
                  <c:v>2841.9</c:v>
                </c:pt>
                <c:pt idx="3">
                  <c:v>2817.5</c:v>
                </c:pt>
                <c:pt idx="5">
                  <c:v>2677</c:v>
                </c:pt>
                <c:pt idx="7">
                  <c:v>2604.8000000000002</c:v>
                </c:pt>
                <c:pt idx="9">
                  <c:v>2545</c:v>
                </c:pt>
              </c:numCache>
            </c:numRef>
          </c:val>
        </c:ser>
        <c:dLbls>
          <c:showLegendKey val="0"/>
          <c:showVal val="0"/>
          <c:showCatName val="0"/>
          <c:showSerName val="0"/>
          <c:showPercent val="0"/>
          <c:showBubbleSize val="0"/>
        </c:dLbls>
        <c:gapWidth val="0"/>
        <c:axId val="524644680"/>
        <c:axId val="524645072"/>
      </c:barChart>
      <c:catAx>
        <c:axId val="5246446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Fall of...</a:t>
                </a:r>
              </a:p>
            </c:rich>
          </c:tx>
          <c:layout>
            <c:manualLayout>
              <c:xMode val="edge"/>
              <c:yMode val="edge"/>
              <c:x val="0.44385026737968347"/>
              <c:y val="0.881518577950261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4645072"/>
        <c:crosses val="autoZero"/>
        <c:auto val="0"/>
        <c:lblAlgn val="ctr"/>
        <c:lblOffset val="100"/>
        <c:tickLblSkip val="1"/>
        <c:tickMarkSkip val="1"/>
        <c:noMultiLvlLbl val="0"/>
      </c:catAx>
      <c:valAx>
        <c:axId val="524645072"/>
        <c:scaling>
          <c:orientation val="minMax"/>
          <c:max val="350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4644680"/>
        <c:crosses val="autoZero"/>
        <c:crossBetween val="between"/>
      </c:valAx>
      <c:spPr>
        <a:noFill/>
        <a:ln w="12700">
          <a:solidFill>
            <a:srgbClr val="C0C0C0"/>
          </a:solidFill>
          <a:prstDash val="solid"/>
        </a:ln>
      </c:spPr>
    </c:plotArea>
    <c:legend>
      <c:legendPos val="r"/>
      <c:legendEntry>
        <c:idx val="2"/>
        <c:delete val="1"/>
      </c:legendEntry>
      <c:legendEntry>
        <c:idx val="3"/>
        <c:delete val="1"/>
      </c:legendEntry>
      <c:layout>
        <c:manualLayout>
          <c:xMode val="edge"/>
          <c:yMode val="edge"/>
          <c:x val="0.59676662464436037"/>
          <c:y val="0.85308255899291718"/>
          <c:w val="0.37382161875434861"/>
          <c:h val="0.1279625828761943"/>
        </c:manualLayout>
      </c:layout>
      <c:overlay val="0"/>
      <c:spPr>
        <a:solidFill>
          <a:srgbClr val="FFFFFF"/>
        </a:solidFill>
        <a:ln w="25400">
          <a:noFill/>
        </a:ln>
      </c:spPr>
      <c:txPr>
        <a:bodyPr/>
        <a:lstStyle/>
        <a:p>
          <a:pPr>
            <a:defRPr sz="5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66686507973416"/>
          <c:y val="0.12676056338028169"/>
          <c:w val="0.86476351332499179"/>
          <c:h val="0.62676056338028174"/>
        </c:manualLayout>
      </c:layout>
      <c:barChart>
        <c:barDir val="col"/>
        <c:grouping val="clustered"/>
        <c:varyColors val="0"/>
        <c:ser>
          <c:idx val="2"/>
          <c:order val="0"/>
          <c:tx>
            <c:strRef>
              <c:f>'Summer Credit Hour Production'!$D$4:$D$5</c:f>
              <c:strCache>
                <c:ptCount val="2"/>
                <c:pt idx="0">
                  <c:v>HEADCOUNT</c:v>
                </c:pt>
                <c:pt idx="1">
                  <c:v>TOTAL</c:v>
                </c:pt>
              </c:strCache>
            </c:strRef>
          </c:tx>
          <c:spPr>
            <a:solidFill>
              <a:schemeClr val="bg1">
                <a:lumMod val="50000"/>
              </a:schemeClr>
            </a:solid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25400">
                <a:solidFill>
                  <a:srgbClr val="000000"/>
                </a:solidFill>
                <a:prstDash val="solid"/>
              </a:ln>
            </c:spPr>
            <c:trendlineType val="exp"/>
            <c:dispRSqr val="0"/>
            <c:dispEq val="0"/>
          </c:trendline>
          <c:cat>
            <c:numRef>
              <c:f>'Summer Credit Hour Production'!$A$13:$A$21</c:f>
              <c:numCache>
                <c:formatCode>General</c:formatCode>
                <c:ptCount val="9"/>
                <c:pt idx="0">
                  <c:v>2012</c:v>
                </c:pt>
                <c:pt idx="2">
                  <c:v>2013</c:v>
                </c:pt>
                <c:pt idx="4">
                  <c:v>2014</c:v>
                </c:pt>
                <c:pt idx="6">
                  <c:v>2015</c:v>
                </c:pt>
                <c:pt idx="8">
                  <c:v>2016</c:v>
                </c:pt>
              </c:numCache>
            </c:numRef>
          </c:cat>
          <c:val>
            <c:numRef>
              <c:f>'Summer Credit Hour Production'!$D$11:$D$19</c:f>
              <c:numCache>
                <c:formatCode>General</c:formatCode>
                <c:ptCount val="9"/>
                <c:pt idx="0">
                  <c:v>1014</c:v>
                </c:pt>
                <c:pt idx="2">
                  <c:v>981</c:v>
                </c:pt>
                <c:pt idx="4">
                  <c:v>904</c:v>
                </c:pt>
                <c:pt idx="6">
                  <c:v>714</c:v>
                </c:pt>
                <c:pt idx="8">
                  <c:v>724</c:v>
                </c:pt>
              </c:numCache>
            </c:numRef>
          </c:val>
        </c:ser>
        <c:ser>
          <c:idx val="5"/>
          <c:order val="1"/>
          <c:tx>
            <c:strRef>
              <c:f>'Summer Credit Hour Production'!$G$4:$G$6</c:f>
              <c:strCache>
                <c:ptCount val="3"/>
                <c:pt idx="0">
                  <c:v>CREDIT HOUR PRODUCTION</c:v>
                </c:pt>
                <c:pt idx="1">
                  <c:v>TOTAL</c:v>
                </c:pt>
              </c:strCache>
            </c:strRef>
          </c:tx>
          <c:spPr>
            <a:solidFill>
              <a:schemeClr val="tx2">
                <a:lumMod val="60000"/>
                <a:lumOff val="40000"/>
              </a:schemeClr>
            </a:solid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25400">
                <a:solidFill>
                  <a:srgbClr val="000000"/>
                </a:solidFill>
                <a:prstDash val="solid"/>
              </a:ln>
            </c:spPr>
            <c:trendlineType val="exp"/>
            <c:dispRSqr val="0"/>
            <c:dispEq val="0"/>
          </c:trendline>
          <c:cat>
            <c:numRef>
              <c:f>'Summer Credit Hour Production'!$A$13:$A$21</c:f>
              <c:numCache>
                <c:formatCode>General</c:formatCode>
                <c:ptCount val="9"/>
                <c:pt idx="0">
                  <c:v>2012</c:v>
                </c:pt>
                <c:pt idx="2">
                  <c:v>2013</c:v>
                </c:pt>
                <c:pt idx="4">
                  <c:v>2014</c:v>
                </c:pt>
                <c:pt idx="6">
                  <c:v>2015</c:v>
                </c:pt>
                <c:pt idx="8">
                  <c:v>2016</c:v>
                </c:pt>
              </c:numCache>
            </c:numRef>
          </c:cat>
          <c:val>
            <c:numRef>
              <c:f>'Summer Credit Hour Production'!$G$13:$G$21</c:f>
              <c:numCache>
                <c:formatCode>0.0</c:formatCode>
                <c:ptCount val="9"/>
                <c:pt idx="0">
                  <c:v>5464</c:v>
                </c:pt>
                <c:pt idx="2">
                  <c:v>4815</c:v>
                </c:pt>
                <c:pt idx="4">
                  <c:v>3854</c:v>
                </c:pt>
                <c:pt idx="6">
                  <c:v>3933.5</c:v>
                </c:pt>
                <c:pt idx="8">
                  <c:v>3394</c:v>
                </c:pt>
              </c:numCache>
            </c:numRef>
          </c:val>
        </c:ser>
        <c:dLbls>
          <c:showLegendKey val="0"/>
          <c:showVal val="0"/>
          <c:showCatName val="0"/>
          <c:showSerName val="0"/>
          <c:showPercent val="0"/>
          <c:showBubbleSize val="0"/>
        </c:dLbls>
        <c:gapWidth val="0"/>
        <c:axId val="524642720"/>
        <c:axId val="524643896"/>
      </c:barChart>
      <c:catAx>
        <c:axId val="524642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524643896"/>
        <c:crosses val="autoZero"/>
        <c:auto val="1"/>
        <c:lblAlgn val="ctr"/>
        <c:lblOffset val="100"/>
        <c:tickLblSkip val="1"/>
        <c:tickMarkSkip val="1"/>
        <c:noMultiLvlLbl val="0"/>
      </c:catAx>
      <c:valAx>
        <c:axId val="524643896"/>
        <c:scaling>
          <c:orientation val="minMax"/>
          <c:max val="7000"/>
        </c:scaling>
        <c:delete val="0"/>
        <c:axPos val="l"/>
        <c:majorGridlines>
          <c:spPr>
            <a:ln w="12700">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524642720"/>
        <c:crosses val="autoZero"/>
        <c:crossBetween val="between"/>
      </c:valAx>
      <c:spPr>
        <a:solidFill>
          <a:srgbClr val="FFFFFF"/>
        </a:solidFill>
        <a:ln w="12700">
          <a:solidFill>
            <a:srgbClr val="808080"/>
          </a:solidFill>
          <a:prstDash val="solid"/>
        </a:ln>
      </c:spPr>
    </c:plotArea>
    <c:legend>
      <c:legendPos val="b"/>
      <c:legendEntry>
        <c:idx val="2"/>
        <c:delete val="1"/>
      </c:legendEntry>
      <c:legendEntry>
        <c:idx val="3"/>
        <c:delete val="1"/>
      </c:legendEntry>
      <c:layout>
        <c:manualLayout>
          <c:xMode val="edge"/>
          <c:yMode val="edge"/>
          <c:x val="0.1657742000999875"/>
          <c:y val="0.90492957746479519"/>
          <c:w val="0.74960415104361966"/>
          <c:h val="7.042253521126762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5.bin"/></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orientation="landscape" r:id="rId1"/>
  <headerFooter alignWithMargins="0">
    <oddFooter>&amp;R&amp;8Source: Office of the Budget Director</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600075</xdr:colOff>
      <xdr:row>2</xdr:row>
      <xdr:rowOff>9525</xdr:rowOff>
    </xdr:from>
    <xdr:to>
      <xdr:col>12</xdr:col>
      <xdr:colOff>19050</xdr:colOff>
      <xdr:row>54</xdr:row>
      <xdr:rowOff>85725</xdr:rowOff>
    </xdr:to>
    <xdr:pic>
      <xdr:nvPicPr>
        <xdr:cNvPr id="17960556" name="Picture 123" descr="Report Card2011"/>
        <xdr:cNvPicPr>
          <a:picLocks noChangeAspect="1" noChangeArrowheads="1"/>
        </xdr:cNvPicPr>
      </xdr:nvPicPr>
      <xdr:blipFill>
        <a:blip xmlns:r="http://schemas.openxmlformats.org/officeDocument/2006/relationships" r:embed="rId1" cstate="print"/>
        <a:srcRect/>
        <a:stretch>
          <a:fillRect/>
        </a:stretch>
      </xdr:blipFill>
      <xdr:spPr bwMode="auto">
        <a:xfrm>
          <a:off x="600075" y="376238"/>
          <a:ext cx="6724650" cy="8743950"/>
        </a:xfrm>
        <a:prstGeom prst="rect">
          <a:avLst/>
        </a:prstGeom>
        <a:noFill/>
        <a:ln w="6350">
          <a:solidFill>
            <a:srgbClr val="000000"/>
          </a:solid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27</xdr:row>
      <xdr:rowOff>7620</xdr:rowOff>
    </xdr:from>
    <xdr:to>
      <xdr:col>17</xdr:col>
      <xdr:colOff>858678</xdr:colOff>
      <xdr:row>52</xdr:row>
      <xdr:rowOff>38100</xdr:rowOff>
    </xdr:to>
    <xdr:graphicFrame macro="">
      <xdr:nvGraphicFramePr>
        <xdr:cNvPr id="1739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27</xdr:row>
      <xdr:rowOff>27517</xdr:rowOff>
    </xdr:from>
    <xdr:to>
      <xdr:col>17</xdr:col>
      <xdr:colOff>861060</xdr:colOff>
      <xdr:row>58</xdr:row>
      <xdr:rowOff>160518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20</xdr:row>
      <xdr:rowOff>30172</xdr:rowOff>
    </xdr:from>
    <xdr:to>
      <xdr:col>9</xdr:col>
      <xdr:colOff>568184</xdr:colOff>
      <xdr:row>40</xdr:row>
      <xdr:rowOff>47625</xdr:rowOff>
    </xdr:to>
    <xdr:graphicFrame macro="">
      <xdr:nvGraphicFramePr>
        <xdr:cNvPr id="139609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84737</xdr:rowOff>
    </xdr:from>
    <xdr:to>
      <xdr:col>9</xdr:col>
      <xdr:colOff>579120</xdr:colOff>
      <xdr:row>62</xdr:row>
      <xdr:rowOff>97155</xdr:rowOff>
    </xdr:to>
    <xdr:graphicFrame macro="">
      <xdr:nvGraphicFramePr>
        <xdr:cNvPr id="1396090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0</xdr:colOff>
      <xdr:row>2</xdr:row>
      <xdr:rowOff>0</xdr:rowOff>
    </xdr:from>
    <xdr:to>
      <xdr:col>19</xdr:col>
      <xdr:colOff>0</xdr:colOff>
      <xdr:row>14</xdr:row>
      <xdr:rowOff>0</xdr:rowOff>
    </xdr:to>
    <xdr:graphicFrame macro="">
      <xdr:nvGraphicFramePr>
        <xdr:cNvPr id="1334450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0</xdr:rowOff>
    </xdr:from>
    <xdr:to>
      <xdr:col>19</xdr:col>
      <xdr:colOff>0</xdr:colOff>
      <xdr:row>30</xdr:row>
      <xdr:rowOff>0</xdr:rowOff>
    </xdr:to>
    <xdr:graphicFrame macro="">
      <xdr:nvGraphicFramePr>
        <xdr:cNvPr id="1334450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17</xdr:row>
      <xdr:rowOff>9525</xdr:rowOff>
    </xdr:from>
    <xdr:to>
      <xdr:col>5</xdr:col>
      <xdr:colOff>9525</xdr:colOff>
      <xdr:row>34</xdr:row>
      <xdr:rowOff>38100</xdr:rowOff>
    </xdr:to>
    <xdr:graphicFrame macro="">
      <xdr:nvGraphicFramePr>
        <xdr:cNvPr id="1432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16</xdr:row>
      <xdr:rowOff>15240</xdr:rowOff>
    </xdr:from>
    <xdr:to>
      <xdr:col>10</xdr:col>
      <xdr:colOff>0</xdr:colOff>
      <xdr:row>36</xdr:row>
      <xdr:rowOff>15240</xdr:rowOff>
    </xdr:to>
    <xdr:graphicFrame macro="">
      <xdr:nvGraphicFramePr>
        <xdr:cNvPr id="111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17</xdr:row>
      <xdr:rowOff>0</xdr:rowOff>
    </xdr:from>
    <xdr:to>
      <xdr:col>1</xdr:col>
      <xdr:colOff>619125</xdr:colOff>
      <xdr:row>17</xdr:row>
      <xdr:rowOff>0</xdr:rowOff>
    </xdr:to>
    <xdr:sp macro="" textlink="">
      <xdr:nvSpPr>
        <xdr:cNvPr id="2" name="Line 1"/>
        <xdr:cNvSpPr>
          <a:spLocks noChangeShapeType="1"/>
        </xdr:cNvSpPr>
      </xdr:nvSpPr>
      <xdr:spPr bwMode="auto">
        <a:xfrm>
          <a:off x="2446020" y="2476500"/>
          <a:ext cx="0" cy="0"/>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US"/>
        </a:p>
      </xdr:txBody>
    </xdr:sp>
    <xdr:clientData/>
  </xdr:twoCellAnchor>
  <xdr:twoCellAnchor>
    <xdr:from>
      <xdr:col>2</xdr:col>
      <xdr:colOff>0</xdr:colOff>
      <xdr:row>17</xdr:row>
      <xdr:rowOff>0</xdr:rowOff>
    </xdr:from>
    <xdr:to>
      <xdr:col>2</xdr:col>
      <xdr:colOff>619125</xdr:colOff>
      <xdr:row>17</xdr:row>
      <xdr:rowOff>0</xdr:rowOff>
    </xdr:to>
    <xdr:sp macro="" textlink="">
      <xdr:nvSpPr>
        <xdr:cNvPr id="3" name="Line 2"/>
        <xdr:cNvSpPr>
          <a:spLocks noChangeShapeType="1"/>
        </xdr:cNvSpPr>
      </xdr:nvSpPr>
      <xdr:spPr bwMode="auto">
        <a:xfrm>
          <a:off x="2446020" y="2476500"/>
          <a:ext cx="0" cy="0"/>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US"/>
        </a:p>
      </xdr:txBody>
    </xdr:sp>
    <xdr:clientData/>
  </xdr:twoCellAnchor>
  <xdr:twoCellAnchor>
    <xdr:from>
      <xdr:col>3</xdr:col>
      <xdr:colOff>0</xdr:colOff>
      <xdr:row>17</xdr:row>
      <xdr:rowOff>0</xdr:rowOff>
    </xdr:from>
    <xdr:to>
      <xdr:col>3</xdr:col>
      <xdr:colOff>0</xdr:colOff>
      <xdr:row>17</xdr:row>
      <xdr:rowOff>0</xdr:rowOff>
    </xdr:to>
    <xdr:sp macro="" textlink="">
      <xdr:nvSpPr>
        <xdr:cNvPr id="4" name="Line 3"/>
        <xdr:cNvSpPr>
          <a:spLocks noChangeShapeType="1"/>
        </xdr:cNvSpPr>
      </xdr:nvSpPr>
      <xdr:spPr bwMode="auto">
        <a:xfrm>
          <a:off x="2446020" y="2476500"/>
          <a:ext cx="0" cy="0"/>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US"/>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15</xdr:row>
      <xdr:rowOff>9525</xdr:rowOff>
    </xdr:from>
    <xdr:to>
      <xdr:col>6</xdr:col>
      <xdr:colOff>76200</xdr:colOff>
      <xdr:row>33</xdr:row>
      <xdr:rowOff>9525</xdr:rowOff>
    </xdr:to>
    <xdr:graphicFrame macro="">
      <xdr:nvGraphicFramePr>
        <xdr:cNvPr id="231014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34</xdr:row>
      <xdr:rowOff>9525</xdr:rowOff>
    </xdr:from>
    <xdr:to>
      <xdr:col>6</xdr:col>
      <xdr:colOff>76200</xdr:colOff>
      <xdr:row>52</xdr:row>
      <xdr:rowOff>9525</xdr:rowOff>
    </xdr:to>
    <xdr:graphicFrame macro="">
      <xdr:nvGraphicFramePr>
        <xdr:cNvPr id="2310147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53</xdr:row>
      <xdr:rowOff>9525</xdr:rowOff>
    </xdr:from>
    <xdr:to>
      <xdr:col>6</xdr:col>
      <xdr:colOff>76200</xdr:colOff>
      <xdr:row>71</xdr:row>
      <xdr:rowOff>9525</xdr:rowOff>
    </xdr:to>
    <xdr:graphicFrame macro="">
      <xdr:nvGraphicFramePr>
        <xdr:cNvPr id="2310147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absoluteAnchor>
    <xdr:pos x="0" y="0"/>
    <xdr:ext cx="8564880" cy="582168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twoCellAnchor>
    <xdr:from>
      <xdr:col>0</xdr:col>
      <xdr:colOff>0</xdr:colOff>
      <xdr:row>18</xdr:row>
      <xdr:rowOff>0</xdr:rowOff>
    </xdr:from>
    <xdr:to>
      <xdr:col>8</xdr:col>
      <xdr:colOff>0</xdr:colOff>
      <xdr:row>35</xdr:row>
      <xdr:rowOff>0</xdr:rowOff>
    </xdr:to>
    <xdr:graphicFrame macro="">
      <xdr:nvGraphicFramePr>
        <xdr:cNvPr id="9511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18</xdr:row>
      <xdr:rowOff>62865</xdr:rowOff>
    </xdr:from>
    <xdr:to>
      <xdr:col>7</xdr:col>
      <xdr:colOff>9525</xdr:colOff>
      <xdr:row>39</xdr:row>
      <xdr:rowOff>120015</xdr:rowOff>
    </xdr:to>
    <xdr:graphicFrame macro="">
      <xdr:nvGraphicFramePr>
        <xdr:cNvPr id="2537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14</xdr:row>
      <xdr:rowOff>152400</xdr:rowOff>
    </xdr:from>
    <xdr:to>
      <xdr:col>6</xdr:col>
      <xdr:colOff>38100</xdr:colOff>
      <xdr:row>30</xdr:row>
      <xdr:rowOff>152400</xdr:rowOff>
    </xdr:to>
    <xdr:graphicFrame macro="">
      <xdr:nvGraphicFramePr>
        <xdr:cNvPr id="9531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18</xdr:row>
      <xdr:rowOff>9525</xdr:rowOff>
    </xdr:from>
    <xdr:to>
      <xdr:col>6</xdr:col>
      <xdr:colOff>0</xdr:colOff>
      <xdr:row>35</xdr:row>
      <xdr:rowOff>57150</xdr:rowOff>
    </xdr:to>
    <xdr:graphicFrame macro="">
      <xdr:nvGraphicFramePr>
        <xdr:cNvPr id="9552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xdr:colOff>
      <xdr:row>36</xdr:row>
      <xdr:rowOff>7620</xdr:rowOff>
    </xdr:from>
    <xdr:to>
      <xdr:col>24</xdr:col>
      <xdr:colOff>784860</xdr:colOff>
      <xdr:row>39</xdr:row>
      <xdr:rowOff>7621</xdr:rowOff>
    </xdr:to>
    <xdr:sp macro="" textlink="">
      <xdr:nvSpPr>
        <xdr:cNvPr id="244737" name="Text 1"/>
        <xdr:cNvSpPr txBox="1">
          <a:spLocks noChangeArrowheads="1"/>
        </xdr:cNvSpPr>
      </xdr:nvSpPr>
      <xdr:spPr bwMode="auto">
        <a:xfrm>
          <a:off x="3810" y="6347460"/>
          <a:ext cx="12165330" cy="502921"/>
        </a:xfrm>
        <a:prstGeom prst="rect">
          <a:avLst/>
        </a:prstGeom>
        <a:solidFill>
          <a:srgbClr val="FFFFFF"/>
        </a:solidFill>
        <a:ln w="9525">
          <a:solidFill>
            <a:srgbClr val="000000"/>
          </a:solidFill>
          <a:miter lim="800000"/>
          <a:headEnd/>
          <a:tailEnd/>
        </a:ln>
      </xdr:spPr>
      <xdr:txBody>
        <a:bodyPr vertOverflow="clip" wrap="square" lIns="27432" tIns="22860" rIns="27432" bIns="0" anchor="ctr" upright="1"/>
        <a:lstStyle/>
        <a:p>
          <a:pPr algn="ctr" rtl="0">
            <a:defRPr sz="1000"/>
          </a:pPr>
          <a:r>
            <a:rPr lang="en-US" sz="1000" b="0" i="0" strike="noStrike">
              <a:solidFill>
                <a:srgbClr val="000000"/>
              </a:solidFill>
              <a:latin typeface="MS Sans Serif"/>
            </a:rPr>
            <a:t>Freshmen data is provided in accordance with the Clery Act (formerly known as the </a:t>
          </a:r>
        </a:p>
        <a:p>
          <a:pPr algn="ctr" rtl="0">
            <a:defRPr sz="1000"/>
          </a:pPr>
          <a:r>
            <a:rPr lang="en-US" sz="1000" b="0" i="0" strike="noStrike">
              <a:solidFill>
                <a:srgbClr val="000000"/>
              </a:solidFill>
              <a:latin typeface="MS Sans Serif"/>
            </a:rPr>
            <a:t>Student Right-to-Know and Campus Security Act).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15</xdr:row>
      <xdr:rowOff>0</xdr:rowOff>
    </xdr:from>
    <xdr:to>
      <xdr:col>11</xdr:col>
      <xdr:colOff>0</xdr:colOff>
      <xdr:row>33</xdr:row>
      <xdr:rowOff>0</xdr:rowOff>
    </xdr:to>
    <xdr:graphicFrame macro="">
      <xdr:nvGraphicFramePr>
        <xdr:cNvPr id="25584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34</xdr:row>
      <xdr:rowOff>0</xdr:rowOff>
    </xdr:from>
    <xdr:to>
      <xdr:col>10</xdr:col>
      <xdr:colOff>457200</xdr:colOff>
      <xdr:row>41</xdr:row>
      <xdr:rowOff>38100</xdr:rowOff>
    </xdr:to>
    <xdr:sp macro="" textlink="">
      <xdr:nvSpPr>
        <xdr:cNvPr id="254978" name="Object 2" hidden="1">
          <a:extLst>
            <a:ext uri="{63B3BB69-23CF-44E3-9099-C40C66FF867C}">
              <a14:compatExt xmlns:a14="http://schemas.microsoft.com/office/drawing/2010/main" spid="_x0000_s254978"/>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34</xdr:row>
      <xdr:rowOff>0</xdr:rowOff>
    </xdr:from>
    <xdr:to>
      <xdr:col>10</xdr:col>
      <xdr:colOff>457200</xdr:colOff>
      <xdr:row>41</xdr:row>
      <xdr:rowOff>38100</xdr:rowOff>
    </xdr:to>
    <xdr:pic>
      <xdr:nvPicPr>
        <xdr:cNvPr id="2"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943600"/>
          <a:ext cx="6035040" cy="121158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44</xdr:row>
      <xdr:rowOff>80703</xdr:rowOff>
    </xdr:from>
    <xdr:to>
      <xdr:col>11</xdr:col>
      <xdr:colOff>9525</xdr:colOff>
      <xdr:row>64</xdr:row>
      <xdr:rowOff>34657</xdr:rowOff>
    </xdr:to>
    <xdr:graphicFrame macro="">
      <xdr:nvGraphicFramePr>
        <xdr:cNvPr id="2578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xdr:colOff>
      <xdr:row>63</xdr:row>
      <xdr:rowOff>137160</xdr:rowOff>
    </xdr:from>
    <xdr:to>
      <xdr:col>11</xdr:col>
      <xdr:colOff>0</xdr:colOff>
      <xdr:row>69</xdr:row>
      <xdr:rowOff>152400</xdr:rowOff>
    </xdr:to>
    <xdr:sp macro="" textlink="">
      <xdr:nvSpPr>
        <xdr:cNvPr id="257026" name="Object 2" hidden="1">
          <a:extLst>
            <a:ext uri="{63B3BB69-23CF-44E3-9099-C40C66FF867C}">
              <a14:compatExt xmlns:a14="http://schemas.microsoft.com/office/drawing/2010/main" spid="_x0000_s257026"/>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57150</xdr:colOff>
      <xdr:row>67</xdr:row>
      <xdr:rowOff>99060</xdr:rowOff>
    </xdr:from>
    <xdr:to>
      <xdr:col>11</xdr:col>
      <xdr:colOff>19050</xdr:colOff>
      <xdr:row>73</xdr:row>
      <xdr:rowOff>114300</xdr:rowOff>
    </xdr:to>
    <xdr:pic>
      <xdr:nvPicPr>
        <xdr:cNvPr id="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1205210"/>
          <a:ext cx="6038850" cy="98679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20</xdr:row>
      <xdr:rowOff>83820</xdr:rowOff>
    </xdr:from>
    <xdr:to>
      <xdr:col>6</xdr:col>
      <xdr:colOff>1059180</xdr:colOff>
      <xdr:row>43</xdr:row>
      <xdr:rowOff>135255</xdr:rowOff>
    </xdr:to>
    <xdr:graphicFrame macro="">
      <xdr:nvGraphicFramePr>
        <xdr:cNvPr id="2599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13</xdr:row>
      <xdr:rowOff>0</xdr:rowOff>
    </xdr:from>
    <xdr:to>
      <xdr:col>2</xdr:col>
      <xdr:colOff>0</xdr:colOff>
      <xdr:row>13</xdr:row>
      <xdr:rowOff>0</xdr:rowOff>
    </xdr:to>
    <xdr:graphicFrame macro="">
      <xdr:nvGraphicFramePr>
        <xdr:cNvPr id="139516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311466</xdr:colOff>
      <xdr:row>11</xdr:row>
      <xdr:rowOff>108858</xdr:rowOff>
    </xdr:from>
    <xdr:to>
      <xdr:col>26</xdr:col>
      <xdr:colOff>653142</xdr:colOff>
      <xdr:row>48</xdr:row>
      <xdr:rowOff>94631</xdr:rowOff>
    </xdr:to>
    <xdr:graphicFrame macro="">
      <xdr:nvGraphicFramePr>
        <xdr:cNvPr id="1395168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9525</xdr:colOff>
      <xdr:row>27</xdr:row>
      <xdr:rowOff>0</xdr:rowOff>
    </xdr:from>
    <xdr:to>
      <xdr:col>17</xdr:col>
      <xdr:colOff>0</xdr:colOff>
      <xdr:row>39</xdr:row>
      <xdr:rowOff>0</xdr:rowOff>
    </xdr:to>
    <xdr:graphicFrame macro="">
      <xdr:nvGraphicFramePr>
        <xdr:cNvPr id="139260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6235</xdr:colOff>
      <xdr:row>2</xdr:row>
      <xdr:rowOff>8313</xdr:rowOff>
    </xdr:from>
    <xdr:to>
      <xdr:col>17</xdr:col>
      <xdr:colOff>13855</xdr:colOff>
      <xdr:row>20</xdr:row>
      <xdr:rowOff>693</xdr:rowOff>
    </xdr:to>
    <xdr:graphicFrame macro="">
      <xdr:nvGraphicFramePr>
        <xdr:cNvPr id="1392608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23</xdr:row>
      <xdr:rowOff>163830</xdr:rowOff>
    </xdr:from>
    <xdr:to>
      <xdr:col>7</xdr:col>
      <xdr:colOff>0</xdr:colOff>
      <xdr:row>40</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27</xdr:row>
      <xdr:rowOff>5565</xdr:rowOff>
    </xdr:from>
    <xdr:to>
      <xdr:col>18</xdr:col>
      <xdr:colOff>3810</xdr:colOff>
      <xdr:row>51</xdr:row>
      <xdr:rowOff>152400</xdr:rowOff>
    </xdr:to>
    <xdr:graphicFrame macro="">
      <xdr:nvGraphicFramePr>
        <xdr:cNvPr id="8893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lander.edu/Documents%20and%20Settings/mkirkpatrick/My%20Documents/2005-2006%20Fact%20Book/WEB%20VERSION%202005_2006%20FACT%20BOOK%20WORKING%20COP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Board of Trustees"/>
      <sheetName val="Executive Officers"/>
      <sheetName val="LU admin struct chart"/>
      <sheetName val="Freshmen Application History"/>
      <sheetName val="Freshmen by Gender"/>
      <sheetName val="Freshmen by Ethnic Origin"/>
      <sheetName val="Freshmen SAT 91-95"/>
      <sheetName val="Freshmen SAT 96-05"/>
      <sheetName val="first time freshmen by high sch"/>
      <sheetName val="Transfer Application History"/>
      <sheetName val="Transfers by Gender"/>
      <sheetName val="Transfers by Ethnic Origin"/>
      <sheetName val="Transfers by Institution"/>
      <sheetName val="Fall 2005 Headcount"/>
      <sheetName val="NEW Fall CHP by DISC"/>
      <sheetName val="NEW Fall FTE by DISC"/>
      <sheetName val="UG cr hrs per student"/>
      <sheetName val="Spring 2006 Headcount"/>
      <sheetName val="NEW Spring CHP by DISC"/>
      <sheetName val="NEW Spring FTE by DISC"/>
      <sheetName val="Headcount &amp; FTE History"/>
      <sheetName val="NEW Summer CHP by DISC"/>
      <sheetName val="NEW Summer FTE by DISC"/>
      <sheetName val="Summer Credit Hour Production"/>
      <sheetName val="Fall Headcount by Class"/>
      <sheetName val="Spring Headcount by Class"/>
      <sheetName val="Summer Headcount by Class"/>
      <sheetName val="New Fall college hdcnt by major"/>
      <sheetName val="Fal hdct by major 5 yr ave"/>
      <sheetName val="Spring college hdcnt by major"/>
      <sheetName val="Minor Headcount History"/>
      <sheetName val="New Summer hdnt by college"/>
      <sheetName val="Number of Online Course"/>
      <sheetName val="Average Age"/>
      <sheetName val="Fall 2005 by Age and Gend"/>
      <sheetName val="Black Enrollment History"/>
      <sheetName val="Country of Origin"/>
      <sheetName val="State of Origin"/>
      <sheetName val="SC Students by County"/>
      <sheetName val="In- &amp; Out-of-State Distribution"/>
      <sheetName val="New degrees conferred by colleg"/>
      <sheetName val="deg conferred 5 yr averages"/>
      <sheetName val="Minors Conferred"/>
      <sheetName val="Residency Halls Occupancy "/>
      <sheetName val="Library Statistics"/>
      <sheetName val="2005-2006 salary by major"/>
      <sheetName val="2005-2006 national salary avera"/>
      <sheetName val="results by major"/>
      <sheetName val="continuing education"/>
      <sheetName val="current employment status"/>
      <sheetName val="demographics"/>
      <sheetName val="Alumni by Country"/>
      <sheetName val="Alumni by State"/>
      <sheetName val="Alumni by County"/>
      <sheetName val="FTE Student-Faculty Ratio"/>
      <sheetName val="Fall Teaching Fac. by Div rank"/>
      <sheetName val="Faculty by Div,Tenure,Degree"/>
      <sheetName val="Faculty by Div,Ten,Dg-Chart"/>
      <sheetName val="Faculty by Rank and Gender"/>
      <sheetName val="Faculty Salaries by Rank"/>
      <sheetName val="FTE Employees"/>
      <sheetName val="Academic Fees"/>
      <sheetName val="Financial Aid Summary"/>
      <sheetName val="Financial Aid Graphs"/>
      <sheetName val="Revenues and Expenditures 04-05"/>
      <sheetName val="Facilities"/>
      <sheetName val="Graduation Rates (1996)"/>
      <sheetName val="Graduation Rates (1997)"/>
      <sheetName val="Graduation Rates (1998)"/>
      <sheetName val="Graduation Rates (1999)"/>
      <sheetName val="Graduation Rates 4 Yr Ave"/>
      <sheetName val="Freshmen Retention_Attrition"/>
      <sheetName val="Transfer Retention_Attrition"/>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W96"/>
  <sheetViews>
    <sheetView tabSelected="1" workbookViewId="0">
      <selection sqref="A1:K1"/>
    </sheetView>
  </sheetViews>
  <sheetFormatPr defaultColWidth="6.6640625" defaultRowHeight="13.2" x14ac:dyDescent="0.25"/>
  <cols>
    <col min="1" max="8" width="6.6640625" style="1" customWidth="1"/>
    <col min="9" max="9" width="7.33203125" style="4" customWidth="1"/>
    <col min="10" max="10" width="6.6640625" style="4" customWidth="1"/>
    <col min="11" max="11" width="22.6640625" style="1" customWidth="1"/>
    <col min="12" max="12" width="14.109375" style="1" customWidth="1"/>
    <col min="13" max="16384" width="6.6640625" style="1"/>
  </cols>
  <sheetData>
    <row r="1" spans="1:18" ht="21" x14ac:dyDescent="0.4">
      <c r="A1" s="2106" t="s">
        <v>1721</v>
      </c>
      <c r="B1" s="2106"/>
      <c r="C1" s="2106"/>
      <c r="D1" s="2106"/>
      <c r="E1" s="2106"/>
      <c r="F1" s="2106"/>
      <c r="G1" s="2106"/>
      <c r="H1" s="2106"/>
      <c r="I1" s="2106"/>
      <c r="J1" s="2106"/>
      <c r="K1" s="2106"/>
    </row>
    <row r="2" spans="1:18" ht="21" x14ac:dyDescent="0.4">
      <c r="A2" s="2106" t="s">
        <v>729</v>
      </c>
      <c r="B2" s="2106"/>
      <c r="C2" s="2106"/>
      <c r="D2" s="2106"/>
      <c r="E2" s="2106"/>
      <c r="F2" s="2106"/>
      <c r="G2" s="2106"/>
      <c r="H2" s="2106"/>
      <c r="I2" s="2106"/>
      <c r="J2" s="2106"/>
      <c r="K2" s="2106"/>
    </row>
    <row r="3" spans="1:18" ht="21" x14ac:dyDescent="0.4">
      <c r="A3" s="5"/>
      <c r="B3" s="6"/>
      <c r="C3" s="6"/>
      <c r="D3" s="6"/>
      <c r="E3" s="6"/>
      <c r="F3" s="6"/>
      <c r="G3" s="6"/>
      <c r="H3" s="6"/>
    </row>
    <row r="4" spans="1:18" ht="15" x14ac:dyDescent="0.25">
      <c r="A4" s="2"/>
      <c r="B4" s="2"/>
      <c r="C4" s="2"/>
      <c r="D4" s="2"/>
      <c r="E4" s="2"/>
      <c r="F4" s="2"/>
      <c r="G4" s="2"/>
      <c r="H4" s="2"/>
      <c r="I4" s="3"/>
      <c r="J4" s="3"/>
      <c r="K4" s="2"/>
      <c r="L4" s="382"/>
      <c r="M4" s="284"/>
      <c r="O4" s="284"/>
      <c r="P4" s="284"/>
      <c r="Q4" s="284"/>
      <c r="R4" s="284"/>
    </row>
    <row r="5" spans="1:18" ht="15.6" x14ac:dyDescent="0.3">
      <c r="A5" s="383" t="s">
        <v>730</v>
      </c>
      <c r="B5" s="383"/>
      <c r="C5" s="383"/>
      <c r="D5" s="2"/>
      <c r="E5" s="2"/>
      <c r="F5" s="2"/>
      <c r="G5" s="2"/>
      <c r="H5" s="2"/>
      <c r="I5" s="3"/>
      <c r="J5" s="3"/>
      <c r="K5" s="2"/>
      <c r="L5" s="2"/>
      <c r="M5" s="285"/>
      <c r="O5" s="285"/>
      <c r="P5" s="285"/>
      <c r="Q5" s="285"/>
    </row>
    <row r="6" spans="1:18" ht="15" x14ac:dyDescent="0.25">
      <c r="A6" s="2"/>
      <c r="B6" s="595" t="s">
        <v>731</v>
      </c>
      <c r="C6" s="595"/>
      <c r="D6" s="595"/>
      <c r="E6" s="2"/>
      <c r="F6" s="2"/>
      <c r="G6" s="2"/>
      <c r="H6" s="2"/>
      <c r="I6" s="3"/>
      <c r="J6" s="3"/>
      <c r="K6" s="2"/>
      <c r="L6" s="2"/>
    </row>
    <row r="7" spans="1:18" ht="15.6" x14ac:dyDescent="0.3">
      <c r="A7" s="2"/>
      <c r="B7" s="595" t="s">
        <v>732</v>
      </c>
      <c r="C7" s="595"/>
      <c r="D7" s="595"/>
      <c r="E7" s="2"/>
      <c r="F7" s="2"/>
      <c r="G7" s="2"/>
      <c r="H7" s="2"/>
      <c r="I7" s="3"/>
      <c r="J7" s="3"/>
      <c r="K7" s="2"/>
      <c r="L7" s="383"/>
      <c r="M7" s="293"/>
    </row>
    <row r="8" spans="1:18" ht="15" x14ac:dyDescent="0.25">
      <c r="A8" s="2"/>
      <c r="B8" s="595" t="s">
        <v>1007</v>
      </c>
      <c r="C8" s="595"/>
      <c r="D8" s="595"/>
      <c r="E8"/>
      <c r="F8" s="2"/>
      <c r="G8" s="2"/>
      <c r="H8" s="2"/>
      <c r="I8" s="3"/>
      <c r="J8" s="3"/>
      <c r="K8" s="2"/>
      <c r="L8" s="2"/>
      <c r="M8" s="293"/>
    </row>
    <row r="9" spans="1:18" ht="15.6" x14ac:dyDescent="0.3">
      <c r="A9" s="383" t="s">
        <v>733</v>
      </c>
      <c r="B9" s="383"/>
      <c r="C9" s="2"/>
      <c r="D9" s="2"/>
      <c r="E9" s="2"/>
      <c r="F9" s="2"/>
      <c r="G9" s="2"/>
      <c r="H9" s="2"/>
      <c r="I9" s="3"/>
      <c r="J9" s="3"/>
      <c r="K9" s="2"/>
      <c r="L9" s="2"/>
    </row>
    <row r="10" spans="1:18" ht="15" x14ac:dyDescent="0.25">
      <c r="A10" s="2"/>
      <c r="B10" s="2" t="s">
        <v>734</v>
      </c>
      <c r="C10" s="2"/>
      <c r="D10" s="2"/>
      <c r="E10" s="2"/>
      <c r="F10" s="2"/>
      <c r="G10" s="2"/>
      <c r="H10" s="2"/>
      <c r="I10" s="3"/>
      <c r="J10" s="3"/>
      <c r="K10" s="2"/>
      <c r="L10" s="2"/>
    </row>
    <row r="11" spans="1:18" ht="15" x14ac:dyDescent="0.25">
      <c r="A11" s="2"/>
      <c r="B11" s="2"/>
      <c r="C11" s="595" t="s">
        <v>735</v>
      </c>
      <c r="D11" s="595"/>
      <c r="E11" s="595"/>
      <c r="F11" s="2"/>
      <c r="G11" s="2"/>
      <c r="H11" s="2"/>
      <c r="I11" s="3"/>
      <c r="J11" s="3"/>
      <c r="K11" s="2"/>
      <c r="L11" s="2"/>
    </row>
    <row r="12" spans="1:18" ht="15" x14ac:dyDescent="0.25">
      <c r="A12" s="2"/>
      <c r="B12" s="2"/>
      <c r="C12" s="595" t="s">
        <v>737</v>
      </c>
      <c r="D12" s="595"/>
      <c r="E12" s="595"/>
      <c r="F12" s="595"/>
      <c r="G12" s="595"/>
      <c r="H12" s="2"/>
      <c r="I12" s="3"/>
      <c r="J12" s="3"/>
      <c r="K12" s="2"/>
      <c r="L12" s="2"/>
    </row>
    <row r="13" spans="1:18" ht="15" x14ac:dyDescent="0.25">
      <c r="A13" s="2"/>
      <c r="B13" s="2"/>
      <c r="C13" s="595" t="s">
        <v>738</v>
      </c>
      <c r="D13" s="595"/>
      <c r="E13" s="595"/>
      <c r="F13" s="595"/>
      <c r="G13" s="595"/>
      <c r="H13" s="595"/>
      <c r="I13" s="3"/>
      <c r="J13" s="3"/>
      <c r="K13" s="2"/>
      <c r="L13" s="2"/>
    </row>
    <row r="14" spans="1:18" ht="15" customHeight="1" x14ac:dyDescent="0.25">
      <c r="A14" s="2"/>
      <c r="B14" s="2"/>
      <c r="C14" s="595" t="s">
        <v>482</v>
      </c>
      <c r="D14" s="595"/>
      <c r="E14" s="595"/>
      <c r="F14" s="595"/>
      <c r="G14" s="595"/>
      <c r="H14" s="595"/>
      <c r="I14" s="595"/>
      <c r="J14" s="595"/>
      <c r="K14" s="595"/>
      <c r="L14" s="2"/>
    </row>
    <row r="15" spans="1:18" ht="15" x14ac:dyDescent="0.25">
      <c r="A15" s="2"/>
      <c r="B15" s="2"/>
      <c r="C15" s="595" t="s">
        <v>1722</v>
      </c>
      <c r="D15" s="595"/>
      <c r="E15" s="595"/>
      <c r="F15" s="595"/>
      <c r="G15" s="595"/>
      <c r="H15" s="595"/>
      <c r="I15" s="595"/>
      <c r="J15" s="595"/>
      <c r="K15" s="595"/>
      <c r="L15" s="2"/>
    </row>
    <row r="16" spans="1:18" ht="15" x14ac:dyDescent="0.25">
      <c r="A16" s="2"/>
      <c r="B16" s="2"/>
      <c r="C16" s="595" t="s">
        <v>1297</v>
      </c>
      <c r="D16" s="595"/>
      <c r="E16" s="595"/>
      <c r="F16" s="595"/>
      <c r="G16" s="595"/>
      <c r="H16" s="595"/>
      <c r="I16"/>
      <c r="J16" s="2"/>
      <c r="K16" s="2"/>
      <c r="L16" s="2"/>
    </row>
    <row r="17" spans="1:12" ht="15" x14ac:dyDescent="0.25">
      <c r="A17" s="2"/>
      <c r="B17" s="2" t="s">
        <v>740</v>
      </c>
      <c r="C17" s="2"/>
      <c r="D17" s="2"/>
      <c r="E17" s="2"/>
      <c r="F17" s="2"/>
      <c r="G17" s="2"/>
      <c r="H17" s="2"/>
      <c r="I17" s="3"/>
      <c r="J17" s="3"/>
      <c r="K17" s="2"/>
      <c r="L17" s="2"/>
    </row>
    <row r="18" spans="1:12" ht="15" x14ac:dyDescent="0.25">
      <c r="A18" s="2"/>
      <c r="B18" s="2"/>
      <c r="C18" s="595" t="s">
        <v>735</v>
      </c>
      <c r="D18" s="595"/>
      <c r="E18" s="595"/>
      <c r="F18"/>
      <c r="G18" s="2"/>
      <c r="H18" s="2"/>
      <c r="I18" s="673"/>
      <c r="J18" s="3"/>
      <c r="K18" s="2"/>
      <c r="L18" s="2"/>
    </row>
    <row r="19" spans="1:12" ht="15" x14ac:dyDescent="0.25">
      <c r="A19" s="2"/>
      <c r="B19" s="2"/>
      <c r="C19" s="595" t="s">
        <v>737</v>
      </c>
      <c r="D19" s="595"/>
      <c r="E19" s="595"/>
      <c r="F19" s="595"/>
      <c r="G19" s="595"/>
      <c r="H19" s="2"/>
      <c r="I19" s="673"/>
      <c r="J19" s="3"/>
      <c r="K19" s="2"/>
      <c r="L19" s="2"/>
    </row>
    <row r="20" spans="1:12" ht="15" x14ac:dyDescent="0.25">
      <c r="A20" s="2"/>
      <c r="B20" s="2"/>
      <c r="C20" s="595" t="s">
        <v>738</v>
      </c>
      <c r="D20" s="595"/>
      <c r="E20" s="595"/>
      <c r="F20" s="595"/>
      <c r="G20" s="595"/>
      <c r="H20" s="595"/>
      <c r="I20" s="673"/>
      <c r="J20" s="3"/>
      <c r="K20" s="2"/>
      <c r="L20" s="2"/>
    </row>
    <row r="21" spans="1:12" ht="15" x14ac:dyDescent="0.25">
      <c r="A21" s="2"/>
      <c r="B21" s="2"/>
      <c r="C21" s="595" t="s">
        <v>741</v>
      </c>
      <c r="D21" s="595"/>
      <c r="E21" s="595"/>
      <c r="F21" s="595"/>
      <c r="G21" s="595"/>
      <c r="H21" s="595"/>
      <c r="I21" s="595"/>
      <c r="J21"/>
      <c r="K21" s="2"/>
      <c r="L21" s="2"/>
    </row>
    <row r="22" spans="1:12" ht="15.6" x14ac:dyDescent="0.3">
      <c r="A22" s="383" t="s">
        <v>742</v>
      </c>
      <c r="B22" s="383"/>
      <c r="C22" s="2"/>
      <c r="D22" s="2"/>
      <c r="E22" s="2"/>
      <c r="F22" s="2"/>
      <c r="G22" s="2"/>
      <c r="H22" s="2"/>
      <c r="I22" s="3"/>
      <c r="J22" s="3"/>
      <c r="K22" s="2"/>
      <c r="L22" s="2"/>
    </row>
    <row r="23" spans="1:12" ht="15" x14ac:dyDescent="0.25">
      <c r="A23" s="2"/>
      <c r="B23" s="595" t="s">
        <v>1723</v>
      </c>
      <c r="C23" s="595"/>
      <c r="D23" s="595"/>
      <c r="E23" s="595"/>
      <c r="F23" s="2"/>
      <c r="G23" s="2"/>
      <c r="H23" s="2"/>
      <c r="I23" s="3"/>
      <c r="J23" s="3"/>
      <c r="K23" s="2"/>
      <c r="L23" s="2"/>
    </row>
    <row r="24" spans="1:12" ht="15" x14ac:dyDescent="0.25">
      <c r="A24" s="2"/>
      <c r="B24" s="595" t="s">
        <v>1724</v>
      </c>
      <c r="C24" s="595"/>
      <c r="D24" s="595"/>
      <c r="E24" s="595"/>
      <c r="F24" s="595"/>
      <c r="G24" s="595"/>
      <c r="H24" s="595"/>
      <c r="I24" s="595"/>
      <c r="J24" s="3"/>
      <c r="K24" s="2"/>
      <c r="L24" s="2"/>
    </row>
    <row r="25" spans="1:12" ht="15" x14ac:dyDescent="0.25">
      <c r="A25" s="2"/>
      <c r="B25" s="595" t="s">
        <v>1725</v>
      </c>
      <c r="C25" s="595"/>
      <c r="D25" s="595"/>
      <c r="E25" s="595"/>
      <c r="F25" s="595"/>
      <c r="G25" s="595"/>
      <c r="H25" s="2"/>
      <c r="I25" s="3"/>
      <c r="J25" s="3"/>
      <c r="K25" s="2"/>
      <c r="L25" s="2"/>
    </row>
    <row r="26" spans="1:12" ht="15" x14ac:dyDescent="0.25">
      <c r="A26" s="2"/>
      <c r="B26" s="595" t="s">
        <v>18</v>
      </c>
      <c r="C26" s="595"/>
      <c r="D26" s="595"/>
      <c r="E26" s="595"/>
      <c r="F26" s="595"/>
      <c r="G26" s="595"/>
      <c r="H26" s="595"/>
      <c r="I26"/>
      <c r="J26" s="3"/>
      <c r="K26" s="2"/>
      <c r="L26" s="2"/>
    </row>
    <row r="27" spans="1:12" ht="15" x14ac:dyDescent="0.25">
      <c r="A27" s="2"/>
      <c r="B27" s="595" t="s">
        <v>1729</v>
      </c>
      <c r="C27" s="595"/>
      <c r="D27" s="595"/>
      <c r="E27" s="595"/>
      <c r="F27"/>
      <c r="G27" s="2"/>
      <c r="H27" s="2"/>
      <c r="I27" s="3"/>
      <c r="J27" s="3"/>
      <c r="K27" s="2"/>
      <c r="L27" s="2"/>
    </row>
    <row r="28" spans="1:12" ht="15" x14ac:dyDescent="0.25">
      <c r="A28" s="2"/>
      <c r="B28" s="595" t="s">
        <v>1730</v>
      </c>
      <c r="C28" s="595"/>
      <c r="D28" s="595"/>
      <c r="E28" s="595"/>
      <c r="F28" s="595"/>
      <c r="G28" s="595"/>
      <c r="H28" s="595"/>
      <c r="I28" s="595"/>
      <c r="J28" s="595"/>
      <c r="K28" s="2"/>
      <c r="L28" s="2"/>
    </row>
    <row r="29" spans="1:12" ht="15" x14ac:dyDescent="0.25">
      <c r="A29" s="2"/>
      <c r="B29" s="595" t="s">
        <v>1731</v>
      </c>
      <c r="C29" s="595"/>
      <c r="D29" s="595"/>
      <c r="E29" s="595"/>
      <c r="F29" s="595"/>
      <c r="G29" s="595"/>
      <c r="H29" s="2"/>
      <c r="I29" s="3"/>
      <c r="J29" s="3"/>
      <c r="K29" s="2"/>
      <c r="L29" s="2"/>
    </row>
    <row r="30" spans="1:12" ht="15.6" x14ac:dyDescent="0.3">
      <c r="A30" s="2"/>
      <c r="B30" s="595" t="s">
        <v>1757</v>
      </c>
      <c r="C30" s="595"/>
      <c r="D30" s="595"/>
      <c r="E30" s="595"/>
      <c r="F30" s="595"/>
      <c r="G30" s="595"/>
      <c r="H30" s="595"/>
      <c r="I30" s="595"/>
      <c r="J30" s="595"/>
      <c r="K30" s="2"/>
      <c r="L30" s="2"/>
    </row>
    <row r="31" spans="1:12" ht="15" x14ac:dyDescent="0.25">
      <c r="A31" s="2"/>
      <c r="B31" s="595" t="s">
        <v>1732</v>
      </c>
      <c r="C31" s="595"/>
      <c r="D31" s="595"/>
      <c r="E31" s="595"/>
      <c r="F31" s="595"/>
      <c r="G31" s="595"/>
      <c r="H31" s="595"/>
      <c r="I31" s="595"/>
      <c r="J31" s="595"/>
      <c r="K31" s="2"/>
      <c r="L31" s="2"/>
    </row>
    <row r="32" spans="1:12" ht="15" x14ac:dyDescent="0.25">
      <c r="A32" s="2"/>
      <c r="B32" s="595" t="s">
        <v>1733</v>
      </c>
      <c r="C32" s="595"/>
      <c r="D32" s="595"/>
      <c r="E32" s="595"/>
      <c r="F32" s="595"/>
      <c r="G32" s="595"/>
      <c r="H32"/>
      <c r="I32" s="855"/>
      <c r="J32" s="3"/>
      <c r="K32" s="2"/>
      <c r="L32" s="2"/>
    </row>
    <row r="33" spans="1:22" ht="15" x14ac:dyDescent="0.25">
      <c r="A33" s="2"/>
      <c r="B33" s="595" t="s">
        <v>743</v>
      </c>
      <c r="C33" s="595"/>
      <c r="D33" s="595"/>
      <c r="E33" s="595"/>
      <c r="F33" s="595"/>
      <c r="G33" s="595"/>
      <c r="H33" s="595"/>
      <c r="I33" s="595"/>
      <c r="J33" s="595"/>
      <c r="K33" s="2"/>
      <c r="L33" s="2"/>
    </row>
    <row r="34" spans="1:22" ht="15" x14ac:dyDescent="0.25">
      <c r="A34" s="2"/>
      <c r="B34" s="595" t="s">
        <v>1361</v>
      </c>
      <c r="C34" s="595"/>
      <c r="D34" s="595"/>
      <c r="E34" s="595"/>
      <c r="F34" s="595"/>
      <c r="G34" s="2"/>
      <c r="H34" s="2"/>
      <c r="I34" s="3"/>
      <c r="J34" s="3"/>
      <c r="K34" s="2"/>
      <c r="L34" s="2"/>
    </row>
    <row r="35" spans="1:22" ht="15" x14ac:dyDescent="0.25">
      <c r="A35" s="2"/>
      <c r="B35" s="595" t="s">
        <v>1362</v>
      </c>
      <c r="C35" s="595"/>
      <c r="D35" s="595"/>
      <c r="E35" s="595"/>
      <c r="F35" s="595"/>
      <c r="G35" s="595"/>
      <c r="H35" s="2"/>
      <c r="I35" s="3"/>
      <c r="J35" s="3"/>
      <c r="K35" s="2"/>
      <c r="L35" s="2"/>
    </row>
    <row r="36" spans="1:22" ht="15" x14ac:dyDescent="0.25">
      <c r="A36" s="2"/>
      <c r="B36" s="595" t="s">
        <v>1363</v>
      </c>
      <c r="C36" s="595"/>
      <c r="D36" s="595"/>
      <c r="E36" s="595"/>
      <c r="F36" s="595"/>
      <c r="G36" s="595"/>
      <c r="H36" s="2"/>
      <c r="I36" s="3"/>
      <c r="J36" s="3"/>
      <c r="K36" s="2"/>
      <c r="L36" s="2"/>
    </row>
    <row r="37" spans="1:22" ht="15" x14ac:dyDescent="0.25">
      <c r="A37" s="2"/>
      <c r="B37" s="595" t="s">
        <v>744</v>
      </c>
      <c r="C37" s="595"/>
      <c r="D37" s="595"/>
      <c r="E37" s="595"/>
      <c r="F37" s="595"/>
      <c r="G37" s="2"/>
      <c r="H37" s="2"/>
      <c r="I37" s="3"/>
      <c r="J37" s="3"/>
      <c r="K37" s="2"/>
      <c r="L37" s="3"/>
    </row>
    <row r="38" spans="1:22" ht="15" x14ac:dyDescent="0.25">
      <c r="A38" s="2"/>
      <c r="B38" s="595" t="s">
        <v>404</v>
      </c>
      <c r="C38" s="595"/>
      <c r="D38" s="595"/>
      <c r="E38" s="595"/>
      <c r="F38" s="595"/>
      <c r="G38" s="595"/>
      <c r="H38" s="595"/>
      <c r="I38" s="595"/>
      <c r="J38"/>
      <c r="K38" s="2"/>
      <c r="L38" s="3"/>
    </row>
    <row r="39" spans="1:22" ht="15" x14ac:dyDescent="0.25">
      <c r="A39" s="2"/>
      <c r="B39" s="595" t="s">
        <v>1526</v>
      </c>
      <c r="C39" s="595"/>
      <c r="D39" s="595"/>
      <c r="E39" s="595"/>
      <c r="F39" s="595"/>
      <c r="G39" s="595"/>
      <c r="H39" s="595"/>
      <c r="I39" s="595"/>
      <c r="J39" s="2"/>
      <c r="K39" s="2"/>
      <c r="L39" s="3"/>
    </row>
    <row r="40" spans="1:22" ht="15" x14ac:dyDescent="0.25">
      <c r="A40" s="2"/>
      <c r="B40" s="595" t="s">
        <v>745</v>
      </c>
      <c r="C40" s="595"/>
      <c r="D40" s="595"/>
      <c r="E40" s="595"/>
      <c r="F40" s="595"/>
      <c r="G40" s="2"/>
      <c r="H40" s="2"/>
      <c r="I40" s="3"/>
      <c r="J40" s="3"/>
      <c r="K40" s="2"/>
      <c r="L40" s="2"/>
    </row>
    <row r="41" spans="1:22" ht="15" x14ac:dyDescent="0.25">
      <c r="A41" s="2"/>
      <c r="B41" s="595" t="s">
        <v>749</v>
      </c>
      <c r="C41" s="595"/>
      <c r="D41" s="595"/>
      <c r="E41" s="595"/>
      <c r="F41" s="595"/>
      <c r="G41" s="595"/>
      <c r="H41" s="2"/>
      <c r="I41" s="3"/>
      <c r="J41" s="3"/>
      <c r="K41" s="2"/>
      <c r="L41" s="2"/>
    </row>
    <row r="42" spans="1:22" ht="15" x14ac:dyDescent="0.25">
      <c r="A42" s="2"/>
      <c r="B42" s="595" t="s">
        <v>750</v>
      </c>
      <c r="C42" s="595"/>
      <c r="D42" s="595"/>
      <c r="E42" s="595"/>
      <c r="F42" s="595"/>
      <c r="G42" s="595"/>
      <c r="H42" s="2"/>
      <c r="I42" s="3"/>
      <c r="J42" s="3"/>
      <c r="K42" s="2"/>
      <c r="L42" s="2"/>
    </row>
    <row r="43" spans="1:22" ht="15" x14ac:dyDescent="0.25">
      <c r="A43" s="2"/>
      <c r="B43" s="595" t="s">
        <v>680</v>
      </c>
      <c r="C43" s="595"/>
      <c r="D43" s="595"/>
      <c r="E43" s="595"/>
      <c r="F43" s="595"/>
      <c r="G43" s="595"/>
      <c r="H43"/>
      <c r="I43"/>
      <c r="J43"/>
      <c r="K43"/>
      <c r="L43" s="2"/>
      <c r="M43" s="2"/>
    </row>
    <row r="44" spans="1:22" ht="15" x14ac:dyDescent="0.25">
      <c r="A44" s="2"/>
      <c r="B44" s="595" t="s">
        <v>1715</v>
      </c>
      <c r="C44" s="595"/>
      <c r="D44" s="595"/>
      <c r="E44" s="595"/>
      <c r="F44" s="595"/>
      <c r="G44"/>
      <c r="H44"/>
      <c r="I44" s="3"/>
      <c r="J44" s="3"/>
      <c r="K44" s="2"/>
      <c r="L44" s="2"/>
    </row>
    <row r="45" spans="1:22" ht="15" x14ac:dyDescent="0.25">
      <c r="A45" s="2"/>
      <c r="B45" s="595" t="s">
        <v>875</v>
      </c>
      <c r="C45" s="595"/>
      <c r="D45" s="595"/>
      <c r="E45" s="595"/>
      <c r="F45" s="595"/>
      <c r="G45" s="595"/>
      <c r="H45" s="2"/>
      <c r="I45" s="3"/>
      <c r="J45" s="3"/>
      <c r="K45" s="2"/>
      <c r="L45" s="2"/>
    </row>
    <row r="46" spans="1:22" ht="15" x14ac:dyDescent="0.25">
      <c r="A46" s="2"/>
      <c r="B46" s="595" t="s">
        <v>751</v>
      </c>
      <c r="C46" s="595"/>
      <c r="D46" s="595"/>
      <c r="E46" s="595"/>
      <c r="F46" s="595"/>
      <c r="G46" s="595"/>
      <c r="H46" s="595"/>
      <c r="I46" s="3"/>
      <c r="J46" s="3"/>
      <c r="K46" s="2"/>
      <c r="L46" s="2"/>
    </row>
    <row r="47" spans="1:22" ht="15" customHeight="1" x14ac:dyDescent="0.3">
      <c r="A47" s="886"/>
      <c r="B47" s="595" t="s">
        <v>752</v>
      </c>
      <c r="C47" s="595"/>
      <c r="D47" s="595"/>
      <c r="E47" s="595"/>
      <c r="F47" s="595"/>
      <c r="G47" s="595"/>
      <c r="H47" s="595"/>
      <c r="I47" s="595"/>
      <c r="J47" s="2"/>
      <c r="K47" s="2"/>
      <c r="L47" s="2"/>
      <c r="V47" s="2"/>
    </row>
    <row r="48" spans="1:22" ht="15" customHeight="1" x14ac:dyDescent="0.3">
      <c r="A48" s="886"/>
      <c r="B48" s="595" t="s">
        <v>753</v>
      </c>
      <c r="C48" s="595"/>
      <c r="D48" s="595"/>
      <c r="E48" s="595"/>
      <c r="F48" s="595"/>
      <c r="G48" s="595"/>
      <c r="H48" s="595"/>
      <c r="I48" s="3"/>
      <c r="J48" s="3"/>
      <c r="K48" s="2"/>
      <c r="L48" s="2"/>
    </row>
    <row r="49" spans="1:12" ht="15" customHeight="1" x14ac:dyDescent="0.3">
      <c r="A49" s="886"/>
      <c r="B49" s="595" t="s">
        <v>761</v>
      </c>
      <c r="C49" s="595"/>
      <c r="D49" s="595"/>
      <c r="E49" s="595"/>
      <c r="F49" s="595"/>
      <c r="G49" s="595"/>
      <c r="H49" s="595"/>
      <c r="I49" s="595"/>
      <c r="J49" s="595"/>
      <c r="K49" s="2"/>
      <c r="L49" s="2"/>
    </row>
    <row r="50" spans="1:12" ht="15.6" x14ac:dyDescent="0.3">
      <c r="A50" s="2"/>
      <c r="B50" s="595" t="s">
        <v>1775</v>
      </c>
      <c r="C50" s="595"/>
      <c r="D50" s="595"/>
      <c r="E50" s="595"/>
      <c r="F50" s="595"/>
      <c r="G50" s="595"/>
      <c r="H50"/>
      <c r="I50"/>
      <c r="J50"/>
      <c r="K50"/>
      <c r="L50" s="2"/>
    </row>
    <row r="51" spans="1:12" ht="15" x14ac:dyDescent="0.25">
      <c r="A51" s="2"/>
      <c r="B51" s="595" t="s">
        <v>762</v>
      </c>
      <c r="C51" s="595"/>
      <c r="D51" s="595"/>
      <c r="E51" s="595"/>
      <c r="F51" s="595"/>
      <c r="G51" s="595"/>
      <c r="H51" s="2"/>
      <c r="I51" s="3"/>
      <c r="J51" s="3"/>
      <c r="K51" s="2"/>
      <c r="L51" s="2"/>
    </row>
    <row r="52" spans="1:12" ht="15" x14ac:dyDescent="0.25">
      <c r="A52" s="2"/>
      <c r="B52" s="595" t="s">
        <v>944</v>
      </c>
      <c r="C52" s="595"/>
      <c r="D52" s="595"/>
      <c r="E52" s="595"/>
      <c r="F52" s="595"/>
      <c r="G52" s="595"/>
      <c r="H52" s="595"/>
      <c r="I52" s="595"/>
      <c r="J52" s="595"/>
      <c r="K52" s="2"/>
      <c r="L52" s="2"/>
    </row>
    <row r="53" spans="1:12" ht="15" x14ac:dyDescent="0.25">
      <c r="A53" s="2"/>
      <c r="B53" s="595" t="s">
        <v>487</v>
      </c>
      <c r="C53" s="595"/>
      <c r="D53" s="595"/>
      <c r="E53" s="595"/>
      <c r="F53" s="595"/>
      <c r="G53" s="595"/>
      <c r="H53" s="595"/>
      <c r="I53" s="595"/>
      <c r="J53" s="595"/>
      <c r="K53" s="2"/>
      <c r="L53" s="2"/>
    </row>
    <row r="54" spans="1:12" ht="15" x14ac:dyDescent="0.25">
      <c r="A54" s="2"/>
      <c r="B54" s="595" t="s">
        <v>763</v>
      </c>
      <c r="C54" s="595"/>
      <c r="D54" s="595"/>
      <c r="E54" s="595"/>
      <c r="F54" s="2"/>
      <c r="G54" s="2"/>
      <c r="H54" s="2"/>
      <c r="I54" s="3"/>
      <c r="J54" s="3"/>
      <c r="K54" s="2"/>
      <c r="L54" s="2"/>
    </row>
    <row r="55" spans="1:12" ht="15" x14ac:dyDescent="0.25">
      <c r="A55" s="2"/>
      <c r="B55" s="595" t="s">
        <v>613</v>
      </c>
      <c r="C55" s="595"/>
      <c r="D55" s="595"/>
      <c r="E55" s="595"/>
      <c r="F55" s="595"/>
      <c r="G55" s="595"/>
      <c r="H55" s="595"/>
      <c r="I55"/>
      <c r="J55" s="3"/>
      <c r="K55" s="2"/>
      <c r="L55" s="2"/>
    </row>
    <row r="56" spans="1:12" ht="15.6" x14ac:dyDescent="0.3">
      <c r="A56" s="383" t="s">
        <v>764</v>
      </c>
      <c r="B56" s="2"/>
      <c r="C56" s="383"/>
      <c r="D56" s="383"/>
      <c r="E56" s="383"/>
      <c r="F56" s="2"/>
      <c r="G56" s="2"/>
      <c r="H56" s="2"/>
      <c r="I56" s="3"/>
      <c r="J56" s="3"/>
      <c r="K56" s="2"/>
      <c r="L56" s="2"/>
    </row>
    <row r="57" spans="1:12" ht="15" x14ac:dyDescent="0.25">
      <c r="A57" s="2"/>
      <c r="B57" s="595" t="s">
        <v>1676</v>
      </c>
      <c r="C57" s="595"/>
      <c r="D57" s="595"/>
      <c r="E57" s="595"/>
      <c r="F57" s="595"/>
      <c r="G57" s="595"/>
      <c r="H57" s="595"/>
      <c r="I57" s="595"/>
      <c r="J57" s="3"/>
      <c r="K57" s="2"/>
      <c r="L57" s="2"/>
    </row>
    <row r="58" spans="1:12" ht="15" x14ac:dyDescent="0.25">
      <c r="A58" s="2"/>
      <c r="B58" s="595" t="s">
        <v>765</v>
      </c>
      <c r="C58" s="595"/>
      <c r="D58" s="595"/>
      <c r="E58" s="595"/>
      <c r="F58"/>
      <c r="G58" s="414"/>
      <c r="H58" s="414"/>
      <c r="I58" s="673"/>
      <c r="J58" s="3"/>
      <c r="K58" s="2"/>
      <c r="L58" s="2"/>
    </row>
    <row r="59" spans="1:12" ht="15.6" x14ac:dyDescent="0.3">
      <c r="A59" s="383" t="s">
        <v>766</v>
      </c>
      <c r="B59" s="2"/>
      <c r="C59" s="2"/>
      <c r="D59" s="2"/>
      <c r="E59" s="2"/>
      <c r="F59" s="2"/>
      <c r="G59" s="2"/>
      <c r="H59" s="2"/>
      <c r="I59" s="3"/>
      <c r="J59" s="3"/>
      <c r="K59" s="2"/>
      <c r="L59" s="2"/>
    </row>
    <row r="60" spans="1:12" ht="15" x14ac:dyDescent="0.25">
      <c r="A60" s="2"/>
      <c r="B60" s="595" t="s">
        <v>180</v>
      </c>
      <c r="C60" s="595"/>
      <c r="D60" s="595"/>
      <c r="E60" s="595"/>
      <c r="F60" s="595"/>
      <c r="G60" s="595"/>
      <c r="H60" s="595"/>
      <c r="I60" s="595"/>
      <c r="J60" s="3"/>
      <c r="K60" s="2"/>
      <c r="L60" s="2"/>
    </row>
    <row r="61" spans="1:12" ht="15" x14ac:dyDescent="0.25">
      <c r="A61" s="2"/>
      <c r="B61" s="595" t="s">
        <v>181</v>
      </c>
      <c r="C61" s="595"/>
      <c r="D61" s="595"/>
      <c r="E61" s="595"/>
      <c r="F61" s="595"/>
      <c r="G61" s="595"/>
      <c r="H61" s="595"/>
      <c r="I61" s="595"/>
      <c r="J61" s="3"/>
      <c r="K61" s="2"/>
      <c r="L61" s="2"/>
    </row>
    <row r="62" spans="1:12" ht="15" x14ac:dyDescent="0.25">
      <c r="A62" s="2"/>
      <c r="B62" s="595" t="s">
        <v>182</v>
      </c>
      <c r="C62" s="595"/>
      <c r="D62" s="595"/>
      <c r="E62" s="595"/>
      <c r="F62" s="595"/>
      <c r="G62" s="595"/>
      <c r="H62" s="595"/>
      <c r="I62" s="595"/>
      <c r="J62" s="595"/>
      <c r="K62" s="595"/>
      <c r="L62" s="2"/>
    </row>
    <row r="63" spans="1:12" ht="15.6" x14ac:dyDescent="0.3">
      <c r="A63" s="383" t="s">
        <v>767</v>
      </c>
      <c r="B63" s="383"/>
      <c r="C63" s="383"/>
      <c r="D63" s="383"/>
      <c r="E63" s="2"/>
      <c r="F63" s="2"/>
      <c r="G63" s="2"/>
      <c r="H63" s="2"/>
      <c r="I63" s="3"/>
      <c r="J63" s="3"/>
      <c r="K63" s="2"/>
      <c r="L63" s="2"/>
    </row>
    <row r="64" spans="1:12" ht="15" x14ac:dyDescent="0.25">
      <c r="A64" s="2"/>
      <c r="B64" s="595" t="s">
        <v>768</v>
      </c>
      <c r="C64" s="595"/>
      <c r="D64" s="595"/>
      <c r="E64" s="595"/>
      <c r="F64" s="595"/>
      <c r="G64" s="595"/>
      <c r="H64" s="414"/>
      <c r="I64" s="673"/>
      <c r="J64" s="673"/>
      <c r="K64" s="2"/>
      <c r="L64" s="2"/>
    </row>
    <row r="65" spans="1:49" ht="15" x14ac:dyDescent="0.25">
      <c r="A65" s="2"/>
      <c r="B65" s="595" t="s">
        <v>1726</v>
      </c>
      <c r="C65" s="595"/>
      <c r="D65" s="595"/>
      <c r="E65" s="595"/>
      <c r="F65" s="595"/>
      <c r="G65" s="595"/>
      <c r="H65" s="595"/>
      <c r="I65" s="595"/>
      <c r="J65" s="595"/>
      <c r="K65" s="2"/>
      <c r="L65" s="2"/>
    </row>
    <row r="66" spans="1:49" ht="15" x14ac:dyDescent="0.25">
      <c r="A66" s="2"/>
      <c r="B66" s="595" t="s">
        <v>1727</v>
      </c>
      <c r="C66" s="595"/>
      <c r="D66" s="595"/>
      <c r="E66" s="595"/>
      <c r="F66" s="595"/>
      <c r="G66" s="595"/>
      <c r="H66" s="595"/>
      <c r="I66" s="595"/>
      <c r="J66" s="595"/>
      <c r="K66" s="595"/>
      <c r="L66" s="2"/>
    </row>
    <row r="67" spans="1:49" ht="15" x14ac:dyDescent="0.25">
      <c r="A67" s="2"/>
      <c r="B67" s="595" t="s">
        <v>1728</v>
      </c>
      <c r="C67" s="595"/>
      <c r="D67" s="595"/>
      <c r="E67" s="595"/>
      <c r="F67" s="595"/>
      <c r="G67" s="595"/>
      <c r="H67" s="595"/>
      <c r="I67" s="595"/>
      <c r="J67" s="673"/>
      <c r="K67" s="2"/>
      <c r="L67" s="2"/>
    </row>
    <row r="68" spans="1:49" ht="15" x14ac:dyDescent="0.25">
      <c r="A68" s="2"/>
      <c r="B68" s="595" t="s">
        <v>769</v>
      </c>
      <c r="C68" s="595"/>
      <c r="D68" s="595"/>
      <c r="E68" s="595"/>
      <c r="F68" s="595"/>
      <c r="G68" s="595"/>
      <c r="H68" s="595"/>
      <c r="I68" s="595"/>
      <c r="J68" s="673"/>
      <c r="K68" s="2"/>
      <c r="L68" s="2"/>
    </row>
    <row r="69" spans="1:49" ht="15.6" x14ac:dyDescent="0.3">
      <c r="A69" s="383" t="s">
        <v>770</v>
      </c>
      <c r="B69" s="383"/>
      <c r="C69" s="383"/>
      <c r="D69" s="2"/>
      <c r="E69" s="2"/>
      <c r="F69" s="2"/>
      <c r="G69" s="2"/>
      <c r="H69" s="2"/>
      <c r="I69" s="3"/>
      <c r="J69" s="3"/>
      <c r="K69" s="2"/>
      <c r="L69" s="2"/>
    </row>
    <row r="70" spans="1:49" ht="15" x14ac:dyDescent="0.25">
      <c r="A70" s="2"/>
      <c r="B70" s="595" t="s">
        <v>771</v>
      </c>
      <c r="C70" s="595"/>
      <c r="D70" s="595"/>
      <c r="E70" s="595"/>
      <c r="F70" s="595"/>
      <c r="G70" s="414"/>
      <c r="H70" s="414"/>
      <c r="I70" s="3"/>
      <c r="J70" s="3"/>
      <c r="K70" s="2"/>
      <c r="L70" s="2"/>
    </row>
    <row r="71" spans="1:49" ht="15" x14ac:dyDescent="0.25">
      <c r="A71" s="2"/>
      <c r="B71" s="595" t="s">
        <v>1538</v>
      </c>
      <c r="C71" s="595"/>
      <c r="D71" s="595"/>
      <c r="E71" s="595"/>
      <c r="F71" s="595"/>
      <c r="G71" s="595"/>
      <c r="H71"/>
      <c r="I71" s="3"/>
      <c r="J71" s="3"/>
      <c r="K71" s="2"/>
      <c r="L71" s="2"/>
    </row>
    <row r="72" spans="1:49" ht="15" x14ac:dyDescent="0.25">
      <c r="A72" s="2"/>
      <c r="B72" s="595" t="s">
        <v>1682</v>
      </c>
      <c r="C72" s="595"/>
      <c r="D72" s="595"/>
      <c r="E72" s="595"/>
      <c r="F72" s="595"/>
      <c r="G72" s="595"/>
      <c r="H72"/>
      <c r="I72" s="3"/>
      <c r="J72" s="3"/>
      <c r="K72" s="2"/>
      <c r="L72" s="2"/>
    </row>
    <row r="73" spans="1:49" ht="15" x14ac:dyDescent="0.25">
      <c r="A73" s="2"/>
      <c r="B73" s="595" t="s">
        <v>1782</v>
      </c>
      <c r="C73" s="595"/>
      <c r="D73" s="595"/>
      <c r="E73" s="595"/>
      <c r="F73" s="595"/>
      <c r="G73" s="595"/>
      <c r="H73" s="595"/>
      <c r="I73"/>
      <c r="J73" s="3"/>
      <c r="K73" s="2"/>
      <c r="L73" s="2"/>
    </row>
    <row r="74" spans="1:49" ht="15" x14ac:dyDescent="0.25">
      <c r="A74" s="2"/>
      <c r="B74" s="595" t="s">
        <v>772</v>
      </c>
      <c r="C74" s="595"/>
      <c r="D74" s="595"/>
      <c r="E74" s="595"/>
      <c r="F74" s="595"/>
      <c r="G74" s="595"/>
      <c r="H74" s="595"/>
      <c r="I74" s="3"/>
      <c r="J74" s="3"/>
      <c r="K74" s="2"/>
      <c r="L74" s="2"/>
    </row>
    <row r="75" spans="1:49" ht="15.6" x14ac:dyDescent="0.3">
      <c r="A75" s="383" t="s">
        <v>773</v>
      </c>
      <c r="B75" s="383"/>
      <c r="C75" s="2"/>
      <c r="D75" s="2"/>
      <c r="E75" s="2"/>
      <c r="F75" s="2"/>
      <c r="G75" s="2"/>
      <c r="H75" s="2"/>
      <c r="I75" s="3"/>
      <c r="J75" s="3"/>
      <c r="K75" s="2"/>
      <c r="L75" s="2"/>
    </row>
    <row r="76" spans="1:49" ht="15" x14ac:dyDescent="0.25">
      <c r="A76" s="2"/>
      <c r="B76" s="595" t="s">
        <v>790</v>
      </c>
      <c r="C76" s="595"/>
      <c r="D76" s="595"/>
      <c r="E76" s="595"/>
      <c r="F76" s="595"/>
      <c r="G76" s="2"/>
      <c r="H76" s="2"/>
      <c r="I76" s="3"/>
      <c r="J76" s="3"/>
      <c r="K76" s="2"/>
      <c r="L76" s="2"/>
    </row>
    <row r="77" spans="1:49" ht="15.6" x14ac:dyDescent="0.3">
      <c r="A77" s="383" t="s">
        <v>1152</v>
      </c>
      <c r="B77" s="2"/>
      <c r="C77" s="383"/>
      <c r="D77" s="2"/>
      <c r="E77" s="2"/>
      <c r="F77" s="2"/>
      <c r="G77" s="2"/>
      <c r="H77" s="2"/>
      <c r="I77" s="3"/>
      <c r="J77" s="3"/>
      <c r="K77" s="2"/>
      <c r="L77" s="2"/>
    </row>
    <row r="78" spans="1:49" ht="15.6" x14ac:dyDescent="0.3">
      <c r="A78" s="383"/>
      <c r="B78" s="2107" t="s">
        <v>792</v>
      </c>
      <c r="C78" s="2107"/>
      <c r="D78" s="2107"/>
      <c r="E78" s="2107"/>
      <c r="F78" s="2107"/>
      <c r="G78" s="384"/>
      <c r="H78" s="384"/>
      <c r="I78" s="385"/>
      <c r="J78" s="385"/>
      <c r="K78" s="384"/>
      <c r="L78" s="384"/>
      <c r="M78" s="321"/>
      <c r="N78" s="320"/>
      <c r="O78" s="320"/>
      <c r="P78" s="320"/>
      <c r="Q78" s="320"/>
      <c r="R78" s="320"/>
      <c r="S78" s="320"/>
      <c r="T78" s="320"/>
      <c r="U78" s="320"/>
      <c r="V78" s="320"/>
      <c r="W78" s="320"/>
      <c r="X78" s="320"/>
      <c r="Y78" s="320"/>
      <c r="Z78" s="320"/>
      <c r="AA78" s="320"/>
      <c r="AB78" s="320"/>
      <c r="AC78" s="320"/>
      <c r="AD78" s="320"/>
      <c r="AE78" s="320"/>
      <c r="AF78" s="320"/>
      <c r="AG78" s="320"/>
      <c r="AH78" s="320"/>
      <c r="AI78" s="320"/>
      <c r="AJ78" s="320"/>
      <c r="AK78" s="320"/>
      <c r="AL78" s="320"/>
      <c r="AM78" s="320"/>
      <c r="AN78" s="320"/>
      <c r="AO78" s="320"/>
      <c r="AP78" s="320"/>
      <c r="AQ78" s="320"/>
      <c r="AR78" s="320"/>
      <c r="AS78" s="320"/>
      <c r="AT78" s="320"/>
      <c r="AU78" s="320"/>
      <c r="AV78" s="320"/>
      <c r="AW78" s="320"/>
    </row>
    <row r="79" spans="1:49" ht="15" customHeight="1" x14ac:dyDescent="0.3">
      <c r="A79" s="383"/>
      <c r="B79" s="7" t="s">
        <v>612</v>
      </c>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row>
    <row r="80" spans="1:49" ht="15" x14ac:dyDescent="0.25">
      <c r="A80" s="2"/>
      <c r="B80" s="414"/>
      <c r="C80" s="595" t="s">
        <v>1550</v>
      </c>
      <c r="D80" s="595"/>
      <c r="E80" s="595"/>
      <c r="F80" s="595"/>
      <c r="G80" s="595"/>
      <c r="H80" s="595"/>
      <c r="I80" s="595"/>
      <c r="J80" s="595"/>
      <c r="K80" s="595"/>
      <c r="L80" s="2"/>
    </row>
    <row r="81" spans="1:13" ht="15" x14ac:dyDescent="0.25">
      <c r="A81" s="2"/>
      <c r="B81" s="414"/>
      <c r="C81" s="595" t="s">
        <v>1612</v>
      </c>
      <c r="D81" s="595"/>
      <c r="E81" s="595"/>
      <c r="F81" s="595"/>
      <c r="G81" s="595"/>
      <c r="H81" s="595"/>
      <c r="I81" s="595"/>
      <c r="J81" s="595"/>
      <c r="K81" s="595"/>
      <c r="L81" s="2"/>
    </row>
    <row r="82" spans="1:13" ht="15" x14ac:dyDescent="0.25">
      <c r="A82" s="2"/>
      <c r="B82" s="414"/>
      <c r="C82" s="595" t="s">
        <v>1650</v>
      </c>
      <c r="D82" s="595"/>
      <c r="E82" s="595"/>
      <c r="F82" s="595"/>
      <c r="G82" s="595"/>
      <c r="H82" s="595"/>
      <c r="I82" s="595"/>
      <c r="J82" s="595"/>
      <c r="K82" s="595"/>
      <c r="L82" s="2"/>
    </row>
    <row r="83" spans="1:13" ht="15" x14ac:dyDescent="0.25">
      <c r="A83" s="2"/>
      <c r="B83" s="414"/>
      <c r="C83" s="595" t="s">
        <v>1734</v>
      </c>
      <c r="D83" s="595"/>
      <c r="E83" s="595"/>
      <c r="F83" s="595"/>
      <c r="G83" s="595"/>
      <c r="H83" s="595"/>
      <c r="I83" s="595"/>
      <c r="J83" s="595"/>
      <c r="K83" s="595"/>
      <c r="L83" s="2"/>
    </row>
    <row r="84" spans="1:13" ht="15" x14ac:dyDescent="0.25">
      <c r="A84" s="2"/>
      <c r="B84" s="414"/>
      <c r="C84" s="595" t="s">
        <v>793</v>
      </c>
      <c r="D84" s="595"/>
      <c r="E84" s="595"/>
      <c r="F84" s="595"/>
      <c r="G84" s="414"/>
      <c r="H84" s="414"/>
      <c r="I84" s="673"/>
      <c r="J84" s="673"/>
      <c r="K84" s="414"/>
      <c r="L84" s="2"/>
    </row>
    <row r="85" spans="1:13" ht="15" x14ac:dyDescent="0.25">
      <c r="A85" s="2"/>
      <c r="B85" s="414"/>
      <c r="C85" s="595" t="s">
        <v>1154</v>
      </c>
      <c r="D85" s="595"/>
      <c r="E85" s="595"/>
      <c r="F85" s="595"/>
      <c r="G85" s="595"/>
      <c r="H85"/>
      <c r="I85" s="673"/>
      <c r="J85" s="673"/>
      <c r="K85" s="414"/>
      <c r="L85" s="2"/>
    </row>
    <row r="86" spans="1:13" ht="15.6" x14ac:dyDescent="0.3">
      <c r="A86" s="2"/>
      <c r="B86" s="383" t="s">
        <v>1153</v>
      </c>
      <c r="C86" s="2"/>
      <c r="D86" s="2"/>
      <c r="E86" s="2"/>
      <c r="F86" s="2"/>
      <c r="G86" s="2"/>
      <c r="H86" s="2"/>
      <c r="I86" s="3"/>
      <c r="J86" s="3"/>
      <c r="K86" s="2"/>
      <c r="L86" s="2"/>
    </row>
    <row r="87" spans="1:13" ht="15" x14ac:dyDescent="0.25">
      <c r="A87" s="2"/>
      <c r="B87" s="2"/>
      <c r="C87" s="595" t="s">
        <v>1155</v>
      </c>
      <c r="D87" s="595"/>
      <c r="E87" s="595"/>
      <c r="F87" s="595"/>
      <c r="G87" s="595"/>
      <c r="H87" s="2"/>
      <c r="I87" s="3"/>
      <c r="J87" s="3"/>
      <c r="K87" s="2"/>
      <c r="L87" s="2"/>
    </row>
    <row r="88" spans="1:13" ht="15" x14ac:dyDescent="0.25">
      <c r="C88" s="2"/>
    </row>
    <row r="94" spans="1:13" x14ac:dyDescent="0.25">
      <c r="D94"/>
      <c r="E94"/>
      <c r="F94"/>
      <c r="G94"/>
      <c r="H94"/>
      <c r="I94"/>
      <c r="J94"/>
      <c r="K94"/>
    </row>
    <row r="96" spans="1:13" x14ac:dyDescent="0.25">
      <c r="L96" s="8"/>
      <c r="M96" s="8"/>
    </row>
  </sheetData>
  <mergeCells count="3">
    <mergeCell ref="A2:K2"/>
    <mergeCell ref="B78:F78"/>
    <mergeCell ref="A1:K1"/>
  </mergeCells>
  <phoneticPr fontId="2" type="noConversion"/>
  <hyperlinks>
    <hyperlink ref="B26:H26" location="'UG cr hrs per student'!A1" display="Fall Average Hours per Undergraduate Student"/>
    <hyperlink ref="B30:J30" location="'Headcount &amp; FTE History'!A1" display="Fall and Spring Headcount and FTE History (Fall Updated)"/>
    <hyperlink ref="B34:F34" location="'Fall Headcount by Class'!A1" display="Fall Headcount History by Class"/>
    <hyperlink ref="B24:I24" location="'NEW Fall CHP by DISC'!A1" display="Fall 2015 Credit Hour Production History by Discipline"/>
    <hyperlink ref="B25:G25" location="'NEW Fall FTE by DISC'!A1" display="Fall 2015 FTE History by Discipline"/>
    <hyperlink ref="B6:D6" location="'Board of Trustees'!A1" display="Board of Trustees"/>
    <hyperlink ref="B7:D7" location="'Executive Officers'!A1" display="Executive Officers"/>
    <hyperlink ref="B37:F37" location="'New Fall college hdcnt by major'!A1" display="Fall Headcount History by Major"/>
    <hyperlink ref="B38:I38" location="'Fal hdct by major 5 yr ave'!A1" display="Fall Headcount History by Major: Five-Year Averages"/>
    <hyperlink ref="B39:I39" location="'Fall Headcoun by Education Majo'!A1" display="Fall Headcount by Major - Teacher Certification"/>
    <hyperlink ref="B40:F40" location="'Minor Headcount History'!A1" display="Fall Headcount History by Minor"/>
    <hyperlink ref="B46:H46" location="'Black Enrollment History'!A1" display="African-American Student Enrollment History"/>
    <hyperlink ref="B47:I47" location="'Country of Origin'!A1" display="Geographical Distribution History by Country of Origin"/>
    <hyperlink ref="B48:H48" location="'State of Origin'!A1" display="Geographical Distribution History by State"/>
    <hyperlink ref="B49:J49" location="'SC Students by County'!A1" display="Geographical Distribution History by South Carolina County"/>
    <hyperlink ref="B50:G50" location="'In- &amp; Out-of-State Distribution'!A1" display="In-State/Out-of-State Headcount History"/>
    <hyperlink ref="B43:G43" location="'Number of Online Courses'!A1" display="Number of Online Courses Offered "/>
    <hyperlink ref="B44:F44" location="'Average Age'!A1" display="Average Student Age History"/>
    <hyperlink ref="B45:G45" location="'Fall 2015 by Age and Gend'!A1" display="Fall Enrollment by Age and Gender"/>
    <hyperlink ref="B60:I60" location="'Alumni by Country'!A1" display="Alumni Geographical Distribution History by Country"/>
    <hyperlink ref="B61:I61" location="'Alumni by State'!A1" display="Alumni Geographical Distribution History by State"/>
    <hyperlink ref="B62:K62" location="'Alumni by County'!A1" display="Alumni Geographical Distribution History by South Carolina County"/>
    <hyperlink ref="B23:E23" location="'Fall 2015 Headcount'!A1" display="Fall 2015 Headcount"/>
    <hyperlink ref="B35:G35" location="'Spring Headcount by Class'!A1" display="Spring Headcount History by Class"/>
    <hyperlink ref="B28:J28" location="'NEW Spring CHP by DISC'!A1" display="Spring 2016 Credit Hour Production History by Discipline"/>
    <hyperlink ref="B29:G29" location="'NEW Spring FTE by DISC'!A1" display="Spring 2016 FTE History by Discipline"/>
    <hyperlink ref="B41:G41" location="'Spring college hdcnt by major'!A1" display="Spring Headcount History by Major"/>
    <hyperlink ref="C80:K80" location="'Graduation Rates (2006)'!A1" display="Fall 2006: First-time, Full-time Freshmen Graduation Rates"/>
    <hyperlink ref="C81:K81" location="'Graduation Rates (2007)'!A1" display="Fall 2007: First-time, Full-time Freshmen Graduation Rates"/>
    <hyperlink ref="C82:K82" location="'Graduation Rates (2008)'!A1" display="Fall 2008: First-time, Full-time Freshmen Graduation Rates"/>
    <hyperlink ref="C83:K83" location="'Graduation Rates (2009)'!A1" display="Fall 2009: First-time, Full-time Freshmen Graduation Rates"/>
    <hyperlink ref="C21:I21" location="'Transfers by Institution'!A1" display="Enrollment History by South Carolina Institutions"/>
    <hyperlink ref="C15:K15" location="'Freshmen SAT 96-15'!A1" display="SAT Scores: Lander, State, National Averages (1996-2015)"/>
    <hyperlink ref="B8:D8" location="'2015-2016 org chart'!A1" display="Organizational Chart"/>
    <hyperlink ref="C14:K14" location="'Freshmen SAT 91-95'!A1" display="SAT Scores: Lander, State, National Averages (1991-1995)"/>
    <hyperlink ref="C84:F84" location="'Graduation Rates 4 Yr Ave'!A1" display="Four-Year Averages"/>
    <hyperlink ref="C16:H16" location="'first time freshmen by high sch'!A1" display="First-time Freshmen by SC High School"/>
    <hyperlink ref="C11:E11" location="'Freshmen Application History'!A1" display="Application History"/>
    <hyperlink ref="C12:G12" location="'Freshmen by Gender'!A1" display="Application History by Gender"/>
    <hyperlink ref="C13:H13" location="'Freshmen by Ethnic Origin'!A1" display="Application History by Ethnic Origin"/>
    <hyperlink ref="B51:G51" location="'New degrees conferred by colleg'!A1" display="Degrees Conferred History by Division"/>
    <hyperlink ref="B52:J52" location="'deg conferred 5 yr averages'!A1" display="Degrees Conferred History by Division Five-Year Averages"/>
    <hyperlink ref="B53:H53" location="'teacher certification degrees'!A1" display="Degrees Conferred with Teacher Certification"/>
    <hyperlink ref="B54:E54" location="'Minors Conferred'!A1" display="Minors Conferred History"/>
    <hyperlink ref="B55:H55" location="'Minors Conferred 5 year average'!A1" display="Minors Conferred History Five-Year Averages"/>
    <hyperlink ref="C18:E18" location="'Transfer Application History'!A1" display="Application History"/>
    <hyperlink ref="C19:G19" location="'Transfers by Gender'!A1" display="Application History by Gender"/>
    <hyperlink ref="C20:H20" location="'Transfers by Ethnic Origin'!A1" display="Application History by Ethnic Origin"/>
    <hyperlink ref="B36:G36" location="'Summer Headcount by Class '!A1" display="Summer Headcount History by Class"/>
    <hyperlink ref="B42:G42" location="'New Summer hdnt by college'!A1" display="Summer Headcount History by Major"/>
    <hyperlink ref="B27:E27" location="'Spring 2016 Headcount'!A1" display="Spring 2016 Headcount"/>
    <hyperlink ref="B58:E58" location="'Library Statistics'!A1" display="Library Statistics History"/>
    <hyperlink ref="B70:F70" location="'Academic Fees'!A1" display="Full-Time Academic Fees History"/>
    <hyperlink ref="B33:J33" location="'Summer Credit Hour Production'!A1" display="Summer Headcount and Credit Hour Production History"/>
    <hyperlink ref="B31:J31" location="'NEW Summer CHP by DISC '!A1" display="Summer 2016 Credit Hour Production History by Discipline"/>
    <hyperlink ref="B32:G32" location="'NEW Summer FTE by DISC'!A1" display="Summer 2016 FTE History by Discipline"/>
    <hyperlink ref="B57:I57" location="'Residency Halls Occupancy'!A1" display="Fall and Spring Residential Unit Occupancy History "/>
    <hyperlink ref="B71:G71" location="'Financial Aid Summary 01 TO 05'!A1" display="Financial Aid Award History (2001-2005)"/>
    <hyperlink ref="B72:G72" location="'financial aid sources 06_11'!A1" display="Financial Aid Award History (2006-2011)"/>
    <hyperlink ref="B73:H73" location="'FA SOURCES 12_13 to 14_15'!A1" display="Financial Aid Award History Graph (2012-2015)"/>
    <hyperlink ref="B74:H74" location="'Revenues and Expenditures 13-14'!A1" display="Current Fund Revenues and Expenditures"/>
    <hyperlink ref="B76:F76" location="'Facilities '!A1" display="Inventory of Major Buildings"/>
    <hyperlink ref="B64:G64" location="'FTE Student-Faculty Ratio'!A1" display="Fall FTE Student Faculty Ratio History"/>
    <hyperlink ref="B65:J65" location="'Fall Teaching Fac. by Div rank'!A1" display="Fall 2015 Teaching Faculty by School/Division and Rank"/>
    <hyperlink ref="B66:K66" location="'Faculty by Div,Tenure,Degree'!A1" display="Fall 2015 Faculty by School/Division by Tenure Status and Terminal Degree"/>
    <hyperlink ref="B67:I67" location="'Faculty by Rank and Gender'!A1" display="Fall 2015 Faculty Headcount by Rank and Gender"/>
    <hyperlink ref="B68:I68" location="'Faculty Salaries by Rank'!A1" display="Average Nine-month Faculty Salaries History by Rank"/>
    <hyperlink ref="C87:G87" location="'Transfer Retention_Attrition'!A1" display="Transfer Retention and Attrition"/>
    <hyperlink ref="C85:G85" location="'Freshmen Retention_Attrition'!A1" display="Freshmen Retention and Attrition"/>
  </hyperlinks>
  <printOptions horizontalCentered="1"/>
  <pageMargins left="1" right="0.75" top="0.5" bottom="0.5" header="0.5" footer="0.5"/>
  <pageSetup scale="53" orientation="portrait" horizontalDpi="4294967292" verticalDpi="3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468"/>
  <sheetViews>
    <sheetView workbookViewId="0">
      <selection sqref="A1:S1"/>
    </sheetView>
  </sheetViews>
  <sheetFormatPr defaultColWidth="11.44140625" defaultRowHeight="13.2" x14ac:dyDescent="0.25"/>
  <cols>
    <col min="1" max="1" width="35.5546875" style="1201" bestFit="1" customWidth="1"/>
    <col min="2" max="4" width="12.44140625" style="1201" hidden="1" customWidth="1"/>
    <col min="5" max="12" width="12.44140625" style="1473" hidden="1" customWidth="1"/>
    <col min="13" max="13" width="12.44140625" style="1473" customWidth="1"/>
    <col min="14" max="17" width="12.5546875" style="1473" customWidth="1"/>
    <col min="18" max="19" width="12.44140625" style="1201" customWidth="1"/>
    <col min="20" max="20" width="14.5546875" style="1201" bestFit="1" customWidth="1"/>
    <col min="21" max="16384" width="11.44140625" style="1201"/>
  </cols>
  <sheetData>
    <row r="1" spans="1:45" s="1421" customFormat="1" ht="17.399999999999999" x14ac:dyDescent="0.3">
      <c r="A1" s="2118" t="s">
        <v>26</v>
      </c>
      <c r="B1" s="2118"/>
      <c r="C1" s="2118"/>
      <c r="D1" s="2118"/>
      <c r="E1" s="2118"/>
      <c r="F1" s="2118"/>
      <c r="G1" s="2118"/>
      <c r="H1" s="2118"/>
      <c r="I1" s="2118"/>
      <c r="J1" s="2118"/>
      <c r="K1" s="2118"/>
      <c r="L1" s="2118"/>
      <c r="M1" s="2118"/>
      <c r="N1" s="2118"/>
      <c r="O1" s="2118"/>
      <c r="P1" s="2118"/>
      <c r="Q1" s="2118"/>
      <c r="R1" s="2118"/>
      <c r="S1" s="2118"/>
    </row>
    <row r="2" spans="1:45" s="1421" customFormat="1" ht="17.399999999999999" x14ac:dyDescent="0.3">
      <c r="A2" s="2118" t="s">
        <v>27</v>
      </c>
      <c r="B2" s="2118"/>
      <c r="C2" s="2118"/>
      <c r="D2" s="2118"/>
      <c r="E2" s="2118"/>
      <c r="F2" s="2118"/>
      <c r="G2" s="2118"/>
      <c r="H2" s="2118"/>
      <c r="I2" s="2118"/>
      <c r="J2" s="2118"/>
      <c r="K2" s="2118"/>
      <c r="L2" s="2118"/>
      <c r="M2" s="2118"/>
      <c r="N2" s="2118"/>
      <c r="O2" s="2118"/>
      <c r="P2" s="2118"/>
      <c r="Q2" s="2118"/>
      <c r="R2" s="2118"/>
      <c r="S2" s="2118"/>
    </row>
    <row r="3" spans="1:45" s="1421" customFormat="1" ht="18" thickBot="1" x14ac:dyDescent="0.35"/>
    <row r="4" spans="1:45" ht="48" customHeight="1" x14ac:dyDescent="0.25">
      <c r="A4" s="1422" t="s">
        <v>28</v>
      </c>
      <c r="B4" s="2119" t="s">
        <v>895</v>
      </c>
      <c r="C4" s="2120"/>
      <c r="D4" s="2120"/>
      <c r="E4" s="2120"/>
      <c r="F4" s="2120"/>
      <c r="G4" s="2120"/>
      <c r="H4" s="2120"/>
      <c r="I4" s="2120"/>
      <c r="J4" s="2120"/>
      <c r="K4" s="2120"/>
      <c r="L4" s="2120"/>
      <c r="M4" s="2120"/>
      <c r="N4" s="2120"/>
      <c r="O4" s="2120"/>
      <c r="P4" s="2120"/>
      <c r="Q4" s="2121"/>
      <c r="R4" s="1423" t="s">
        <v>29</v>
      </c>
      <c r="S4" s="1424" t="s">
        <v>1763</v>
      </c>
    </row>
    <row r="5" spans="1:45" x14ac:dyDescent="0.25">
      <c r="A5" s="1478" t="s">
        <v>30</v>
      </c>
      <c r="B5" s="1425" t="s">
        <v>908</v>
      </c>
      <c r="C5" s="1425" t="s">
        <v>617</v>
      </c>
      <c r="D5" s="1425" t="s">
        <v>1360</v>
      </c>
      <c r="E5" s="1426" t="s">
        <v>592</v>
      </c>
      <c r="F5" s="1425" t="s">
        <v>921</v>
      </c>
      <c r="G5" s="1426" t="s">
        <v>676</v>
      </c>
      <c r="H5" s="1427" t="s">
        <v>777</v>
      </c>
      <c r="I5" s="1428" t="s">
        <v>969</v>
      </c>
      <c r="J5" s="1428" t="s">
        <v>1419</v>
      </c>
      <c r="K5" s="1428" t="s">
        <v>1443</v>
      </c>
      <c r="L5" s="1480" t="s">
        <v>1444</v>
      </c>
      <c r="M5" s="1477" t="s">
        <v>1445</v>
      </c>
      <c r="N5" s="1477" t="s">
        <v>1566</v>
      </c>
      <c r="O5" s="1477" t="s">
        <v>1613</v>
      </c>
      <c r="P5" s="1477" t="s">
        <v>1660</v>
      </c>
      <c r="Q5" s="1477" t="s">
        <v>1749</v>
      </c>
      <c r="R5" s="1480" t="s">
        <v>31</v>
      </c>
      <c r="S5" s="1480" t="s">
        <v>32</v>
      </c>
    </row>
    <row r="6" spans="1:45" x14ac:dyDescent="0.25">
      <c r="A6" s="1429" t="s">
        <v>33</v>
      </c>
      <c r="B6" s="1430">
        <v>12</v>
      </c>
      <c r="C6" s="1430">
        <v>15</v>
      </c>
      <c r="D6" s="1430">
        <v>10</v>
      </c>
      <c r="E6" s="1431">
        <v>5</v>
      </c>
      <c r="F6" s="1430">
        <v>10</v>
      </c>
      <c r="G6" s="1431">
        <v>4</v>
      </c>
      <c r="H6" s="1432">
        <v>17</v>
      </c>
      <c r="I6" s="1432">
        <v>14</v>
      </c>
      <c r="J6" s="1432">
        <v>11</v>
      </c>
      <c r="K6" s="1432">
        <v>12</v>
      </c>
      <c r="L6" s="1432">
        <v>11</v>
      </c>
      <c r="M6" s="1433">
        <v>12</v>
      </c>
      <c r="N6" s="1433">
        <v>10</v>
      </c>
      <c r="O6" s="1433">
        <v>12</v>
      </c>
      <c r="P6" s="1433">
        <v>7</v>
      </c>
      <c r="Q6" s="1433">
        <v>10</v>
      </c>
      <c r="R6" s="1434">
        <f>IF(Q6+P6+O6+N6+M6=0," ",AVERAGEIF(M6:Q6,"&lt;&gt;0"))</f>
        <v>10.199999999999999</v>
      </c>
      <c r="S6" s="1435">
        <f>+Q6/$Q$466</f>
        <v>1.7921146953405017E-2</v>
      </c>
      <c r="T6" s="1440"/>
    </row>
    <row r="7" spans="1:45" x14ac:dyDescent="0.25">
      <c r="A7" s="1429" t="s">
        <v>34</v>
      </c>
      <c r="B7" s="1430">
        <v>0</v>
      </c>
      <c r="C7" s="1430">
        <v>4</v>
      </c>
      <c r="D7" s="1430">
        <v>2</v>
      </c>
      <c r="E7" s="1431">
        <v>1</v>
      </c>
      <c r="F7" s="1430">
        <v>3</v>
      </c>
      <c r="G7" s="1431">
        <v>1</v>
      </c>
      <c r="H7" s="1432">
        <v>6</v>
      </c>
      <c r="I7" s="1432">
        <v>1</v>
      </c>
      <c r="J7" s="1432">
        <v>0</v>
      </c>
      <c r="K7" s="1432">
        <v>4</v>
      </c>
      <c r="L7" s="1432">
        <v>2</v>
      </c>
      <c r="M7" s="1433">
        <v>2</v>
      </c>
      <c r="N7" s="1433">
        <v>0</v>
      </c>
      <c r="O7" s="1433">
        <v>4</v>
      </c>
      <c r="P7" s="1433">
        <v>3</v>
      </c>
      <c r="Q7" s="1433">
        <v>1</v>
      </c>
      <c r="R7" s="1434">
        <f>IF(Q7+P7+O7+N7+M7=0," ",AVERAGEIF(M7:Q7,"&lt;&gt;0"))</f>
        <v>2.5</v>
      </c>
      <c r="S7" s="1435">
        <f>+Q7/$Q$466</f>
        <v>1.7921146953405018E-3</v>
      </c>
      <c r="T7" s="1440"/>
    </row>
    <row r="8" spans="1:45" x14ac:dyDescent="0.25">
      <c r="A8" s="1429" t="s">
        <v>35</v>
      </c>
      <c r="B8" s="1430">
        <v>3</v>
      </c>
      <c r="C8" s="1430">
        <v>5</v>
      </c>
      <c r="D8" s="1430">
        <v>4</v>
      </c>
      <c r="E8" s="1431">
        <v>5</v>
      </c>
      <c r="F8" s="1430">
        <v>9</v>
      </c>
      <c r="G8" s="1431">
        <v>9</v>
      </c>
      <c r="H8" s="1432">
        <v>8</v>
      </c>
      <c r="I8" s="1432">
        <v>1</v>
      </c>
      <c r="J8" s="1432">
        <v>6</v>
      </c>
      <c r="K8" s="1432">
        <v>3</v>
      </c>
      <c r="L8" s="1432">
        <v>3</v>
      </c>
      <c r="M8" s="1433">
        <v>2</v>
      </c>
      <c r="N8" s="1433">
        <v>4</v>
      </c>
      <c r="O8" s="1433">
        <v>2</v>
      </c>
      <c r="P8" s="1433">
        <v>11</v>
      </c>
      <c r="Q8" s="1433">
        <v>3</v>
      </c>
      <c r="R8" s="1434">
        <f>IF(Q8+P8+O8+N8+M8=0," ",AVERAGEIF(M8:Q8,"&lt;&gt;0"))</f>
        <v>4.4000000000000004</v>
      </c>
      <c r="S8" s="1435">
        <f>+Q8/$Q$466</f>
        <v>5.3763440860215058E-3</v>
      </c>
      <c r="T8" s="1440"/>
    </row>
    <row r="9" spans="1:45" s="1440" customFormat="1" x14ac:dyDescent="0.25">
      <c r="A9" s="1436" t="s">
        <v>36</v>
      </c>
      <c r="B9" s="1437">
        <f t="shared" ref="B9:M9" si="0">SUM(B6:B8)</f>
        <v>15</v>
      </c>
      <c r="C9" s="1437">
        <f t="shared" si="0"/>
        <v>24</v>
      </c>
      <c r="D9" s="1437">
        <f t="shared" si="0"/>
        <v>16</v>
      </c>
      <c r="E9" s="1438">
        <f t="shared" si="0"/>
        <v>11</v>
      </c>
      <c r="F9" s="1437">
        <f t="shared" si="0"/>
        <v>22</v>
      </c>
      <c r="G9" s="1438">
        <f t="shared" si="0"/>
        <v>14</v>
      </c>
      <c r="H9" s="1434">
        <f t="shared" si="0"/>
        <v>31</v>
      </c>
      <c r="I9" s="1434">
        <f t="shared" si="0"/>
        <v>16</v>
      </c>
      <c r="J9" s="1434">
        <f t="shared" si="0"/>
        <v>17</v>
      </c>
      <c r="K9" s="1434">
        <f t="shared" si="0"/>
        <v>19</v>
      </c>
      <c r="L9" s="1434">
        <f t="shared" si="0"/>
        <v>16</v>
      </c>
      <c r="M9" s="1434">
        <f t="shared" si="0"/>
        <v>16</v>
      </c>
      <c r="N9" s="1434">
        <f>SUM(N6:N8)</f>
        <v>14</v>
      </c>
      <c r="O9" s="1434">
        <f>SUM(O6:O8)</f>
        <v>18</v>
      </c>
      <c r="P9" s="1434">
        <f>SUM(P6:P8)</f>
        <v>21</v>
      </c>
      <c r="Q9" s="1434">
        <f>SUM(Q6:Q8)</f>
        <v>14</v>
      </c>
      <c r="R9" s="1434">
        <f>IF(Q9+P9+O9+N9+M9=0," ",AVERAGEIF(M9:Q9,"&lt;&gt;0"))</f>
        <v>16.600000000000001</v>
      </c>
      <c r="S9" s="1439">
        <f>+Q9/$Q$466</f>
        <v>2.5089605734767026E-2</v>
      </c>
      <c r="U9" s="1201"/>
      <c r="V9" s="1201"/>
      <c r="W9" s="1201"/>
      <c r="X9" s="1201"/>
      <c r="Y9" s="1201"/>
      <c r="Z9" s="1201"/>
      <c r="AA9" s="1201"/>
      <c r="AB9" s="1201"/>
      <c r="AC9" s="1201"/>
      <c r="AD9" s="1201"/>
      <c r="AE9" s="1201"/>
      <c r="AF9" s="1201"/>
      <c r="AG9" s="1201"/>
      <c r="AH9" s="1201"/>
      <c r="AI9" s="1201"/>
      <c r="AJ9" s="1201"/>
      <c r="AK9" s="1201"/>
      <c r="AL9" s="1201"/>
      <c r="AM9" s="1201"/>
      <c r="AN9" s="1201"/>
      <c r="AO9" s="1201"/>
      <c r="AP9" s="1201"/>
      <c r="AQ9" s="1201"/>
      <c r="AR9" s="1201"/>
      <c r="AS9" s="1201"/>
    </row>
    <row r="10" spans="1:45" x14ac:dyDescent="0.25">
      <c r="A10" s="1478" t="s">
        <v>37</v>
      </c>
      <c r="B10" s="1425" t="s">
        <v>908</v>
      </c>
      <c r="C10" s="1425" t="s">
        <v>617</v>
      </c>
      <c r="D10" s="1425" t="s">
        <v>1360</v>
      </c>
      <c r="E10" s="1426" t="s">
        <v>592</v>
      </c>
      <c r="F10" s="1425" t="s">
        <v>921</v>
      </c>
      <c r="G10" s="1426" t="s">
        <v>676</v>
      </c>
      <c r="H10" s="1427" t="s">
        <v>777</v>
      </c>
      <c r="I10" s="1428" t="s">
        <v>969</v>
      </c>
      <c r="J10" s="1428" t="s">
        <v>1419</v>
      </c>
      <c r="K10" s="1428" t="s">
        <v>1443</v>
      </c>
      <c r="L10" s="1480" t="s">
        <v>1444</v>
      </c>
      <c r="M10" s="1477" t="s">
        <v>1445</v>
      </c>
      <c r="N10" s="1477" t="s">
        <v>1566</v>
      </c>
      <c r="O10" s="1477" t="s">
        <v>1613</v>
      </c>
      <c r="P10" s="1477" t="s">
        <v>1660</v>
      </c>
      <c r="Q10" s="1477" t="s">
        <v>1749</v>
      </c>
      <c r="R10" s="1481" t="s">
        <v>31</v>
      </c>
      <c r="S10" s="1481" t="s">
        <v>32</v>
      </c>
      <c r="T10" s="1440"/>
    </row>
    <row r="11" spans="1:45" s="1444" customFormat="1" x14ac:dyDescent="0.25">
      <c r="A11" s="1441" t="s">
        <v>1470</v>
      </c>
      <c r="B11" s="1430">
        <v>0</v>
      </c>
      <c r="C11" s="1430">
        <v>0</v>
      </c>
      <c r="D11" s="1430">
        <v>0</v>
      </c>
      <c r="E11" s="1430">
        <v>0</v>
      </c>
      <c r="F11" s="1430">
        <v>0</v>
      </c>
      <c r="G11" s="1430">
        <v>0</v>
      </c>
      <c r="H11" s="1430">
        <v>0</v>
      </c>
      <c r="I11" s="1430">
        <v>0</v>
      </c>
      <c r="J11" s="1430">
        <v>1</v>
      </c>
      <c r="K11" s="1430">
        <v>0</v>
      </c>
      <c r="L11" s="1430">
        <v>0</v>
      </c>
      <c r="M11" s="1442">
        <v>0</v>
      </c>
      <c r="N11" s="1430">
        <v>0</v>
      </c>
      <c r="O11" s="1443">
        <v>0</v>
      </c>
      <c r="P11" s="1443">
        <v>0</v>
      </c>
      <c r="Q11" s="1443">
        <v>0</v>
      </c>
      <c r="R11" s="1434" t="str">
        <f t="shared" ref="R11:R23" si="1">IF(Q11+P11+O11+N11+M11=0," ",AVERAGEIF(M11:Q11,"&lt;&gt;0"))</f>
        <v xml:space="preserve"> </v>
      </c>
      <c r="S11" s="1435">
        <f t="shared" ref="S11:S23" si="2">+Q11/$Q$466</f>
        <v>0</v>
      </c>
      <c r="T11" s="1440"/>
      <c r="U11" s="1201"/>
      <c r="V11" s="1201"/>
      <c r="W11" s="1201"/>
      <c r="X11" s="1201"/>
      <c r="Y11" s="1201"/>
      <c r="Z11" s="1201"/>
      <c r="AA11" s="1201"/>
      <c r="AB11" s="1201"/>
      <c r="AC11" s="1201"/>
      <c r="AD11" s="1201"/>
      <c r="AE11" s="1201"/>
      <c r="AF11" s="1201"/>
      <c r="AG11" s="1201"/>
      <c r="AH11" s="1201"/>
      <c r="AI11" s="1201"/>
      <c r="AJ11" s="1201"/>
      <c r="AK11" s="1201"/>
      <c r="AL11" s="1201"/>
      <c r="AM11" s="1201"/>
      <c r="AN11" s="1201"/>
      <c r="AO11" s="1201"/>
      <c r="AP11" s="1201"/>
      <c r="AQ11" s="1201"/>
      <c r="AR11" s="1201"/>
      <c r="AS11" s="1201"/>
    </row>
    <row r="12" spans="1:45" x14ac:dyDescent="0.25">
      <c r="A12" s="1445" t="s">
        <v>38</v>
      </c>
      <c r="B12" s="1430">
        <v>9</v>
      </c>
      <c r="C12" s="1430">
        <v>5</v>
      </c>
      <c r="D12" s="1430">
        <v>3</v>
      </c>
      <c r="E12" s="1431">
        <v>3</v>
      </c>
      <c r="F12" s="1430">
        <v>2</v>
      </c>
      <c r="G12" s="1431">
        <v>1</v>
      </c>
      <c r="H12" s="1432">
        <v>2</v>
      </c>
      <c r="I12" s="1432">
        <v>1</v>
      </c>
      <c r="J12" s="1432">
        <v>3</v>
      </c>
      <c r="K12" s="1432">
        <v>2</v>
      </c>
      <c r="L12" s="1432">
        <v>4</v>
      </c>
      <c r="M12" s="1446">
        <v>1</v>
      </c>
      <c r="N12" s="1447">
        <v>7</v>
      </c>
      <c r="O12" s="1448">
        <v>2</v>
      </c>
      <c r="P12" s="1448">
        <v>6</v>
      </c>
      <c r="Q12" s="1448">
        <v>4</v>
      </c>
      <c r="R12" s="1434">
        <f t="shared" si="1"/>
        <v>4</v>
      </c>
      <c r="S12" s="1435">
        <f t="shared" si="2"/>
        <v>7.1684587813620072E-3</v>
      </c>
      <c r="T12" s="1440"/>
    </row>
    <row r="13" spans="1:45" x14ac:dyDescent="0.25">
      <c r="A13" s="1445" t="s">
        <v>267</v>
      </c>
      <c r="B13" s="1430">
        <v>0</v>
      </c>
      <c r="C13" s="1430"/>
      <c r="D13" s="1430">
        <v>0</v>
      </c>
      <c r="E13" s="1431">
        <v>0</v>
      </c>
      <c r="F13" s="1430">
        <v>0</v>
      </c>
      <c r="G13" s="1431">
        <v>0</v>
      </c>
      <c r="H13" s="1432">
        <v>0</v>
      </c>
      <c r="I13" s="1432">
        <v>1</v>
      </c>
      <c r="J13" s="1432">
        <v>0</v>
      </c>
      <c r="K13" s="1432">
        <v>0</v>
      </c>
      <c r="L13" s="1432">
        <v>0</v>
      </c>
      <c r="M13" s="1446">
        <v>0</v>
      </c>
      <c r="N13" s="1447">
        <v>0</v>
      </c>
      <c r="O13" s="1448">
        <v>0</v>
      </c>
      <c r="P13" s="1448">
        <v>0</v>
      </c>
      <c r="Q13" s="1448">
        <v>0</v>
      </c>
      <c r="R13" s="1434" t="str">
        <f t="shared" si="1"/>
        <v xml:space="preserve"> </v>
      </c>
      <c r="S13" s="1435">
        <f t="shared" si="2"/>
        <v>0</v>
      </c>
      <c r="T13" s="1440"/>
    </row>
    <row r="14" spans="1:45" x14ac:dyDescent="0.25">
      <c r="A14" s="1445" t="s">
        <v>1471</v>
      </c>
      <c r="B14" s="1430">
        <v>0</v>
      </c>
      <c r="C14" s="1430"/>
      <c r="D14" s="1430"/>
      <c r="E14" s="1431">
        <v>0</v>
      </c>
      <c r="F14" s="1430">
        <v>0</v>
      </c>
      <c r="G14" s="1431">
        <v>0</v>
      </c>
      <c r="H14" s="1432">
        <v>0</v>
      </c>
      <c r="I14" s="1432">
        <v>0</v>
      </c>
      <c r="J14" s="1432">
        <v>0</v>
      </c>
      <c r="K14" s="1432">
        <v>0</v>
      </c>
      <c r="L14" s="1432">
        <v>1</v>
      </c>
      <c r="M14" s="1446">
        <v>0</v>
      </c>
      <c r="N14" s="1447">
        <v>0</v>
      </c>
      <c r="O14" s="1448">
        <v>0</v>
      </c>
      <c r="P14" s="1448">
        <v>0</v>
      </c>
      <c r="Q14" s="1448">
        <v>0</v>
      </c>
      <c r="R14" s="1434" t="str">
        <f t="shared" si="1"/>
        <v xml:space="preserve"> </v>
      </c>
      <c r="S14" s="1435">
        <f t="shared" si="2"/>
        <v>0</v>
      </c>
      <c r="T14" s="1440"/>
    </row>
    <row r="15" spans="1:45" x14ac:dyDescent="0.25">
      <c r="A15" s="1445" t="s">
        <v>1472</v>
      </c>
      <c r="B15" s="1430">
        <v>0</v>
      </c>
      <c r="C15" s="1430"/>
      <c r="D15" s="1430"/>
      <c r="E15" s="1431">
        <v>0</v>
      </c>
      <c r="F15" s="1430">
        <v>0</v>
      </c>
      <c r="G15" s="1431">
        <v>0</v>
      </c>
      <c r="H15" s="1432">
        <v>0</v>
      </c>
      <c r="I15" s="1432">
        <v>0</v>
      </c>
      <c r="J15" s="1432">
        <v>0</v>
      </c>
      <c r="K15" s="1432">
        <v>0</v>
      </c>
      <c r="L15" s="1432">
        <v>1</v>
      </c>
      <c r="M15" s="1446">
        <v>0</v>
      </c>
      <c r="N15" s="1447">
        <v>0</v>
      </c>
      <c r="O15" s="1448">
        <v>0</v>
      </c>
      <c r="P15" s="1448">
        <v>0</v>
      </c>
      <c r="Q15" s="1448">
        <v>0</v>
      </c>
      <c r="R15" s="1434" t="str">
        <f t="shared" si="1"/>
        <v xml:space="preserve"> </v>
      </c>
      <c r="S15" s="1435">
        <f t="shared" si="2"/>
        <v>0</v>
      </c>
      <c r="T15" s="1440"/>
    </row>
    <row r="16" spans="1:45" x14ac:dyDescent="0.25">
      <c r="A16" s="1445" t="s">
        <v>778</v>
      </c>
      <c r="B16" s="1430">
        <v>0</v>
      </c>
      <c r="C16" s="1430">
        <v>0</v>
      </c>
      <c r="D16" s="1430">
        <v>0</v>
      </c>
      <c r="E16" s="1431">
        <v>0</v>
      </c>
      <c r="F16" s="1430">
        <v>0</v>
      </c>
      <c r="G16" s="1431">
        <v>0</v>
      </c>
      <c r="H16" s="1432">
        <v>1</v>
      </c>
      <c r="I16" s="1432">
        <v>0</v>
      </c>
      <c r="J16" s="1432">
        <v>0</v>
      </c>
      <c r="K16" s="1432">
        <v>1</v>
      </c>
      <c r="L16" s="1432">
        <v>0</v>
      </c>
      <c r="M16" s="1446">
        <v>1</v>
      </c>
      <c r="N16" s="1447">
        <v>0</v>
      </c>
      <c r="O16" s="1448">
        <v>0</v>
      </c>
      <c r="P16" s="1448">
        <v>0</v>
      </c>
      <c r="Q16" s="1448">
        <v>0</v>
      </c>
      <c r="R16" s="1434">
        <f t="shared" si="1"/>
        <v>1</v>
      </c>
      <c r="S16" s="1435">
        <f t="shared" si="2"/>
        <v>0</v>
      </c>
      <c r="T16" s="1440"/>
    </row>
    <row r="17" spans="1:21" x14ac:dyDescent="0.25">
      <c r="A17" s="1445" t="s">
        <v>39</v>
      </c>
      <c r="B17" s="1430">
        <v>0</v>
      </c>
      <c r="C17" s="1430">
        <v>1</v>
      </c>
      <c r="D17" s="1430">
        <v>1</v>
      </c>
      <c r="E17" s="1431">
        <v>3</v>
      </c>
      <c r="F17" s="1430">
        <v>1</v>
      </c>
      <c r="G17" s="1431">
        <v>3</v>
      </c>
      <c r="H17" s="1432">
        <v>1</v>
      </c>
      <c r="I17" s="1432">
        <v>5</v>
      </c>
      <c r="J17" s="1432">
        <v>1</v>
      </c>
      <c r="K17" s="1432">
        <v>4</v>
      </c>
      <c r="L17" s="1432">
        <v>5</v>
      </c>
      <c r="M17" s="1446">
        <v>1</v>
      </c>
      <c r="N17" s="1447">
        <v>1</v>
      </c>
      <c r="O17" s="1448">
        <v>5</v>
      </c>
      <c r="P17" s="1448">
        <v>2</v>
      </c>
      <c r="Q17" s="1448">
        <v>3</v>
      </c>
      <c r="R17" s="1434">
        <f t="shared" si="1"/>
        <v>2.4</v>
      </c>
      <c r="S17" s="1435">
        <f t="shared" si="2"/>
        <v>5.3763440860215058E-3</v>
      </c>
      <c r="T17" s="1440"/>
    </row>
    <row r="18" spans="1:21" x14ac:dyDescent="0.25">
      <c r="A18" s="1445" t="s">
        <v>40</v>
      </c>
      <c r="B18" s="1430">
        <v>4</v>
      </c>
      <c r="C18" s="1430">
        <v>4</v>
      </c>
      <c r="D18" s="1430">
        <v>10</v>
      </c>
      <c r="E18" s="1431">
        <v>1</v>
      </c>
      <c r="F18" s="1430">
        <v>5</v>
      </c>
      <c r="G18" s="1431">
        <v>6</v>
      </c>
      <c r="H18" s="1432">
        <v>4</v>
      </c>
      <c r="I18" s="1432">
        <v>4</v>
      </c>
      <c r="J18" s="1432">
        <v>4</v>
      </c>
      <c r="K18" s="1432">
        <v>2</v>
      </c>
      <c r="L18" s="1432">
        <v>7</v>
      </c>
      <c r="M18" s="1446">
        <v>4</v>
      </c>
      <c r="N18" s="1447">
        <v>3</v>
      </c>
      <c r="O18" s="1448">
        <v>6</v>
      </c>
      <c r="P18" s="1448">
        <v>9</v>
      </c>
      <c r="Q18" s="1448">
        <v>4</v>
      </c>
      <c r="R18" s="1434">
        <f t="shared" si="1"/>
        <v>5.2</v>
      </c>
      <c r="S18" s="1435">
        <f t="shared" si="2"/>
        <v>7.1684587813620072E-3</v>
      </c>
      <c r="T18" s="1440"/>
    </row>
    <row r="19" spans="1:21" x14ac:dyDescent="0.25">
      <c r="A19" s="1445" t="s">
        <v>41</v>
      </c>
      <c r="B19" s="1430">
        <v>0</v>
      </c>
      <c r="C19" s="1430">
        <v>0</v>
      </c>
      <c r="D19" s="1430">
        <v>1</v>
      </c>
      <c r="E19" s="1431">
        <v>1</v>
      </c>
      <c r="F19" s="1430">
        <v>0</v>
      </c>
      <c r="G19" s="1431">
        <v>2</v>
      </c>
      <c r="H19" s="1432">
        <v>0</v>
      </c>
      <c r="I19" s="1432">
        <v>0</v>
      </c>
      <c r="J19" s="1432">
        <v>0</v>
      </c>
      <c r="K19" s="1432">
        <v>3</v>
      </c>
      <c r="L19" s="1432">
        <v>0</v>
      </c>
      <c r="M19" s="1446">
        <v>0</v>
      </c>
      <c r="N19" s="1447">
        <v>0</v>
      </c>
      <c r="O19" s="1448">
        <v>0</v>
      </c>
      <c r="P19" s="1448">
        <v>1</v>
      </c>
      <c r="Q19" s="1448">
        <v>0</v>
      </c>
      <c r="R19" s="1434">
        <f t="shared" si="1"/>
        <v>1</v>
      </c>
      <c r="S19" s="1435">
        <f t="shared" si="2"/>
        <v>0</v>
      </c>
      <c r="T19" s="1440"/>
    </row>
    <row r="20" spans="1:21" x14ac:dyDescent="0.25">
      <c r="A20" s="1445" t="s">
        <v>42</v>
      </c>
      <c r="B20" s="1430">
        <v>0</v>
      </c>
      <c r="C20" s="1430">
        <v>1</v>
      </c>
      <c r="D20" s="1430">
        <v>1</v>
      </c>
      <c r="E20" s="1431">
        <v>0</v>
      </c>
      <c r="F20" s="1430">
        <v>1</v>
      </c>
      <c r="G20" s="1431">
        <v>0</v>
      </c>
      <c r="H20" s="1432">
        <v>0</v>
      </c>
      <c r="I20" s="1432">
        <v>3</v>
      </c>
      <c r="J20" s="1432">
        <v>0</v>
      </c>
      <c r="K20" s="1432">
        <v>2</v>
      </c>
      <c r="L20" s="1432">
        <v>0</v>
      </c>
      <c r="M20" s="1433">
        <v>2</v>
      </c>
      <c r="N20" s="1433">
        <v>2</v>
      </c>
      <c r="O20" s="1433">
        <v>2</v>
      </c>
      <c r="P20" s="1433">
        <v>2</v>
      </c>
      <c r="Q20" s="1433">
        <v>2</v>
      </c>
      <c r="R20" s="1434">
        <f t="shared" si="1"/>
        <v>2</v>
      </c>
      <c r="S20" s="1435">
        <f t="shared" si="2"/>
        <v>3.5842293906810036E-3</v>
      </c>
      <c r="T20" s="1440"/>
    </row>
    <row r="21" spans="1:21" x14ac:dyDescent="0.25">
      <c r="A21" s="1445" t="s">
        <v>43</v>
      </c>
      <c r="B21" s="1430">
        <v>3</v>
      </c>
      <c r="C21" s="1430">
        <v>2</v>
      </c>
      <c r="D21" s="1430">
        <v>1</v>
      </c>
      <c r="E21" s="1431">
        <v>0</v>
      </c>
      <c r="F21" s="1430">
        <v>2</v>
      </c>
      <c r="G21" s="1431">
        <v>0</v>
      </c>
      <c r="H21" s="1432">
        <v>1</v>
      </c>
      <c r="I21" s="1432">
        <v>0</v>
      </c>
      <c r="J21" s="1432">
        <v>3</v>
      </c>
      <c r="K21" s="1432">
        <v>3</v>
      </c>
      <c r="L21" s="1432">
        <v>2</v>
      </c>
      <c r="M21" s="1433">
        <v>2</v>
      </c>
      <c r="N21" s="1433">
        <v>5</v>
      </c>
      <c r="O21" s="1433">
        <v>4</v>
      </c>
      <c r="P21" s="1433">
        <v>6</v>
      </c>
      <c r="Q21" s="1433">
        <v>3</v>
      </c>
      <c r="R21" s="1434">
        <f t="shared" si="1"/>
        <v>4</v>
      </c>
      <c r="S21" s="1435">
        <f t="shared" si="2"/>
        <v>5.3763440860215058E-3</v>
      </c>
      <c r="T21" s="1440"/>
    </row>
    <row r="22" spans="1:21" x14ac:dyDescent="0.25">
      <c r="A22" s="1445" t="s">
        <v>45</v>
      </c>
      <c r="B22" s="1430">
        <v>0</v>
      </c>
      <c r="C22" s="1430">
        <v>0</v>
      </c>
      <c r="D22" s="1430">
        <v>0</v>
      </c>
      <c r="E22" s="1431">
        <v>0</v>
      </c>
      <c r="F22" s="1430">
        <v>0</v>
      </c>
      <c r="G22" s="1431">
        <v>0</v>
      </c>
      <c r="H22" s="1432">
        <v>1</v>
      </c>
      <c r="I22" s="1432">
        <v>0</v>
      </c>
      <c r="J22" s="1432">
        <v>1</v>
      </c>
      <c r="K22" s="1432">
        <v>0</v>
      </c>
      <c r="L22" s="1432">
        <v>0</v>
      </c>
      <c r="M22" s="1432">
        <v>0</v>
      </c>
      <c r="N22" s="1432">
        <v>0</v>
      </c>
      <c r="O22" s="1432">
        <v>0</v>
      </c>
      <c r="P22" s="1432">
        <v>0</v>
      </c>
      <c r="Q22" s="1432">
        <v>0</v>
      </c>
      <c r="R22" s="1434" t="str">
        <f t="shared" si="1"/>
        <v xml:space="preserve"> </v>
      </c>
      <c r="S22" s="1435">
        <f t="shared" si="2"/>
        <v>0</v>
      </c>
      <c r="T22" s="1440"/>
    </row>
    <row r="23" spans="1:21" x14ac:dyDescent="0.25">
      <c r="A23" s="1449" t="s">
        <v>36</v>
      </c>
      <c r="B23" s="1437">
        <f t="shared" ref="B23:H23" si="3">SUM(B12:B22)</f>
        <v>16</v>
      </c>
      <c r="C23" s="1437">
        <f t="shared" si="3"/>
        <v>13</v>
      </c>
      <c r="D23" s="1437">
        <f t="shared" si="3"/>
        <v>17</v>
      </c>
      <c r="E23" s="1438">
        <f t="shared" si="3"/>
        <v>8</v>
      </c>
      <c r="F23" s="1437">
        <f t="shared" si="3"/>
        <v>11</v>
      </c>
      <c r="G23" s="1438">
        <f t="shared" si="3"/>
        <v>12</v>
      </c>
      <c r="H23" s="1434">
        <f t="shared" si="3"/>
        <v>10</v>
      </c>
      <c r="I23" s="1434">
        <f t="shared" ref="I23:N23" si="4">SUM(I11:I22)</f>
        <v>14</v>
      </c>
      <c r="J23" s="1434">
        <f t="shared" si="4"/>
        <v>13</v>
      </c>
      <c r="K23" s="1434">
        <f t="shared" si="4"/>
        <v>17</v>
      </c>
      <c r="L23" s="1434">
        <f t="shared" si="4"/>
        <v>20</v>
      </c>
      <c r="M23" s="1434">
        <f t="shared" si="4"/>
        <v>11</v>
      </c>
      <c r="N23" s="1434">
        <f t="shared" si="4"/>
        <v>18</v>
      </c>
      <c r="O23" s="1434">
        <f>SUM(O11:O22)</f>
        <v>19</v>
      </c>
      <c r="P23" s="1434">
        <f>SUM(P11:P22)</f>
        <v>26</v>
      </c>
      <c r="Q23" s="1434">
        <f>SUM(Q11:Q22)</f>
        <v>16</v>
      </c>
      <c r="R23" s="1434">
        <f t="shared" si="1"/>
        <v>18</v>
      </c>
      <c r="S23" s="1439">
        <f t="shared" si="2"/>
        <v>2.8673835125448029E-2</v>
      </c>
      <c r="T23" s="1440"/>
    </row>
    <row r="24" spans="1:21" x14ac:dyDescent="0.25">
      <c r="A24" s="1478" t="s">
        <v>46</v>
      </c>
      <c r="B24" s="1425" t="s">
        <v>908</v>
      </c>
      <c r="C24" s="1425" t="s">
        <v>617</v>
      </c>
      <c r="D24" s="1425" t="s">
        <v>1360</v>
      </c>
      <c r="E24" s="1426" t="s">
        <v>592</v>
      </c>
      <c r="F24" s="1425" t="s">
        <v>921</v>
      </c>
      <c r="G24" s="1426" t="s">
        <v>676</v>
      </c>
      <c r="H24" s="1427" t="s">
        <v>1473</v>
      </c>
      <c r="I24" s="1428" t="s">
        <v>969</v>
      </c>
      <c r="J24" s="1428" t="s">
        <v>1419</v>
      </c>
      <c r="K24" s="1428" t="s">
        <v>1443</v>
      </c>
      <c r="L24" s="1480" t="s">
        <v>1444</v>
      </c>
      <c r="M24" s="1477" t="s">
        <v>1445</v>
      </c>
      <c r="N24" s="1477" t="s">
        <v>1566</v>
      </c>
      <c r="O24" s="1477" t="s">
        <v>1613</v>
      </c>
      <c r="P24" s="1477" t="s">
        <v>1660</v>
      </c>
      <c r="Q24" s="1477" t="s">
        <v>1749</v>
      </c>
      <c r="R24" s="1481" t="s">
        <v>31</v>
      </c>
      <c r="S24" s="1481" t="s">
        <v>32</v>
      </c>
      <c r="T24" s="1440"/>
    </row>
    <row r="25" spans="1:21" x14ac:dyDescent="0.25">
      <c r="A25" s="1445" t="s">
        <v>47</v>
      </c>
      <c r="B25" s="1430">
        <v>0</v>
      </c>
      <c r="C25" s="1430">
        <v>0</v>
      </c>
      <c r="D25" s="1430">
        <v>0</v>
      </c>
      <c r="E25" s="1431">
        <v>2</v>
      </c>
      <c r="F25" s="1430">
        <v>0</v>
      </c>
      <c r="G25" s="1431">
        <v>0</v>
      </c>
      <c r="H25" s="1432">
        <v>0</v>
      </c>
      <c r="I25" s="1432">
        <v>0</v>
      </c>
      <c r="J25" s="1432">
        <v>0</v>
      </c>
      <c r="K25" s="1432">
        <v>0</v>
      </c>
      <c r="L25" s="1432">
        <v>0</v>
      </c>
      <c r="M25" s="1432">
        <v>0</v>
      </c>
      <c r="N25" s="1432">
        <v>0</v>
      </c>
      <c r="O25" s="1432">
        <v>0</v>
      </c>
      <c r="P25" s="1432">
        <v>0</v>
      </c>
      <c r="Q25" s="1432">
        <v>0</v>
      </c>
      <c r="R25" s="1434" t="str">
        <f>IF(Q25+P25+O25+N25+M25=0," ",AVERAGEIF(M25:Q25,"&lt;&gt;0"))</f>
        <v xml:space="preserve"> </v>
      </c>
      <c r="S25" s="1435">
        <f>+Q25/$Q$466</f>
        <v>0</v>
      </c>
      <c r="T25" s="1440"/>
    </row>
    <row r="26" spans="1:21" s="1440" customFormat="1" x14ac:dyDescent="0.25">
      <c r="A26" s="1436" t="s">
        <v>36</v>
      </c>
      <c r="B26" s="1437">
        <f t="shared" ref="B26:H26" si="5">+B25</f>
        <v>0</v>
      </c>
      <c r="C26" s="1437">
        <f t="shared" si="5"/>
        <v>0</v>
      </c>
      <c r="D26" s="1437">
        <f t="shared" si="5"/>
        <v>0</v>
      </c>
      <c r="E26" s="1438">
        <f t="shared" si="5"/>
        <v>2</v>
      </c>
      <c r="F26" s="1437">
        <f t="shared" si="5"/>
        <v>0</v>
      </c>
      <c r="G26" s="1438">
        <f t="shared" si="5"/>
        <v>0</v>
      </c>
      <c r="H26" s="1434">
        <f t="shared" si="5"/>
        <v>0</v>
      </c>
      <c r="I26" s="1434">
        <f t="shared" ref="I26:N26" si="6">SUM(I25)</f>
        <v>0</v>
      </c>
      <c r="J26" s="1434">
        <f t="shared" si="6"/>
        <v>0</v>
      </c>
      <c r="K26" s="1434">
        <f t="shared" si="6"/>
        <v>0</v>
      </c>
      <c r="L26" s="1434">
        <f t="shared" si="6"/>
        <v>0</v>
      </c>
      <c r="M26" s="1434">
        <f t="shared" si="6"/>
        <v>0</v>
      </c>
      <c r="N26" s="1434">
        <f t="shared" si="6"/>
        <v>0</v>
      </c>
      <c r="O26" s="1434">
        <f>+O25</f>
        <v>0</v>
      </c>
      <c r="P26" s="1434">
        <f>+P25</f>
        <v>0</v>
      </c>
      <c r="Q26" s="1434">
        <f>+Q25</f>
        <v>0</v>
      </c>
      <c r="R26" s="1434" t="str">
        <f>IF(Q26+P26+O26+N26+M26=0," ",AVERAGEIF(M26:Q26,"&lt;&gt;0"))</f>
        <v xml:space="preserve"> </v>
      </c>
      <c r="S26" s="1439">
        <f>+Q26/$Q$466</f>
        <v>0</v>
      </c>
      <c r="U26" s="1201"/>
    </row>
    <row r="27" spans="1:21" x14ac:dyDescent="0.25">
      <c r="A27" s="1478" t="s">
        <v>48</v>
      </c>
      <c r="B27" s="1425" t="s">
        <v>908</v>
      </c>
      <c r="C27" s="1425" t="s">
        <v>617</v>
      </c>
      <c r="D27" s="1425" t="s">
        <v>1360</v>
      </c>
      <c r="E27" s="1426" t="s">
        <v>592</v>
      </c>
      <c r="F27" s="1425" t="s">
        <v>921</v>
      </c>
      <c r="G27" s="1426" t="s">
        <v>676</v>
      </c>
      <c r="H27" s="1427" t="s">
        <v>777</v>
      </c>
      <c r="I27" s="1428" t="s">
        <v>969</v>
      </c>
      <c r="J27" s="1428" t="s">
        <v>1419</v>
      </c>
      <c r="K27" s="1428" t="s">
        <v>1443</v>
      </c>
      <c r="L27" s="1480" t="s">
        <v>1444</v>
      </c>
      <c r="M27" s="1477" t="s">
        <v>1445</v>
      </c>
      <c r="N27" s="1477" t="s">
        <v>1566</v>
      </c>
      <c r="O27" s="1477" t="s">
        <v>1613</v>
      </c>
      <c r="P27" s="1477" t="s">
        <v>1660</v>
      </c>
      <c r="Q27" s="1477" t="s">
        <v>1749</v>
      </c>
      <c r="R27" s="1481" t="s">
        <v>31</v>
      </c>
      <c r="S27" s="1481" t="s">
        <v>32</v>
      </c>
      <c r="T27" s="1440"/>
    </row>
    <row r="28" spans="1:21" x14ac:dyDescent="0.25">
      <c r="A28" s="1445" t="s">
        <v>1474</v>
      </c>
      <c r="B28" s="1430">
        <v>11</v>
      </c>
      <c r="C28" s="1430">
        <v>1</v>
      </c>
      <c r="D28" s="1430">
        <v>18</v>
      </c>
      <c r="E28" s="1431">
        <v>0</v>
      </c>
      <c r="F28" s="1430">
        <v>0</v>
      </c>
      <c r="G28" s="1431">
        <v>0</v>
      </c>
      <c r="H28" s="1432">
        <v>0</v>
      </c>
      <c r="I28" s="1432">
        <v>0</v>
      </c>
      <c r="J28" s="1432">
        <v>0</v>
      </c>
      <c r="K28" s="1432">
        <v>0</v>
      </c>
      <c r="L28" s="1432">
        <v>1</v>
      </c>
      <c r="M28" s="1433">
        <v>1</v>
      </c>
      <c r="N28" s="1433">
        <v>0</v>
      </c>
      <c r="O28" s="1433">
        <v>0</v>
      </c>
      <c r="P28" s="1433">
        <v>0</v>
      </c>
      <c r="Q28" s="1433">
        <v>0</v>
      </c>
      <c r="R28" s="1434">
        <f>IF(Q28+P28+O28+N28+M28=0," ",AVERAGEIF(M28:Q28,"&lt;&gt;0"))</f>
        <v>1</v>
      </c>
      <c r="S28" s="1435">
        <f t="shared" ref="S28:S39" si="7">+Q28/$Q$466</f>
        <v>0</v>
      </c>
      <c r="T28" s="1440"/>
    </row>
    <row r="29" spans="1:21" x14ac:dyDescent="0.25">
      <c r="A29" s="1445" t="s">
        <v>49</v>
      </c>
      <c r="B29" s="1430">
        <v>11</v>
      </c>
      <c r="C29" s="1430">
        <v>1</v>
      </c>
      <c r="D29" s="1430">
        <v>18</v>
      </c>
      <c r="E29" s="1431">
        <v>11</v>
      </c>
      <c r="F29" s="1430">
        <v>12</v>
      </c>
      <c r="G29" s="1431">
        <v>17</v>
      </c>
      <c r="H29" s="1432">
        <v>18</v>
      </c>
      <c r="I29" s="1432">
        <v>17</v>
      </c>
      <c r="J29" s="1432">
        <v>10</v>
      </c>
      <c r="K29" s="1432">
        <v>15</v>
      </c>
      <c r="L29" s="1432">
        <v>17</v>
      </c>
      <c r="M29" s="1433">
        <v>12</v>
      </c>
      <c r="N29" s="1433">
        <v>11</v>
      </c>
      <c r="O29" s="1433">
        <v>13</v>
      </c>
      <c r="P29" s="1433">
        <v>11</v>
      </c>
      <c r="Q29" s="1433">
        <v>6</v>
      </c>
      <c r="R29" s="1434">
        <f>IF(Q29+P29+O29+N29+M29=0," ",AVERAGEIF(M29:Q29,"&lt;&gt;0"))</f>
        <v>10.6</v>
      </c>
      <c r="S29" s="1435">
        <f t="shared" si="7"/>
        <v>1.0752688172043012E-2</v>
      </c>
      <c r="T29" s="1440"/>
    </row>
    <row r="30" spans="1:21" x14ac:dyDescent="0.25">
      <c r="A30" s="1445" t="s">
        <v>50</v>
      </c>
      <c r="B30" s="1430">
        <v>0</v>
      </c>
      <c r="C30" s="1430">
        <v>0</v>
      </c>
      <c r="D30" s="1430">
        <v>0</v>
      </c>
      <c r="E30" s="1431">
        <v>0</v>
      </c>
      <c r="F30" s="1430">
        <v>0</v>
      </c>
      <c r="G30" s="1431">
        <v>0</v>
      </c>
      <c r="H30" s="1432">
        <v>0</v>
      </c>
      <c r="I30" s="1432">
        <v>0</v>
      </c>
      <c r="J30" s="1432">
        <v>1</v>
      </c>
      <c r="K30" s="1432">
        <v>0</v>
      </c>
      <c r="L30" s="1432">
        <v>0</v>
      </c>
      <c r="M30" s="1433">
        <v>0</v>
      </c>
      <c r="N30" s="1433">
        <v>0</v>
      </c>
      <c r="O30" s="1433">
        <v>0</v>
      </c>
      <c r="P30" s="1433">
        <v>0</v>
      </c>
      <c r="Q30" s="1433">
        <v>0</v>
      </c>
      <c r="R30" s="1434" t="str">
        <f>IF(Q30+P30+O30+N30+M30=0," ",AVERAGEIF(M30:Q30,"&lt;&gt;0"))</f>
        <v xml:space="preserve"> </v>
      </c>
      <c r="S30" s="1435">
        <f t="shared" si="7"/>
        <v>0</v>
      </c>
      <c r="T30" s="1440"/>
    </row>
    <row r="31" spans="1:21" x14ac:dyDescent="0.25">
      <c r="A31" s="1445" t="s">
        <v>51</v>
      </c>
      <c r="B31" s="1430">
        <v>2</v>
      </c>
      <c r="C31" s="1430">
        <v>2</v>
      </c>
      <c r="D31" s="1430">
        <v>2</v>
      </c>
      <c r="E31" s="1431">
        <v>3</v>
      </c>
      <c r="F31" s="1430">
        <v>6</v>
      </c>
      <c r="G31" s="1431">
        <v>7</v>
      </c>
      <c r="H31" s="1432">
        <v>1</v>
      </c>
      <c r="I31" s="1432">
        <v>1</v>
      </c>
      <c r="J31" s="1432">
        <v>8</v>
      </c>
      <c r="K31" s="1432">
        <v>4</v>
      </c>
      <c r="L31" s="1432">
        <v>11</v>
      </c>
      <c r="M31" s="1433">
        <v>6</v>
      </c>
      <c r="N31" s="1433">
        <v>8</v>
      </c>
      <c r="O31" s="1433">
        <v>3</v>
      </c>
      <c r="P31" s="1433">
        <v>4</v>
      </c>
      <c r="Q31" s="1433">
        <v>7</v>
      </c>
      <c r="R31" s="1434">
        <f>IF(Q31+P31+O31+N31+M31=0," ",AVERAGEIF(M31:Q31,"&lt;&gt;0"))</f>
        <v>5.6</v>
      </c>
      <c r="S31" s="1435">
        <f t="shared" si="7"/>
        <v>1.2544802867383513E-2</v>
      </c>
      <c r="T31" s="1440"/>
    </row>
    <row r="32" spans="1:21" x14ac:dyDescent="0.25">
      <c r="A32" s="1445" t="s">
        <v>52</v>
      </c>
      <c r="B32" s="1430">
        <v>0</v>
      </c>
      <c r="C32" s="1430">
        <v>0</v>
      </c>
      <c r="D32" s="1430">
        <v>0</v>
      </c>
      <c r="E32" s="1431">
        <v>0</v>
      </c>
      <c r="F32" s="1430">
        <v>0</v>
      </c>
      <c r="G32" s="1431">
        <v>0</v>
      </c>
      <c r="H32" s="1432">
        <v>0</v>
      </c>
      <c r="I32" s="1432">
        <v>0</v>
      </c>
      <c r="J32" s="1432">
        <v>0</v>
      </c>
      <c r="K32" s="1432">
        <v>0</v>
      </c>
      <c r="L32" s="1432">
        <v>0</v>
      </c>
      <c r="M32" s="1433">
        <v>0</v>
      </c>
      <c r="N32" s="1433">
        <v>0</v>
      </c>
      <c r="O32" s="1433">
        <v>0</v>
      </c>
      <c r="P32" s="1433">
        <v>0</v>
      </c>
      <c r="Q32" s="1433">
        <v>0</v>
      </c>
      <c r="R32" s="1434" t="str">
        <f>IF(Q32+P32+O32+N32+M32=0," ",AVERAGEIF(M32:Q32,"&lt;&gt;0"))</f>
        <v xml:space="preserve"> </v>
      </c>
      <c r="S32" s="1435">
        <f t="shared" si="7"/>
        <v>0</v>
      </c>
      <c r="T32" s="1440"/>
    </row>
    <row r="33" spans="1:20" x14ac:dyDescent="0.25">
      <c r="A33" s="1445" t="s">
        <v>53</v>
      </c>
      <c r="B33" s="1430">
        <v>0</v>
      </c>
      <c r="C33" s="1430">
        <v>0</v>
      </c>
      <c r="D33" s="1430">
        <v>0</v>
      </c>
      <c r="E33" s="1431">
        <v>0</v>
      </c>
      <c r="F33" s="1430">
        <v>1</v>
      </c>
      <c r="G33" s="1431">
        <v>0</v>
      </c>
      <c r="H33" s="1432">
        <v>0</v>
      </c>
      <c r="I33" s="1432">
        <v>0</v>
      </c>
      <c r="J33" s="1432">
        <v>0</v>
      </c>
      <c r="K33" s="1432">
        <v>1</v>
      </c>
      <c r="L33" s="1432">
        <v>0</v>
      </c>
      <c r="M33" s="1433">
        <v>0</v>
      </c>
      <c r="N33" s="1433">
        <v>0</v>
      </c>
      <c r="O33" s="1433">
        <v>0</v>
      </c>
      <c r="P33" s="1433">
        <v>0</v>
      </c>
      <c r="Q33" s="1433">
        <v>2</v>
      </c>
      <c r="R33" s="1434">
        <f t="shared" ref="R33:R98" si="8">IF(Q33+P33+O33+N33+M33=0," ",AVERAGEIF(M33:Q33,"&lt;&gt;0"))</f>
        <v>2</v>
      </c>
      <c r="S33" s="1435">
        <f t="shared" si="7"/>
        <v>3.5842293906810036E-3</v>
      </c>
      <c r="T33" s="1440"/>
    </row>
    <row r="34" spans="1:20" x14ac:dyDescent="0.25">
      <c r="A34" s="1445" t="s">
        <v>54</v>
      </c>
      <c r="B34" s="1430">
        <v>4</v>
      </c>
      <c r="C34" s="1430">
        <v>6</v>
      </c>
      <c r="D34" s="1430">
        <v>3</v>
      </c>
      <c r="E34" s="1431">
        <v>9</v>
      </c>
      <c r="F34" s="1430">
        <v>3</v>
      </c>
      <c r="G34" s="1431">
        <v>8</v>
      </c>
      <c r="H34" s="1432">
        <v>7</v>
      </c>
      <c r="I34" s="1432">
        <v>5</v>
      </c>
      <c r="J34" s="1432">
        <v>3</v>
      </c>
      <c r="K34" s="1432">
        <v>4</v>
      </c>
      <c r="L34" s="1432">
        <v>8</v>
      </c>
      <c r="M34" s="1433">
        <v>9</v>
      </c>
      <c r="N34" s="1433">
        <v>2</v>
      </c>
      <c r="O34" s="1433">
        <v>7</v>
      </c>
      <c r="P34" s="1433">
        <v>1</v>
      </c>
      <c r="Q34" s="1433">
        <v>3</v>
      </c>
      <c r="R34" s="1434">
        <f t="shared" si="8"/>
        <v>4.4000000000000004</v>
      </c>
      <c r="S34" s="1435">
        <f t="shared" si="7"/>
        <v>5.3763440860215058E-3</v>
      </c>
      <c r="T34" s="1440"/>
    </row>
    <row r="35" spans="1:20" x14ac:dyDescent="0.25">
      <c r="A35" s="1445" t="s">
        <v>57</v>
      </c>
      <c r="B35" s="1430">
        <v>0</v>
      </c>
      <c r="C35" s="1430">
        <v>1</v>
      </c>
      <c r="D35" s="1430">
        <v>1</v>
      </c>
      <c r="E35" s="1431">
        <v>1</v>
      </c>
      <c r="F35" s="1430">
        <v>7</v>
      </c>
      <c r="G35" s="1431">
        <v>3</v>
      </c>
      <c r="H35" s="1432">
        <v>5</v>
      </c>
      <c r="I35" s="1432">
        <v>3</v>
      </c>
      <c r="J35" s="1432">
        <v>7</v>
      </c>
      <c r="K35" s="1432">
        <v>1</v>
      </c>
      <c r="L35" s="1432">
        <v>8</v>
      </c>
      <c r="M35" s="1433">
        <v>5</v>
      </c>
      <c r="N35" s="1433">
        <v>4</v>
      </c>
      <c r="O35" s="1433">
        <v>6</v>
      </c>
      <c r="P35" s="1433">
        <v>4</v>
      </c>
      <c r="Q35" s="1433">
        <v>2</v>
      </c>
      <c r="R35" s="1434">
        <f t="shared" si="8"/>
        <v>4.2</v>
      </c>
      <c r="S35" s="1435">
        <f t="shared" si="7"/>
        <v>3.5842293906810036E-3</v>
      </c>
      <c r="T35" s="1440"/>
    </row>
    <row r="36" spans="1:20" x14ac:dyDescent="0.25">
      <c r="A36" s="1445" t="s">
        <v>58</v>
      </c>
      <c r="B36" s="1430">
        <v>3</v>
      </c>
      <c r="C36" s="1430">
        <v>13</v>
      </c>
      <c r="D36" s="1430">
        <v>13</v>
      </c>
      <c r="E36" s="1431">
        <v>12</v>
      </c>
      <c r="F36" s="1430">
        <v>11</v>
      </c>
      <c r="G36" s="1431">
        <v>10</v>
      </c>
      <c r="H36" s="1432">
        <v>7</v>
      </c>
      <c r="I36" s="1432">
        <v>4</v>
      </c>
      <c r="J36" s="1432">
        <v>6</v>
      </c>
      <c r="K36" s="1432">
        <v>11</v>
      </c>
      <c r="L36" s="1432">
        <v>6</v>
      </c>
      <c r="M36" s="1433">
        <v>8</v>
      </c>
      <c r="N36" s="1433">
        <v>6</v>
      </c>
      <c r="O36" s="1433">
        <v>4</v>
      </c>
      <c r="P36" s="1433">
        <v>3</v>
      </c>
      <c r="Q36" s="1433">
        <v>5</v>
      </c>
      <c r="R36" s="1434">
        <f t="shared" si="8"/>
        <v>5.2</v>
      </c>
      <c r="S36" s="1435">
        <f t="shared" si="7"/>
        <v>8.9605734767025085E-3</v>
      </c>
      <c r="T36" s="1440"/>
    </row>
    <row r="37" spans="1:20" x14ac:dyDescent="0.25">
      <c r="A37" s="1445" t="s">
        <v>59</v>
      </c>
      <c r="B37" s="1430">
        <v>2</v>
      </c>
      <c r="C37" s="1430">
        <v>5</v>
      </c>
      <c r="D37" s="1430">
        <v>8</v>
      </c>
      <c r="E37" s="1431">
        <v>17</v>
      </c>
      <c r="F37" s="1430">
        <v>8</v>
      </c>
      <c r="G37" s="1431">
        <v>3</v>
      </c>
      <c r="H37" s="1432">
        <v>4</v>
      </c>
      <c r="I37" s="1432">
        <v>2</v>
      </c>
      <c r="J37" s="1432">
        <v>3</v>
      </c>
      <c r="K37" s="1432">
        <v>6</v>
      </c>
      <c r="L37" s="1432">
        <v>6</v>
      </c>
      <c r="M37" s="1433">
        <v>14</v>
      </c>
      <c r="N37" s="1433">
        <v>12</v>
      </c>
      <c r="O37" s="1433">
        <v>10</v>
      </c>
      <c r="P37" s="1433">
        <v>3</v>
      </c>
      <c r="Q37" s="1433">
        <v>8</v>
      </c>
      <c r="R37" s="1434">
        <f t="shared" si="8"/>
        <v>9.4</v>
      </c>
      <c r="S37" s="1435">
        <f t="shared" si="7"/>
        <v>1.4336917562724014E-2</v>
      </c>
      <c r="T37" s="1440"/>
    </row>
    <row r="38" spans="1:20" x14ac:dyDescent="0.25">
      <c r="A38" s="1445" t="s">
        <v>234</v>
      </c>
      <c r="B38" s="1430">
        <v>0</v>
      </c>
      <c r="C38" s="1430">
        <v>0</v>
      </c>
      <c r="D38" s="1430">
        <v>0</v>
      </c>
      <c r="E38" s="1431">
        <v>0</v>
      </c>
      <c r="F38" s="1430">
        <v>0</v>
      </c>
      <c r="G38" s="1431">
        <v>0</v>
      </c>
      <c r="H38" s="1432">
        <v>0</v>
      </c>
      <c r="I38" s="1432">
        <v>0</v>
      </c>
      <c r="J38" s="1432">
        <v>0</v>
      </c>
      <c r="K38" s="1432">
        <v>0</v>
      </c>
      <c r="L38" s="1432">
        <v>0</v>
      </c>
      <c r="M38" s="1433">
        <v>0</v>
      </c>
      <c r="N38" s="1433">
        <v>0</v>
      </c>
      <c r="O38" s="1433">
        <v>0</v>
      </c>
      <c r="P38" s="1433">
        <v>3</v>
      </c>
      <c r="Q38" s="1433">
        <v>3</v>
      </c>
      <c r="R38" s="1434">
        <f t="shared" si="8"/>
        <v>3</v>
      </c>
      <c r="S38" s="1435">
        <f t="shared" si="7"/>
        <v>5.3763440860215058E-3</v>
      </c>
      <c r="T38" s="1440"/>
    </row>
    <row r="39" spans="1:20" x14ac:dyDescent="0.25">
      <c r="A39" s="1449" t="s">
        <v>36</v>
      </c>
      <c r="B39" s="1437">
        <f t="shared" ref="B39:P39" si="9">SUM(B28:B38)</f>
        <v>33</v>
      </c>
      <c r="C39" s="1437">
        <f t="shared" si="9"/>
        <v>29</v>
      </c>
      <c r="D39" s="1437">
        <f t="shared" si="9"/>
        <v>63</v>
      </c>
      <c r="E39" s="1438">
        <f t="shared" si="9"/>
        <v>53</v>
      </c>
      <c r="F39" s="1437">
        <f t="shared" si="9"/>
        <v>48</v>
      </c>
      <c r="G39" s="1438">
        <f t="shared" si="9"/>
        <v>48</v>
      </c>
      <c r="H39" s="1434">
        <f t="shared" si="9"/>
        <v>42</v>
      </c>
      <c r="I39" s="1434">
        <f t="shared" si="9"/>
        <v>32</v>
      </c>
      <c r="J39" s="1434">
        <f t="shared" si="9"/>
        <v>38</v>
      </c>
      <c r="K39" s="1434">
        <f t="shared" si="9"/>
        <v>42</v>
      </c>
      <c r="L39" s="1434">
        <f t="shared" si="9"/>
        <v>57</v>
      </c>
      <c r="M39" s="1434">
        <f t="shared" si="9"/>
        <v>55</v>
      </c>
      <c r="N39" s="1434">
        <f t="shared" si="9"/>
        <v>43</v>
      </c>
      <c r="O39" s="1434">
        <f t="shared" si="9"/>
        <v>43</v>
      </c>
      <c r="P39" s="1434">
        <f t="shared" si="9"/>
        <v>29</v>
      </c>
      <c r="Q39" s="1434">
        <f>SUM(Q28:Q38)</f>
        <v>36</v>
      </c>
      <c r="R39" s="1434">
        <f t="shared" si="8"/>
        <v>41.2</v>
      </c>
      <c r="S39" s="1439">
        <f t="shared" si="7"/>
        <v>6.4516129032258063E-2</v>
      </c>
      <c r="T39" s="1440"/>
    </row>
    <row r="40" spans="1:20" x14ac:dyDescent="0.25">
      <c r="A40" s="1478" t="s">
        <v>60</v>
      </c>
      <c r="B40" s="1425" t="s">
        <v>908</v>
      </c>
      <c r="C40" s="1425" t="s">
        <v>617</v>
      </c>
      <c r="D40" s="1425" t="s">
        <v>1360</v>
      </c>
      <c r="E40" s="1426" t="s">
        <v>592</v>
      </c>
      <c r="F40" s="1425" t="s">
        <v>921</v>
      </c>
      <c r="G40" s="1426" t="s">
        <v>676</v>
      </c>
      <c r="H40" s="1427" t="s">
        <v>777</v>
      </c>
      <c r="I40" s="1428" t="s">
        <v>969</v>
      </c>
      <c r="J40" s="1428" t="s">
        <v>1419</v>
      </c>
      <c r="K40" s="1428" t="s">
        <v>1443</v>
      </c>
      <c r="L40" s="1480" t="s">
        <v>1444</v>
      </c>
      <c r="M40" s="1477" t="s">
        <v>1445</v>
      </c>
      <c r="N40" s="1477" t="s">
        <v>1566</v>
      </c>
      <c r="O40" s="1477" t="s">
        <v>1613</v>
      </c>
      <c r="P40" s="1477" t="s">
        <v>1660</v>
      </c>
      <c r="Q40" s="1477" t="s">
        <v>1749</v>
      </c>
      <c r="R40" s="1481" t="s">
        <v>31</v>
      </c>
      <c r="S40" s="1481" t="s">
        <v>32</v>
      </c>
      <c r="T40" s="1440"/>
    </row>
    <row r="41" spans="1:20" x14ac:dyDescent="0.25">
      <c r="A41" s="1445" t="s">
        <v>245</v>
      </c>
      <c r="B41" s="1430">
        <v>1</v>
      </c>
      <c r="C41" s="1430">
        <v>0</v>
      </c>
      <c r="D41" s="1430">
        <v>0</v>
      </c>
      <c r="E41" s="1431">
        <v>2</v>
      </c>
      <c r="F41" s="1430">
        <v>1</v>
      </c>
      <c r="G41" s="1431">
        <v>1</v>
      </c>
      <c r="H41" s="1432">
        <v>1</v>
      </c>
      <c r="I41" s="1432">
        <v>0</v>
      </c>
      <c r="J41" s="1432">
        <v>2</v>
      </c>
      <c r="K41" s="1432">
        <v>1</v>
      </c>
      <c r="L41" s="1432">
        <v>2</v>
      </c>
      <c r="M41" s="1433">
        <v>3</v>
      </c>
      <c r="N41" s="1433">
        <v>1</v>
      </c>
      <c r="O41" s="1433">
        <v>0</v>
      </c>
      <c r="P41" s="1433">
        <v>0</v>
      </c>
      <c r="Q41" s="1433">
        <v>0</v>
      </c>
      <c r="R41" s="1434">
        <f t="shared" si="8"/>
        <v>2</v>
      </c>
      <c r="S41" s="1435">
        <f>+Q41/$Q$466</f>
        <v>0</v>
      </c>
      <c r="T41" s="1440"/>
    </row>
    <row r="42" spans="1:20" x14ac:dyDescent="0.25">
      <c r="A42" s="1450" t="s">
        <v>61</v>
      </c>
      <c r="B42" s="1451">
        <v>0</v>
      </c>
      <c r="C42" s="1451">
        <v>0</v>
      </c>
      <c r="D42" s="1451">
        <v>0</v>
      </c>
      <c r="E42" s="1452">
        <v>0</v>
      </c>
      <c r="F42" s="1451">
        <v>1</v>
      </c>
      <c r="G42" s="1452">
        <v>0</v>
      </c>
      <c r="H42" s="1453">
        <v>0</v>
      </c>
      <c r="I42" s="1453">
        <v>1</v>
      </c>
      <c r="J42" s="1453">
        <v>0</v>
      </c>
      <c r="K42" s="1453">
        <v>3</v>
      </c>
      <c r="L42" s="1453">
        <v>0</v>
      </c>
      <c r="M42" s="1453">
        <v>0</v>
      </c>
      <c r="N42" s="1453">
        <v>0</v>
      </c>
      <c r="O42" s="1453">
        <v>0</v>
      </c>
      <c r="P42" s="1453">
        <v>0</v>
      </c>
      <c r="Q42" s="1453">
        <v>0</v>
      </c>
      <c r="R42" s="1434" t="str">
        <f t="shared" si="8"/>
        <v xml:space="preserve"> </v>
      </c>
      <c r="S42" s="1435">
        <f>+Q42/$Q$466</f>
        <v>0</v>
      </c>
      <c r="T42" s="1440"/>
    </row>
    <row r="43" spans="1:20" x14ac:dyDescent="0.25">
      <c r="A43" s="1445" t="s">
        <v>62</v>
      </c>
      <c r="B43" s="1430">
        <v>0</v>
      </c>
      <c r="C43" s="1430">
        <v>0</v>
      </c>
      <c r="D43" s="1430">
        <v>1</v>
      </c>
      <c r="E43" s="1431">
        <v>0</v>
      </c>
      <c r="F43" s="1430">
        <v>2</v>
      </c>
      <c r="G43" s="1431">
        <v>0</v>
      </c>
      <c r="H43" s="1432">
        <v>0</v>
      </c>
      <c r="I43" s="1432">
        <v>0</v>
      </c>
      <c r="J43" s="1432">
        <v>1</v>
      </c>
      <c r="K43" s="1432">
        <v>0</v>
      </c>
      <c r="L43" s="1432">
        <v>0</v>
      </c>
      <c r="M43" s="1432">
        <v>0</v>
      </c>
      <c r="N43" s="1432">
        <v>0</v>
      </c>
      <c r="O43" s="1432">
        <v>0</v>
      </c>
      <c r="P43" s="1432">
        <v>0</v>
      </c>
      <c r="Q43" s="1432">
        <v>0</v>
      </c>
      <c r="R43" s="1434" t="str">
        <f t="shared" si="8"/>
        <v xml:space="preserve"> </v>
      </c>
      <c r="S43" s="1435">
        <f>+Q43/$Q$466</f>
        <v>0</v>
      </c>
      <c r="T43" s="1440"/>
    </row>
    <row r="44" spans="1:20" x14ac:dyDescent="0.25">
      <c r="A44" s="1449" t="s">
        <v>36</v>
      </c>
      <c r="B44" s="1437">
        <f>SUM(B42:B43)</f>
        <v>0</v>
      </c>
      <c r="C44" s="1437">
        <f>SUM(C42:C43)</f>
        <v>0</v>
      </c>
      <c r="D44" s="1437">
        <f>SUM(D42:D43)</f>
        <v>1</v>
      </c>
      <c r="E44" s="1438">
        <f>SUM(E41:E43)</f>
        <v>2</v>
      </c>
      <c r="F44" s="1438">
        <f t="shared" ref="F44:N44" si="10">SUM(F41:F43)</f>
        <v>4</v>
      </c>
      <c r="G44" s="1438">
        <f t="shared" si="10"/>
        <v>1</v>
      </c>
      <c r="H44" s="1438">
        <f t="shared" si="10"/>
        <v>1</v>
      </c>
      <c r="I44" s="1438">
        <f t="shared" si="10"/>
        <v>1</v>
      </c>
      <c r="J44" s="1438">
        <f t="shared" si="10"/>
        <v>3</v>
      </c>
      <c r="K44" s="1438">
        <f t="shared" si="10"/>
        <v>4</v>
      </c>
      <c r="L44" s="1438">
        <f t="shared" si="10"/>
        <v>2</v>
      </c>
      <c r="M44" s="1438">
        <f t="shared" si="10"/>
        <v>3</v>
      </c>
      <c r="N44" s="1438">
        <f t="shared" si="10"/>
        <v>1</v>
      </c>
      <c r="O44" s="1454">
        <f>SUM(O41:O43)</f>
        <v>0</v>
      </c>
      <c r="P44" s="1454">
        <f>SUM(P41:P43)</f>
        <v>0</v>
      </c>
      <c r="Q44" s="1454">
        <f>SUM(Q41:Q43)</f>
        <v>0</v>
      </c>
      <c r="R44" s="1434">
        <f t="shared" si="8"/>
        <v>2</v>
      </c>
      <c r="S44" s="1439">
        <f>+Q44/$Q$466</f>
        <v>0</v>
      </c>
      <c r="T44" s="1440"/>
    </row>
    <row r="45" spans="1:20" x14ac:dyDescent="0.25">
      <c r="A45" s="1478" t="s">
        <v>63</v>
      </c>
      <c r="B45" s="1425" t="s">
        <v>908</v>
      </c>
      <c r="C45" s="1425" t="s">
        <v>617</v>
      </c>
      <c r="D45" s="1425" t="s">
        <v>1360</v>
      </c>
      <c r="E45" s="1426" t="s">
        <v>592</v>
      </c>
      <c r="F45" s="1425" t="s">
        <v>921</v>
      </c>
      <c r="G45" s="1426" t="s">
        <v>676</v>
      </c>
      <c r="H45" s="1427" t="s">
        <v>777</v>
      </c>
      <c r="I45" s="1428" t="s">
        <v>969</v>
      </c>
      <c r="J45" s="1428" t="s">
        <v>1419</v>
      </c>
      <c r="K45" s="1428" t="s">
        <v>1443</v>
      </c>
      <c r="L45" s="1480" t="s">
        <v>1444</v>
      </c>
      <c r="M45" s="1477" t="s">
        <v>1445</v>
      </c>
      <c r="N45" s="1477" t="s">
        <v>1566</v>
      </c>
      <c r="O45" s="1477" t="s">
        <v>1613</v>
      </c>
      <c r="P45" s="1477" t="s">
        <v>1660</v>
      </c>
      <c r="Q45" s="1477" t="s">
        <v>1749</v>
      </c>
      <c r="R45" s="1481" t="s">
        <v>31</v>
      </c>
      <c r="S45" s="1481" t="s">
        <v>32</v>
      </c>
      <c r="T45" s="1440"/>
    </row>
    <row r="46" spans="1:20" x14ac:dyDescent="0.25">
      <c r="A46" s="1445" t="s">
        <v>64</v>
      </c>
      <c r="B46" s="1430">
        <v>0</v>
      </c>
      <c r="C46" s="1430">
        <v>4</v>
      </c>
      <c r="D46" s="1430">
        <v>7</v>
      </c>
      <c r="E46" s="1431">
        <v>6</v>
      </c>
      <c r="F46" s="1430">
        <v>7</v>
      </c>
      <c r="G46" s="1431">
        <v>10</v>
      </c>
      <c r="H46" s="1432">
        <v>5</v>
      </c>
      <c r="I46" s="1432">
        <v>1</v>
      </c>
      <c r="J46" s="1432">
        <v>2</v>
      </c>
      <c r="K46" s="1432">
        <v>4</v>
      </c>
      <c r="L46" s="1432">
        <v>1</v>
      </c>
      <c r="M46" s="1433">
        <v>1</v>
      </c>
      <c r="N46" s="1433">
        <v>5</v>
      </c>
      <c r="O46" s="1433">
        <v>1</v>
      </c>
      <c r="P46" s="1433">
        <v>2</v>
      </c>
      <c r="Q46" s="1433">
        <v>1</v>
      </c>
      <c r="R46" s="1434">
        <f t="shared" si="8"/>
        <v>2</v>
      </c>
      <c r="S46" s="1435">
        <f t="shared" ref="S46:S51" si="11">+Q46/$Q$466</f>
        <v>1.7921146953405018E-3</v>
      </c>
      <c r="T46" s="1440"/>
    </row>
    <row r="47" spans="1:20" x14ac:dyDescent="0.25">
      <c r="A47" s="1445" t="s">
        <v>779</v>
      </c>
      <c r="B47" s="1430"/>
      <c r="C47" s="1430">
        <v>0</v>
      </c>
      <c r="D47" s="1430">
        <v>0</v>
      </c>
      <c r="E47" s="1431">
        <v>0</v>
      </c>
      <c r="F47" s="1430">
        <v>0</v>
      </c>
      <c r="G47" s="1431">
        <v>0</v>
      </c>
      <c r="H47" s="1432">
        <v>1</v>
      </c>
      <c r="I47" s="1432">
        <v>0</v>
      </c>
      <c r="J47" s="1432">
        <v>0</v>
      </c>
      <c r="K47" s="1432">
        <v>0</v>
      </c>
      <c r="L47" s="1432">
        <v>0</v>
      </c>
      <c r="M47" s="1433">
        <v>0</v>
      </c>
      <c r="N47" s="1433">
        <v>0</v>
      </c>
      <c r="O47" s="1433">
        <v>0</v>
      </c>
      <c r="P47" s="1433">
        <v>0</v>
      </c>
      <c r="Q47" s="1433">
        <v>0</v>
      </c>
      <c r="R47" s="1434" t="str">
        <f t="shared" si="8"/>
        <v xml:space="preserve"> </v>
      </c>
      <c r="S47" s="1435">
        <f t="shared" si="11"/>
        <v>0</v>
      </c>
      <c r="T47" s="1440"/>
    </row>
    <row r="48" spans="1:20" x14ac:dyDescent="0.25">
      <c r="A48" s="1445" t="s">
        <v>65</v>
      </c>
      <c r="B48" s="1430">
        <v>0</v>
      </c>
      <c r="C48" s="1430">
        <v>0</v>
      </c>
      <c r="D48" s="1430">
        <v>1</v>
      </c>
      <c r="E48" s="1431">
        <v>0</v>
      </c>
      <c r="F48" s="1430">
        <v>1</v>
      </c>
      <c r="G48" s="1431">
        <v>2</v>
      </c>
      <c r="H48" s="1432">
        <v>1</v>
      </c>
      <c r="I48" s="1432">
        <v>0</v>
      </c>
      <c r="J48" s="1432">
        <v>0</v>
      </c>
      <c r="K48" s="1432">
        <v>1</v>
      </c>
      <c r="L48" s="1432">
        <v>0</v>
      </c>
      <c r="M48" s="1433">
        <v>3</v>
      </c>
      <c r="N48" s="1433">
        <v>3</v>
      </c>
      <c r="O48" s="1433">
        <v>0</v>
      </c>
      <c r="P48" s="1433">
        <v>0</v>
      </c>
      <c r="Q48" s="1433">
        <v>1</v>
      </c>
      <c r="R48" s="1434">
        <f t="shared" si="8"/>
        <v>2.3333333333333335</v>
      </c>
      <c r="S48" s="1435">
        <f t="shared" si="11"/>
        <v>1.7921146953405018E-3</v>
      </c>
      <c r="T48" s="1440"/>
    </row>
    <row r="49" spans="1:20" x14ac:dyDescent="0.25">
      <c r="A49" s="1445" t="s">
        <v>66</v>
      </c>
      <c r="B49" s="1430">
        <v>0</v>
      </c>
      <c r="C49" s="1430">
        <v>0</v>
      </c>
      <c r="D49" s="1430">
        <v>1</v>
      </c>
      <c r="E49" s="1431">
        <v>0</v>
      </c>
      <c r="F49" s="1430">
        <v>0</v>
      </c>
      <c r="G49" s="1431">
        <v>0</v>
      </c>
      <c r="H49" s="1432">
        <v>1</v>
      </c>
      <c r="I49" s="1432">
        <v>0</v>
      </c>
      <c r="J49" s="1432">
        <v>0</v>
      </c>
      <c r="K49" s="1432">
        <v>0</v>
      </c>
      <c r="L49" s="1432">
        <v>1</v>
      </c>
      <c r="M49" s="1433">
        <v>0</v>
      </c>
      <c r="N49" s="1433">
        <v>0</v>
      </c>
      <c r="O49" s="1433">
        <v>1</v>
      </c>
      <c r="P49" s="1433">
        <v>0</v>
      </c>
      <c r="Q49" s="1433">
        <v>0</v>
      </c>
      <c r="R49" s="1434">
        <f t="shared" si="8"/>
        <v>1</v>
      </c>
      <c r="S49" s="1435">
        <f t="shared" si="11"/>
        <v>0</v>
      </c>
      <c r="T49" s="1440"/>
    </row>
    <row r="50" spans="1:20" x14ac:dyDescent="0.25">
      <c r="A50" s="1445" t="s">
        <v>67</v>
      </c>
      <c r="B50" s="1430">
        <v>0</v>
      </c>
      <c r="C50" s="1430">
        <v>0</v>
      </c>
      <c r="D50" s="1430">
        <v>1</v>
      </c>
      <c r="E50" s="1431">
        <v>2</v>
      </c>
      <c r="F50" s="1430">
        <v>0</v>
      </c>
      <c r="G50" s="1431">
        <v>0</v>
      </c>
      <c r="H50" s="1432">
        <v>4</v>
      </c>
      <c r="I50" s="1432">
        <v>1</v>
      </c>
      <c r="J50" s="1432">
        <v>0</v>
      </c>
      <c r="K50" s="1432">
        <v>3</v>
      </c>
      <c r="L50" s="1432">
        <v>1</v>
      </c>
      <c r="M50" s="1433">
        <v>2</v>
      </c>
      <c r="N50" s="1433">
        <v>1</v>
      </c>
      <c r="O50" s="1433">
        <v>0</v>
      </c>
      <c r="P50" s="1433">
        <v>1</v>
      </c>
      <c r="Q50" s="1433">
        <v>0</v>
      </c>
      <c r="R50" s="1434">
        <f t="shared" si="8"/>
        <v>1.3333333333333333</v>
      </c>
      <c r="S50" s="1435">
        <f t="shared" si="11"/>
        <v>0</v>
      </c>
      <c r="T50" s="1440"/>
    </row>
    <row r="51" spans="1:20" x14ac:dyDescent="0.25">
      <c r="A51" s="1449" t="s">
        <v>36</v>
      </c>
      <c r="B51" s="1437">
        <f t="shared" ref="B51:O51" si="12">SUM(B46:B50)</f>
        <v>0</v>
      </c>
      <c r="C51" s="1437">
        <f t="shared" si="12"/>
        <v>4</v>
      </c>
      <c r="D51" s="1437">
        <f t="shared" si="12"/>
        <v>10</v>
      </c>
      <c r="E51" s="1438">
        <f t="shared" si="12"/>
        <v>8</v>
      </c>
      <c r="F51" s="1437">
        <f t="shared" si="12"/>
        <v>8</v>
      </c>
      <c r="G51" s="1438">
        <f t="shared" si="12"/>
        <v>12</v>
      </c>
      <c r="H51" s="1434">
        <f t="shared" si="12"/>
        <v>12</v>
      </c>
      <c r="I51" s="1434">
        <f t="shared" si="12"/>
        <v>2</v>
      </c>
      <c r="J51" s="1434">
        <f t="shared" si="12"/>
        <v>2</v>
      </c>
      <c r="K51" s="1434">
        <f t="shared" si="12"/>
        <v>8</v>
      </c>
      <c r="L51" s="1434">
        <f t="shared" si="12"/>
        <v>3</v>
      </c>
      <c r="M51" s="1434">
        <f t="shared" si="12"/>
        <v>6</v>
      </c>
      <c r="N51" s="1434">
        <f t="shared" si="12"/>
        <v>9</v>
      </c>
      <c r="O51" s="1434">
        <f t="shared" si="12"/>
        <v>2</v>
      </c>
      <c r="P51" s="1434">
        <f>SUM(P46:P50)</f>
        <v>3</v>
      </c>
      <c r="Q51" s="1434">
        <f>SUM(Q46:Q50)</f>
        <v>2</v>
      </c>
      <c r="R51" s="1434">
        <f t="shared" si="8"/>
        <v>4.4000000000000004</v>
      </c>
      <c r="S51" s="1439">
        <f t="shared" si="11"/>
        <v>3.5842293906810036E-3</v>
      </c>
      <c r="T51" s="1440"/>
    </row>
    <row r="52" spans="1:20" x14ac:dyDescent="0.25">
      <c r="A52" s="1478" t="s">
        <v>68</v>
      </c>
      <c r="B52" s="1425" t="s">
        <v>908</v>
      </c>
      <c r="C52" s="1425" t="s">
        <v>617</v>
      </c>
      <c r="D52" s="1425" t="s">
        <v>1360</v>
      </c>
      <c r="E52" s="1426" t="s">
        <v>592</v>
      </c>
      <c r="F52" s="1425" t="s">
        <v>921</v>
      </c>
      <c r="G52" s="1426" t="s">
        <v>676</v>
      </c>
      <c r="H52" s="1427" t="s">
        <v>777</v>
      </c>
      <c r="I52" s="1428" t="s">
        <v>969</v>
      </c>
      <c r="J52" s="1428" t="s">
        <v>1419</v>
      </c>
      <c r="K52" s="1428" t="s">
        <v>1443</v>
      </c>
      <c r="L52" s="1480" t="s">
        <v>1444</v>
      </c>
      <c r="M52" s="1477" t="s">
        <v>1445</v>
      </c>
      <c r="N52" s="1477" t="s">
        <v>1566</v>
      </c>
      <c r="O52" s="1477" t="s">
        <v>1613</v>
      </c>
      <c r="P52" s="1477" t="s">
        <v>1660</v>
      </c>
      <c r="Q52" s="1477" t="s">
        <v>1749</v>
      </c>
      <c r="R52" s="1481" t="s">
        <v>31</v>
      </c>
      <c r="S52" s="1481" t="s">
        <v>32</v>
      </c>
      <c r="T52" s="1440"/>
    </row>
    <row r="53" spans="1:20" x14ac:dyDescent="0.25">
      <c r="A53" s="1445" t="s">
        <v>69</v>
      </c>
      <c r="B53" s="1430">
        <v>2</v>
      </c>
      <c r="C53" s="1430">
        <v>1</v>
      </c>
      <c r="D53" s="1430">
        <v>0</v>
      </c>
      <c r="E53" s="1431">
        <v>2</v>
      </c>
      <c r="F53" s="1430">
        <v>0</v>
      </c>
      <c r="G53" s="1431">
        <v>1</v>
      </c>
      <c r="H53" s="1432">
        <v>3</v>
      </c>
      <c r="I53" s="1432">
        <v>0</v>
      </c>
      <c r="J53" s="1432">
        <v>0</v>
      </c>
      <c r="K53" s="1432">
        <v>0</v>
      </c>
      <c r="L53" s="1432">
        <v>1</v>
      </c>
      <c r="M53" s="1433">
        <v>2</v>
      </c>
      <c r="N53" s="1433">
        <v>1</v>
      </c>
      <c r="O53" s="1433">
        <v>0</v>
      </c>
      <c r="P53" s="1433">
        <v>0</v>
      </c>
      <c r="Q53" s="1433">
        <v>0</v>
      </c>
      <c r="R53" s="1434">
        <f t="shared" si="8"/>
        <v>1.5</v>
      </c>
      <c r="S53" s="1435">
        <f t="shared" ref="S53:S64" si="13">+Q53/$Q$466</f>
        <v>0</v>
      </c>
      <c r="T53" s="1440"/>
    </row>
    <row r="54" spans="1:20" x14ac:dyDescent="0.25">
      <c r="A54" s="1455" t="s">
        <v>70</v>
      </c>
      <c r="B54" s="1451">
        <v>0</v>
      </c>
      <c r="C54" s="1451">
        <v>0</v>
      </c>
      <c r="D54" s="1451">
        <v>0</v>
      </c>
      <c r="E54" s="1452">
        <v>0</v>
      </c>
      <c r="F54" s="1451">
        <v>0</v>
      </c>
      <c r="G54" s="1452">
        <v>0</v>
      </c>
      <c r="H54" s="1453">
        <v>0</v>
      </c>
      <c r="I54" s="1453">
        <v>0</v>
      </c>
      <c r="J54" s="1453">
        <v>0</v>
      </c>
      <c r="K54" s="1453">
        <v>0</v>
      </c>
      <c r="L54" s="1453">
        <v>0</v>
      </c>
      <c r="M54" s="1433">
        <v>0</v>
      </c>
      <c r="N54" s="1433">
        <v>0</v>
      </c>
      <c r="O54" s="1433">
        <v>1</v>
      </c>
      <c r="P54" s="1433">
        <v>0</v>
      </c>
      <c r="Q54" s="1433">
        <v>0</v>
      </c>
      <c r="R54" s="1434">
        <f t="shared" si="8"/>
        <v>1</v>
      </c>
      <c r="S54" s="1435">
        <f t="shared" si="13"/>
        <v>0</v>
      </c>
      <c r="T54" s="1440"/>
    </row>
    <row r="55" spans="1:20" x14ac:dyDescent="0.25">
      <c r="A55" s="1445" t="s">
        <v>71</v>
      </c>
      <c r="B55" s="1430">
        <v>3</v>
      </c>
      <c r="C55" s="1430">
        <v>0</v>
      </c>
      <c r="D55" s="1430">
        <v>1</v>
      </c>
      <c r="E55" s="1431">
        <v>2</v>
      </c>
      <c r="F55" s="1430">
        <v>2</v>
      </c>
      <c r="G55" s="1431">
        <v>1</v>
      </c>
      <c r="H55" s="1432">
        <v>1</v>
      </c>
      <c r="I55" s="1432">
        <v>0</v>
      </c>
      <c r="J55" s="1432">
        <v>0</v>
      </c>
      <c r="K55" s="1432">
        <v>2</v>
      </c>
      <c r="L55" s="1432">
        <v>0</v>
      </c>
      <c r="M55" s="1433">
        <v>3</v>
      </c>
      <c r="N55" s="1433">
        <v>1</v>
      </c>
      <c r="O55" s="1433">
        <v>4</v>
      </c>
      <c r="P55" s="1433">
        <v>6</v>
      </c>
      <c r="Q55" s="1433">
        <v>5</v>
      </c>
      <c r="R55" s="1434">
        <f t="shared" si="8"/>
        <v>3.8</v>
      </c>
      <c r="S55" s="1435">
        <f t="shared" si="13"/>
        <v>8.9605734767025085E-3</v>
      </c>
      <c r="T55" s="1440"/>
    </row>
    <row r="56" spans="1:20" x14ac:dyDescent="0.25">
      <c r="A56" s="1445" t="s">
        <v>512</v>
      </c>
      <c r="B56" s="1430">
        <v>0</v>
      </c>
      <c r="C56" s="1430">
        <v>0</v>
      </c>
      <c r="D56" s="1430">
        <v>0</v>
      </c>
      <c r="E56" s="1431">
        <v>0</v>
      </c>
      <c r="F56" s="1430">
        <v>0</v>
      </c>
      <c r="G56" s="1431">
        <v>1</v>
      </c>
      <c r="H56" s="1432">
        <v>1</v>
      </c>
      <c r="I56" s="1432">
        <v>0</v>
      </c>
      <c r="J56" s="1432">
        <v>0</v>
      </c>
      <c r="K56" s="1432">
        <v>1</v>
      </c>
      <c r="L56" s="1432">
        <v>0</v>
      </c>
      <c r="M56" s="1433">
        <v>0</v>
      </c>
      <c r="N56" s="1433">
        <v>0</v>
      </c>
      <c r="O56" s="1433">
        <v>1</v>
      </c>
      <c r="P56" s="1433">
        <v>1</v>
      </c>
      <c r="Q56" s="1433">
        <v>0</v>
      </c>
      <c r="R56" s="1434">
        <f t="shared" si="8"/>
        <v>1</v>
      </c>
      <c r="S56" s="1435">
        <f t="shared" si="13"/>
        <v>0</v>
      </c>
      <c r="T56" s="1440"/>
    </row>
    <row r="57" spans="1:20" x14ac:dyDescent="0.25">
      <c r="A57" s="1445" t="s">
        <v>1475</v>
      </c>
      <c r="B57" s="1430"/>
      <c r="C57" s="1430"/>
      <c r="D57" s="1430"/>
      <c r="E57" s="1431">
        <v>0</v>
      </c>
      <c r="F57" s="1430">
        <v>0</v>
      </c>
      <c r="G57" s="1431">
        <v>0</v>
      </c>
      <c r="H57" s="1432">
        <v>0</v>
      </c>
      <c r="I57" s="1432">
        <v>0</v>
      </c>
      <c r="J57" s="1432">
        <v>0</v>
      </c>
      <c r="K57" s="1432">
        <v>0</v>
      </c>
      <c r="L57" s="1432">
        <v>1</v>
      </c>
      <c r="M57" s="1433">
        <v>0</v>
      </c>
      <c r="N57" s="1433">
        <v>0</v>
      </c>
      <c r="O57" s="1433">
        <v>0</v>
      </c>
      <c r="P57" s="1433">
        <v>0</v>
      </c>
      <c r="Q57" s="1433">
        <v>0</v>
      </c>
      <c r="R57" s="1434" t="str">
        <f t="shared" si="8"/>
        <v xml:space="preserve"> </v>
      </c>
      <c r="S57" s="1435">
        <f t="shared" si="13"/>
        <v>0</v>
      </c>
      <c r="T57" s="1440"/>
    </row>
    <row r="58" spans="1:20" x14ac:dyDescent="0.25">
      <c r="A58" s="1445" t="s">
        <v>515</v>
      </c>
      <c r="B58" s="1430">
        <v>0</v>
      </c>
      <c r="C58" s="1430">
        <v>0</v>
      </c>
      <c r="D58" s="1430">
        <v>0</v>
      </c>
      <c r="E58" s="1431">
        <v>0</v>
      </c>
      <c r="F58" s="1430">
        <v>0</v>
      </c>
      <c r="G58" s="1431">
        <v>1</v>
      </c>
      <c r="H58" s="1432">
        <v>2</v>
      </c>
      <c r="I58" s="1432">
        <v>1</v>
      </c>
      <c r="J58" s="1432">
        <v>0</v>
      </c>
      <c r="K58" s="1432">
        <v>1</v>
      </c>
      <c r="L58" s="1432">
        <v>0</v>
      </c>
      <c r="M58" s="1433">
        <v>0</v>
      </c>
      <c r="N58" s="1433">
        <v>0</v>
      </c>
      <c r="O58" s="1433">
        <v>0</v>
      </c>
      <c r="P58" s="1433">
        <v>0</v>
      </c>
      <c r="Q58" s="1433">
        <v>0</v>
      </c>
      <c r="R58" s="1434" t="str">
        <f t="shared" si="8"/>
        <v xml:space="preserve"> </v>
      </c>
      <c r="S58" s="1435">
        <f t="shared" si="13"/>
        <v>0</v>
      </c>
      <c r="T58" s="1440"/>
    </row>
    <row r="59" spans="1:20" x14ac:dyDescent="0.25">
      <c r="A59" s="1445" t="s">
        <v>72</v>
      </c>
      <c r="B59" s="1430">
        <v>1</v>
      </c>
      <c r="C59" s="1430">
        <v>0</v>
      </c>
      <c r="D59" s="1430">
        <v>0</v>
      </c>
      <c r="E59" s="1431">
        <v>1</v>
      </c>
      <c r="F59" s="1430">
        <v>1</v>
      </c>
      <c r="G59" s="1431">
        <v>0</v>
      </c>
      <c r="H59" s="1432">
        <v>3</v>
      </c>
      <c r="I59" s="1432">
        <v>0</v>
      </c>
      <c r="J59" s="1432">
        <v>0</v>
      </c>
      <c r="K59" s="1432">
        <v>0</v>
      </c>
      <c r="L59" s="1432">
        <v>1</v>
      </c>
      <c r="M59" s="1433">
        <v>0</v>
      </c>
      <c r="N59" s="1433">
        <v>0</v>
      </c>
      <c r="O59" s="1433">
        <v>0</v>
      </c>
      <c r="P59" s="1433">
        <v>0</v>
      </c>
      <c r="Q59" s="1433">
        <v>0</v>
      </c>
      <c r="R59" s="1434" t="str">
        <f t="shared" si="8"/>
        <v xml:space="preserve"> </v>
      </c>
      <c r="S59" s="1435">
        <f t="shared" si="13"/>
        <v>0</v>
      </c>
      <c r="T59" s="1440"/>
    </row>
    <row r="60" spans="1:20" x14ac:dyDescent="0.25">
      <c r="A60" s="1445" t="s">
        <v>73</v>
      </c>
      <c r="B60" s="1430">
        <v>0</v>
      </c>
      <c r="C60" s="1430">
        <v>2</v>
      </c>
      <c r="D60" s="1430">
        <v>1</v>
      </c>
      <c r="E60" s="1431">
        <v>3</v>
      </c>
      <c r="F60" s="1430">
        <v>2</v>
      </c>
      <c r="G60" s="1431">
        <v>0</v>
      </c>
      <c r="H60" s="1432">
        <v>0</v>
      </c>
      <c r="I60" s="1432">
        <v>0</v>
      </c>
      <c r="J60" s="1432">
        <v>0</v>
      </c>
      <c r="K60" s="1432">
        <v>1</v>
      </c>
      <c r="L60" s="1432">
        <v>2</v>
      </c>
      <c r="M60" s="1433">
        <v>1</v>
      </c>
      <c r="N60" s="1433">
        <v>1</v>
      </c>
      <c r="O60" s="1433">
        <v>1</v>
      </c>
      <c r="P60" s="1433">
        <v>0</v>
      </c>
      <c r="Q60" s="1433">
        <v>1</v>
      </c>
      <c r="R60" s="1434">
        <f t="shared" si="8"/>
        <v>1</v>
      </c>
      <c r="S60" s="1435">
        <f t="shared" si="13"/>
        <v>1.7921146953405018E-3</v>
      </c>
      <c r="T60" s="1440"/>
    </row>
    <row r="61" spans="1:20" x14ac:dyDescent="0.25">
      <c r="A61" s="1445" t="s">
        <v>74</v>
      </c>
      <c r="B61" s="1430">
        <v>0</v>
      </c>
      <c r="C61" s="1430">
        <v>0</v>
      </c>
      <c r="D61" s="1430">
        <v>0</v>
      </c>
      <c r="E61" s="1431">
        <v>0</v>
      </c>
      <c r="F61" s="1430">
        <v>0</v>
      </c>
      <c r="G61" s="1431">
        <v>0</v>
      </c>
      <c r="H61" s="1432">
        <v>0</v>
      </c>
      <c r="I61" s="1432">
        <v>0</v>
      </c>
      <c r="J61" s="1432">
        <v>0</v>
      </c>
      <c r="K61" s="1432">
        <v>0</v>
      </c>
      <c r="L61" s="1432">
        <v>0</v>
      </c>
      <c r="M61" s="1432">
        <v>0</v>
      </c>
      <c r="N61" s="1432">
        <v>0</v>
      </c>
      <c r="O61" s="1432">
        <v>0</v>
      </c>
      <c r="P61" s="1432">
        <v>0</v>
      </c>
      <c r="Q61" s="1432">
        <v>0</v>
      </c>
      <c r="R61" s="1434" t="str">
        <f t="shared" si="8"/>
        <v xml:space="preserve"> </v>
      </c>
      <c r="S61" s="1435">
        <f t="shared" si="13"/>
        <v>0</v>
      </c>
      <c r="T61" s="1440"/>
    </row>
    <row r="62" spans="1:20" x14ac:dyDescent="0.25">
      <c r="A62" s="1445" t="s">
        <v>1764</v>
      </c>
      <c r="B62" s="1430"/>
      <c r="C62" s="1430"/>
      <c r="D62" s="1430"/>
      <c r="E62" s="2027"/>
      <c r="F62" s="1430"/>
      <c r="G62" s="2027"/>
      <c r="H62" s="2023"/>
      <c r="I62" s="2023"/>
      <c r="J62" s="2023"/>
      <c r="K62" s="2023"/>
      <c r="L62" s="2023"/>
      <c r="M62" s="2023">
        <v>0</v>
      </c>
      <c r="N62" s="2023">
        <v>0</v>
      </c>
      <c r="O62" s="2023">
        <v>0</v>
      </c>
      <c r="P62" s="2023">
        <v>0</v>
      </c>
      <c r="Q62" s="2023">
        <v>0</v>
      </c>
      <c r="R62" s="2022" t="str">
        <f t="shared" si="8"/>
        <v xml:space="preserve"> </v>
      </c>
      <c r="S62" s="2028">
        <f t="shared" si="13"/>
        <v>0</v>
      </c>
      <c r="T62" s="1440"/>
    </row>
    <row r="63" spans="1:20" x14ac:dyDescent="0.25">
      <c r="A63" s="1445" t="s">
        <v>1661</v>
      </c>
      <c r="B63" s="1430">
        <v>0</v>
      </c>
      <c r="C63" s="1430">
        <v>0</v>
      </c>
      <c r="D63" s="1430">
        <v>0</v>
      </c>
      <c r="E63" s="1431">
        <v>0</v>
      </c>
      <c r="F63" s="1430">
        <v>0</v>
      </c>
      <c r="G63" s="1431">
        <v>0</v>
      </c>
      <c r="H63" s="1432">
        <v>0</v>
      </c>
      <c r="I63" s="1432">
        <v>0</v>
      </c>
      <c r="J63" s="1432">
        <v>0</v>
      </c>
      <c r="K63" s="1432">
        <v>0</v>
      </c>
      <c r="L63" s="1432">
        <v>0</v>
      </c>
      <c r="M63" s="1432">
        <v>0</v>
      </c>
      <c r="N63" s="1432">
        <v>0</v>
      </c>
      <c r="O63" s="1432">
        <v>0</v>
      </c>
      <c r="P63" s="1432">
        <v>1</v>
      </c>
      <c r="Q63" s="1432">
        <v>0</v>
      </c>
      <c r="R63" s="1434">
        <f t="shared" si="8"/>
        <v>1</v>
      </c>
      <c r="S63" s="1435">
        <f t="shared" si="13"/>
        <v>0</v>
      </c>
      <c r="T63" s="1440"/>
    </row>
    <row r="64" spans="1:20" x14ac:dyDescent="0.25">
      <c r="A64" s="1449" t="s">
        <v>36</v>
      </c>
      <c r="B64" s="1437">
        <f t="shared" ref="B64:Q64" si="14">SUM(B53:B63)</f>
        <v>6</v>
      </c>
      <c r="C64" s="1437">
        <f t="shared" si="14"/>
        <v>3</v>
      </c>
      <c r="D64" s="1437">
        <f t="shared" si="14"/>
        <v>2</v>
      </c>
      <c r="E64" s="1438">
        <f t="shared" si="14"/>
        <v>8</v>
      </c>
      <c r="F64" s="1437">
        <f t="shared" si="14"/>
        <v>5</v>
      </c>
      <c r="G64" s="1438">
        <f t="shared" si="14"/>
        <v>4</v>
      </c>
      <c r="H64" s="1434">
        <f t="shared" si="14"/>
        <v>10</v>
      </c>
      <c r="I64" s="1434">
        <f t="shared" si="14"/>
        <v>1</v>
      </c>
      <c r="J64" s="1434">
        <f t="shared" si="14"/>
        <v>0</v>
      </c>
      <c r="K64" s="1434">
        <f t="shared" si="14"/>
        <v>5</v>
      </c>
      <c r="L64" s="1434">
        <f t="shared" si="14"/>
        <v>5</v>
      </c>
      <c r="M64" s="1434">
        <f t="shared" si="14"/>
        <v>6</v>
      </c>
      <c r="N64" s="1434">
        <f t="shared" si="14"/>
        <v>3</v>
      </c>
      <c r="O64" s="1434">
        <f t="shared" si="14"/>
        <v>7</v>
      </c>
      <c r="P64" s="1434">
        <f t="shared" si="14"/>
        <v>8</v>
      </c>
      <c r="Q64" s="1434">
        <f t="shared" si="14"/>
        <v>6</v>
      </c>
      <c r="R64" s="1434">
        <f t="shared" si="8"/>
        <v>6</v>
      </c>
      <c r="S64" s="1439">
        <f t="shared" si="13"/>
        <v>1.0752688172043012E-2</v>
      </c>
      <c r="T64" s="1440"/>
    </row>
    <row r="65" spans="1:20" x14ac:dyDescent="0.25">
      <c r="A65" s="1478" t="s">
        <v>75</v>
      </c>
      <c r="B65" s="1425" t="s">
        <v>908</v>
      </c>
      <c r="C65" s="1425" t="s">
        <v>617</v>
      </c>
      <c r="D65" s="1456" t="s">
        <v>1360</v>
      </c>
      <c r="E65" s="1426" t="s">
        <v>592</v>
      </c>
      <c r="F65" s="1425" t="s">
        <v>921</v>
      </c>
      <c r="G65" s="1426" t="s">
        <v>676</v>
      </c>
      <c r="H65" s="1427" t="s">
        <v>777</v>
      </c>
      <c r="I65" s="1428" t="s">
        <v>969</v>
      </c>
      <c r="J65" s="1428" t="s">
        <v>1419</v>
      </c>
      <c r="K65" s="1428" t="s">
        <v>1443</v>
      </c>
      <c r="L65" s="1480" t="s">
        <v>1444</v>
      </c>
      <c r="M65" s="1477" t="s">
        <v>1445</v>
      </c>
      <c r="N65" s="1477" t="s">
        <v>1566</v>
      </c>
      <c r="O65" s="1477" t="s">
        <v>1613</v>
      </c>
      <c r="P65" s="1477" t="s">
        <v>1660</v>
      </c>
      <c r="Q65" s="1477" t="s">
        <v>1749</v>
      </c>
      <c r="R65" s="1481" t="s">
        <v>31</v>
      </c>
      <c r="S65" s="1481" t="s">
        <v>32</v>
      </c>
      <c r="T65" s="1440"/>
    </row>
    <row r="66" spans="1:20" ht="12.75" customHeight="1" x14ac:dyDescent="0.25">
      <c r="A66" s="1445" t="s">
        <v>76</v>
      </c>
      <c r="B66" s="1430">
        <v>2</v>
      </c>
      <c r="C66" s="1430">
        <v>3</v>
      </c>
      <c r="D66" s="1430">
        <v>0</v>
      </c>
      <c r="E66" s="1431">
        <v>0</v>
      </c>
      <c r="F66" s="1430">
        <v>0</v>
      </c>
      <c r="G66" s="1431">
        <v>5</v>
      </c>
      <c r="H66" s="1432">
        <v>5</v>
      </c>
      <c r="I66" s="1432">
        <v>5</v>
      </c>
      <c r="J66" s="1432">
        <v>3</v>
      </c>
      <c r="K66" s="1432">
        <v>3</v>
      </c>
      <c r="L66" s="1432">
        <v>0</v>
      </c>
      <c r="M66" s="1433">
        <v>1</v>
      </c>
      <c r="N66" s="1433">
        <v>3</v>
      </c>
      <c r="O66" s="1433">
        <v>1</v>
      </c>
      <c r="P66" s="1433">
        <v>0</v>
      </c>
      <c r="Q66" s="1433">
        <v>3</v>
      </c>
      <c r="R66" s="1434">
        <f t="shared" si="8"/>
        <v>2</v>
      </c>
      <c r="S66" s="1435">
        <f t="shared" ref="S66:S79" si="15">+Q66/$Q$466</f>
        <v>5.3763440860215058E-3</v>
      </c>
      <c r="T66" s="1440"/>
    </row>
    <row r="67" spans="1:20" ht="12.75" customHeight="1" x14ac:dyDescent="0.25">
      <c r="A67" s="1445" t="s">
        <v>1600</v>
      </c>
      <c r="B67" s="1430"/>
      <c r="C67" s="1430"/>
      <c r="D67" s="1430"/>
      <c r="E67" s="1431"/>
      <c r="F67" s="1430"/>
      <c r="G67" s="1431"/>
      <c r="H67" s="1432"/>
      <c r="I67" s="1432"/>
      <c r="J67" s="1432">
        <v>0</v>
      </c>
      <c r="K67" s="1432">
        <v>0</v>
      </c>
      <c r="L67" s="1432">
        <v>0</v>
      </c>
      <c r="M67" s="1433">
        <v>0</v>
      </c>
      <c r="N67" s="1433">
        <v>1</v>
      </c>
      <c r="O67" s="1433">
        <v>0</v>
      </c>
      <c r="P67" s="1433">
        <v>0</v>
      </c>
      <c r="Q67" s="1433">
        <v>0</v>
      </c>
      <c r="R67" s="1434">
        <f t="shared" si="8"/>
        <v>1</v>
      </c>
      <c r="S67" s="1435">
        <f t="shared" si="15"/>
        <v>0</v>
      </c>
      <c r="T67" s="1440"/>
    </row>
    <row r="68" spans="1:20" x14ac:dyDescent="0.25">
      <c r="A68" s="1445" t="s">
        <v>77</v>
      </c>
      <c r="B68" s="1430">
        <v>0</v>
      </c>
      <c r="C68" s="1430">
        <v>0</v>
      </c>
      <c r="D68" s="1430">
        <v>0</v>
      </c>
      <c r="E68" s="1431">
        <v>0</v>
      </c>
      <c r="F68" s="1430">
        <v>0</v>
      </c>
      <c r="G68" s="1431">
        <v>0</v>
      </c>
      <c r="H68" s="1432">
        <v>0</v>
      </c>
      <c r="I68" s="1432">
        <v>0</v>
      </c>
      <c r="J68" s="1432">
        <v>0</v>
      </c>
      <c r="K68" s="1432">
        <v>0</v>
      </c>
      <c r="L68" s="1432">
        <v>0</v>
      </c>
      <c r="M68" s="1433">
        <v>0</v>
      </c>
      <c r="N68" s="1433">
        <v>0</v>
      </c>
      <c r="O68" s="1433">
        <v>0</v>
      </c>
      <c r="P68" s="1433">
        <v>0</v>
      </c>
      <c r="Q68" s="1433">
        <v>0</v>
      </c>
      <c r="R68" s="1434" t="str">
        <f t="shared" si="8"/>
        <v xml:space="preserve"> </v>
      </c>
      <c r="S68" s="1435">
        <f t="shared" si="15"/>
        <v>0</v>
      </c>
      <c r="T68" s="1440"/>
    </row>
    <row r="69" spans="1:20" x14ac:dyDescent="0.25">
      <c r="A69" s="1445" t="s">
        <v>78</v>
      </c>
      <c r="B69" s="1430">
        <v>0</v>
      </c>
      <c r="C69" s="1430">
        <v>0</v>
      </c>
      <c r="D69" s="1430">
        <v>0</v>
      </c>
      <c r="E69" s="1431">
        <v>0</v>
      </c>
      <c r="F69" s="1430">
        <v>0</v>
      </c>
      <c r="G69" s="1431">
        <v>0</v>
      </c>
      <c r="H69" s="1432">
        <v>0</v>
      </c>
      <c r="I69" s="1432">
        <v>0</v>
      </c>
      <c r="J69" s="1432">
        <v>0</v>
      </c>
      <c r="K69" s="1432">
        <v>0</v>
      </c>
      <c r="L69" s="1432">
        <v>1</v>
      </c>
      <c r="M69" s="1433">
        <v>0</v>
      </c>
      <c r="N69" s="1433">
        <v>1</v>
      </c>
      <c r="O69" s="1433">
        <v>0</v>
      </c>
      <c r="P69" s="1433">
        <v>0</v>
      </c>
      <c r="Q69" s="1433">
        <v>0</v>
      </c>
      <c r="R69" s="1434">
        <f t="shared" si="8"/>
        <v>1</v>
      </c>
      <c r="S69" s="1435">
        <f t="shared" si="15"/>
        <v>0</v>
      </c>
      <c r="T69" s="1440"/>
    </row>
    <row r="70" spans="1:20" x14ac:dyDescent="0.25">
      <c r="A70" s="1445" t="s">
        <v>1476</v>
      </c>
      <c r="B70" s="1430"/>
      <c r="C70" s="1430"/>
      <c r="D70" s="1430"/>
      <c r="E70" s="1431">
        <v>0</v>
      </c>
      <c r="F70" s="1430">
        <v>0</v>
      </c>
      <c r="G70" s="1431">
        <v>0</v>
      </c>
      <c r="H70" s="1432">
        <v>0</v>
      </c>
      <c r="I70" s="1432">
        <v>0</v>
      </c>
      <c r="J70" s="1432">
        <v>0</v>
      </c>
      <c r="K70" s="1432">
        <v>0</v>
      </c>
      <c r="L70" s="1432">
        <v>1</v>
      </c>
      <c r="M70" s="1433">
        <v>0</v>
      </c>
      <c r="N70" s="1433">
        <v>0</v>
      </c>
      <c r="O70" s="1433">
        <v>0</v>
      </c>
      <c r="P70" s="1433">
        <v>0</v>
      </c>
      <c r="Q70" s="1433">
        <v>0</v>
      </c>
      <c r="R70" s="1434" t="str">
        <f t="shared" si="8"/>
        <v xml:space="preserve"> </v>
      </c>
      <c r="S70" s="1435">
        <f t="shared" si="15"/>
        <v>0</v>
      </c>
      <c r="T70" s="1440"/>
    </row>
    <row r="71" spans="1:20" x14ac:dyDescent="0.25">
      <c r="A71" s="1445" t="s">
        <v>102</v>
      </c>
      <c r="B71" s="1430">
        <v>0</v>
      </c>
      <c r="C71" s="1430">
        <v>1</v>
      </c>
      <c r="D71" s="1430">
        <v>1</v>
      </c>
      <c r="E71" s="1431">
        <v>4</v>
      </c>
      <c r="F71" s="1430">
        <v>1</v>
      </c>
      <c r="G71" s="1431">
        <v>1</v>
      </c>
      <c r="H71" s="1432">
        <v>0</v>
      </c>
      <c r="I71" s="1432">
        <v>0</v>
      </c>
      <c r="J71" s="1432">
        <v>1</v>
      </c>
      <c r="K71" s="1432">
        <v>4</v>
      </c>
      <c r="L71" s="1432">
        <v>1</v>
      </c>
      <c r="M71" s="1433">
        <v>1</v>
      </c>
      <c r="N71" s="1433">
        <v>1</v>
      </c>
      <c r="O71" s="1433">
        <v>1</v>
      </c>
      <c r="P71" s="1433">
        <v>2</v>
      </c>
      <c r="Q71" s="1433">
        <v>3</v>
      </c>
      <c r="R71" s="1434">
        <f>IF(Q71+P71+O71+N71+M71=0," ",AVERAGEIF(M71:Q71,"&lt;&gt;0"))</f>
        <v>1.6</v>
      </c>
      <c r="S71" s="1435">
        <f t="shared" si="15"/>
        <v>5.3763440860215058E-3</v>
      </c>
      <c r="T71" s="1440"/>
    </row>
    <row r="72" spans="1:20" x14ac:dyDescent="0.25">
      <c r="A72" s="1445" t="s">
        <v>80</v>
      </c>
      <c r="B72" s="1430">
        <v>1</v>
      </c>
      <c r="C72" s="1430">
        <v>0</v>
      </c>
      <c r="D72" s="1430">
        <v>0</v>
      </c>
      <c r="E72" s="1431">
        <v>0</v>
      </c>
      <c r="F72" s="1430">
        <v>1</v>
      </c>
      <c r="G72" s="1431">
        <v>1</v>
      </c>
      <c r="H72" s="1432">
        <v>0</v>
      </c>
      <c r="I72" s="1432">
        <v>1</v>
      </c>
      <c r="J72" s="1432">
        <v>0</v>
      </c>
      <c r="K72" s="1432">
        <v>0</v>
      </c>
      <c r="L72" s="1432">
        <v>2</v>
      </c>
      <c r="M72" s="1433">
        <v>0</v>
      </c>
      <c r="N72" s="1433">
        <v>0</v>
      </c>
      <c r="O72" s="1433">
        <v>0</v>
      </c>
      <c r="P72" s="1433">
        <v>2</v>
      </c>
      <c r="Q72" s="1433">
        <v>2</v>
      </c>
      <c r="R72" s="1434">
        <f t="shared" si="8"/>
        <v>2</v>
      </c>
      <c r="S72" s="1435">
        <f t="shared" si="15"/>
        <v>3.5842293906810036E-3</v>
      </c>
      <c r="T72" s="1440"/>
    </row>
    <row r="73" spans="1:20" x14ac:dyDescent="0.25">
      <c r="A73" s="1445" t="s">
        <v>81</v>
      </c>
      <c r="B73" s="1430">
        <v>0</v>
      </c>
      <c r="C73" s="1430">
        <v>0</v>
      </c>
      <c r="D73" s="1430">
        <v>0</v>
      </c>
      <c r="E73" s="1431">
        <v>0</v>
      </c>
      <c r="F73" s="1430">
        <v>0</v>
      </c>
      <c r="G73" s="1431">
        <v>0</v>
      </c>
      <c r="H73" s="1432">
        <v>0</v>
      </c>
      <c r="I73" s="1432">
        <v>0</v>
      </c>
      <c r="J73" s="1432">
        <v>0</v>
      </c>
      <c r="K73" s="1432">
        <v>0</v>
      </c>
      <c r="L73" s="1432">
        <v>0</v>
      </c>
      <c r="M73" s="1433">
        <v>0</v>
      </c>
      <c r="N73" s="1433">
        <v>0</v>
      </c>
      <c r="O73" s="1433">
        <v>0</v>
      </c>
      <c r="P73" s="1433">
        <v>0</v>
      </c>
      <c r="Q73" s="1433">
        <v>0</v>
      </c>
      <c r="R73" s="1434" t="str">
        <f t="shared" si="8"/>
        <v xml:space="preserve"> </v>
      </c>
      <c r="S73" s="1435">
        <f t="shared" si="15"/>
        <v>0</v>
      </c>
      <c r="T73" s="1440"/>
    </row>
    <row r="74" spans="1:20" x14ac:dyDescent="0.25">
      <c r="A74" s="1445" t="s">
        <v>1765</v>
      </c>
      <c r="B74" s="1430"/>
      <c r="C74" s="1430"/>
      <c r="D74" s="1430"/>
      <c r="E74" s="2027"/>
      <c r="F74" s="1430"/>
      <c r="G74" s="2027"/>
      <c r="H74" s="2023"/>
      <c r="I74" s="2023"/>
      <c r="J74" s="2023"/>
      <c r="K74" s="2023"/>
      <c r="L74" s="2023"/>
      <c r="M74" s="2021"/>
      <c r="N74" s="2021"/>
      <c r="O74" s="2021"/>
      <c r="P74" s="2021"/>
      <c r="Q74" s="2021">
        <v>1</v>
      </c>
      <c r="R74" s="1434">
        <f>IF(Q74+P74+O74+N74+M74=0," ",AVERAGEIF(M74:Q74,"&lt;&gt;0"))</f>
        <v>1</v>
      </c>
      <c r="S74" s="1435">
        <f t="shared" si="15"/>
        <v>1.7921146953405018E-3</v>
      </c>
      <c r="T74" s="1440"/>
    </row>
    <row r="75" spans="1:20" x14ac:dyDescent="0.25">
      <c r="A75" s="1445" t="s">
        <v>84</v>
      </c>
      <c r="B75" s="1430">
        <v>1</v>
      </c>
      <c r="C75" s="1430">
        <v>0</v>
      </c>
      <c r="D75" s="1430">
        <v>1</v>
      </c>
      <c r="E75" s="1431">
        <v>0</v>
      </c>
      <c r="F75" s="1430">
        <v>1</v>
      </c>
      <c r="G75" s="1431">
        <v>0</v>
      </c>
      <c r="H75" s="1432">
        <v>2</v>
      </c>
      <c r="I75" s="1432">
        <v>0</v>
      </c>
      <c r="J75" s="1432">
        <v>0</v>
      </c>
      <c r="K75" s="1432">
        <v>1</v>
      </c>
      <c r="L75" s="1432">
        <v>0</v>
      </c>
      <c r="M75" s="1433">
        <v>0</v>
      </c>
      <c r="N75" s="1433">
        <v>1</v>
      </c>
      <c r="O75" s="1433">
        <v>4</v>
      </c>
      <c r="P75" s="1433">
        <v>0</v>
      </c>
      <c r="Q75" s="1433">
        <v>0</v>
      </c>
      <c r="R75" s="1434">
        <f t="shared" si="8"/>
        <v>2.5</v>
      </c>
      <c r="S75" s="1435">
        <f t="shared" si="15"/>
        <v>0</v>
      </c>
      <c r="T75" s="1440"/>
    </row>
    <row r="76" spans="1:20" x14ac:dyDescent="0.25">
      <c r="A76" s="1445" t="s">
        <v>85</v>
      </c>
      <c r="B76" s="1430">
        <v>0</v>
      </c>
      <c r="C76" s="1430">
        <v>0</v>
      </c>
      <c r="D76" s="1430">
        <v>0</v>
      </c>
      <c r="E76" s="1431">
        <v>0</v>
      </c>
      <c r="F76" s="1430">
        <v>0</v>
      </c>
      <c r="G76" s="1431">
        <v>0</v>
      </c>
      <c r="H76" s="1432">
        <v>0</v>
      </c>
      <c r="I76" s="1432">
        <v>0</v>
      </c>
      <c r="J76" s="1432">
        <v>0</v>
      </c>
      <c r="K76" s="1432">
        <v>0</v>
      </c>
      <c r="L76" s="1432">
        <v>0</v>
      </c>
      <c r="M76" s="1433">
        <v>0</v>
      </c>
      <c r="N76" s="1433">
        <v>0</v>
      </c>
      <c r="O76" s="1433">
        <v>0</v>
      </c>
      <c r="P76" s="1433">
        <v>0</v>
      </c>
      <c r="Q76" s="1433">
        <v>0</v>
      </c>
      <c r="R76" s="1434" t="str">
        <f t="shared" si="8"/>
        <v xml:space="preserve"> </v>
      </c>
      <c r="S76" s="1435">
        <f t="shared" si="15"/>
        <v>0</v>
      </c>
      <c r="T76" s="1440"/>
    </row>
    <row r="77" spans="1:20" x14ac:dyDescent="0.25">
      <c r="A77" s="1445" t="s">
        <v>86</v>
      </c>
      <c r="B77" s="1430">
        <v>5</v>
      </c>
      <c r="C77" s="1430">
        <v>3</v>
      </c>
      <c r="D77" s="1430">
        <v>3</v>
      </c>
      <c r="E77" s="1431">
        <v>1</v>
      </c>
      <c r="F77" s="1430">
        <v>0</v>
      </c>
      <c r="G77" s="1431">
        <v>0</v>
      </c>
      <c r="H77" s="1432">
        <v>2</v>
      </c>
      <c r="I77" s="1432">
        <v>3</v>
      </c>
      <c r="J77" s="1432">
        <v>2</v>
      </c>
      <c r="K77" s="1432">
        <v>3</v>
      </c>
      <c r="L77" s="1432">
        <v>8</v>
      </c>
      <c r="M77" s="1433">
        <v>2</v>
      </c>
      <c r="N77" s="1433">
        <v>3</v>
      </c>
      <c r="O77" s="1433">
        <v>2</v>
      </c>
      <c r="P77" s="1433">
        <v>3</v>
      </c>
      <c r="Q77" s="1433">
        <v>1</v>
      </c>
      <c r="R77" s="1434">
        <f t="shared" si="8"/>
        <v>2.2000000000000002</v>
      </c>
      <c r="S77" s="1435">
        <f t="shared" si="15"/>
        <v>1.7921146953405018E-3</v>
      </c>
      <c r="T77" s="1440"/>
    </row>
    <row r="78" spans="1:20" x14ac:dyDescent="0.25">
      <c r="A78" s="1445" t="s">
        <v>118</v>
      </c>
      <c r="B78" s="1430">
        <v>0</v>
      </c>
      <c r="C78" s="1430">
        <v>1</v>
      </c>
      <c r="D78" s="1430">
        <v>1</v>
      </c>
      <c r="E78" s="1431">
        <v>2</v>
      </c>
      <c r="F78" s="1430">
        <v>5</v>
      </c>
      <c r="G78" s="1431">
        <v>4</v>
      </c>
      <c r="H78" s="1432">
        <v>3</v>
      </c>
      <c r="I78" s="1432">
        <v>0</v>
      </c>
      <c r="J78" s="1432">
        <v>2</v>
      </c>
      <c r="K78" s="1432">
        <v>1</v>
      </c>
      <c r="L78" s="1432">
        <v>2</v>
      </c>
      <c r="M78" s="1433">
        <v>1</v>
      </c>
      <c r="N78" s="1433">
        <v>0</v>
      </c>
      <c r="O78" s="1433">
        <v>1</v>
      </c>
      <c r="P78" s="1433">
        <v>0</v>
      </c>
      <c r="Q78" s="1433">
        <v>1</v>
      </c>
      <c r="R78" s="1434">
        <f>IF(Q78+P78+O78+N78+M78=0," ",AVERAGEIF(M78:Q78,"&lt;&gt;0"))</f>
        <v>1</v>
      </c>
      <c r="S78" s="1435">
        <f t="shared" si="15"/>
        <v>1.7921146953405018E-3</v>
      </c>
      <c r="T78" s="1440"/>
    </row>
    <row r="79" spans="1:20" x14ac:dyDescent="0.25">
      <c r="A79" s="1449" t="s">
        <v>36</v>
      </c>
      <c r="B79" s="1437">
        <f t="shared" ref="B79:Q79" si="16">SUM(B66:B78)</f>
        <v>9</v>
      </c>
      <c r="C79" s="1437">
        <f t="shared" si="16"/>
        <v>8</v>
      </c>
      <c r="D79" s="1437">
        <f t="shared" si="16"/>
        <v>6</v>
      </c>
      <c r="E79" s="1437">
        <f t="shared" si="16"/>
        <v>7</v>
      </c>
      <c r="F79" s="1437">
        <f t="shared" si="16"/>
        <v>8</v>
      </c>
      <c r="G79" s="1437">
        <f t="shared" si="16"/>
        <v>11</v>
      </c>
      <c r="H79" s="1437">
        <f t="shared" si="16"/>
        <v>12</v>
      </c>
      <c r="I79" s="1437">
        <f t="shared" si="16"/>
        <v>9</v>
      </c>
      <c r="J79" s="1437">
        <f t="shared" si="16"/>
        <v>8</v>
      </c>
      <c r="K79" s="1437">
        <f t="shared" si="16"/>
        <v>12</v>
      </c>
      <c r="L79" s="1437">
        <f t="shared" si="16"/>
        <v>15</v>
      </c>
      <c r="M79" s="1437">
        <f t="shared" si="16"/>
        <v>5</v>
      </c>
      <c r="N79" s="1437">
        <f t="shared" si="16"/>
        <v>10</v>
      </c>
      <c r="O79" s="1437">
        <f t="shared" si="16"/>
        <v>9</v>
      </c>
      <c r="P79" s="1437">
        <f t="shared" si="16"/>
        <v>7</v>
      </c>
      <c r="Q79" s="1437">
        <f t="shared" si="16"/>
        <v>11</v>
      </c>
      <c r="R79" s="1434">
        <f t="shared" si="8"/>
        <v>8.4</v>
      </c>
      <c r="S79" s="1439">
        <f t="shared" si="15"/>
        <v>1.9713261648745518E-2</v>
      </c>
      <c r="T79" s="1440"/>
    </row>
    <row r="80" spans="1:20" x14ac:dyDescent="0.25">
      <c r="A80" s="1478" t="s">
        <v>87</v>
      </c>
      <c r="B80" s="1425" t="s">
        <v>908</v>
      </c>
      <c r="C80" s="1425" t="s">
        <v>617</v>
      </c>
      <c r="D80" s="1425" t="s">
        <v>1360</v>
      </c>
      <c r="E80" s="1426" t="s">
        <v>592</v>
      </c>
      <c r="F80" s="1425" t="s">
        <v>921</v>
      </c>
      <c r="G80" s="1426" t="s">
        <v>676</v>
      </c>
      <c r="H80" s="1427" t="s">
        <v>777</v>
      </c>
      <c r="I80" s="1428" t="s">
        <v>969</v>
      </c>
      <c r="J80" s="1428" t="s">
        <v>1419</v>
      </c>
      <c r="K80" s="1428" t="s">
        <v>1443</v>
      </c>
      <c r="L80" s="1480" t="s">
        <v>1444</v>
      </c>
      <c r="M80" s="1477" t="s">
        <v>1445</v>
      </c>
      <c r="N80" s="1477" t="s">
        <v>1566</v>
      </c>
      <c r="O80" s="1477" t="s">
        <v>1613</v>
      </c>
      <c r="P80" s="1477" t="s">
        <v>1660</v>
      </c>
      <c r="Q80" s="1477" t="s">
        <v>1749</v>
      </c>
      <c r="R80" s="1481" t="s">
        <v>31</v>
      </c>
      <c r="S80" s="1481" t="s">
        <v>32</v>
      </c>
      <c r="T80" s="1440"/>
    </row>
    <row r="81" spans="1:20" x14ac:dyDescent="0.25">
      <c r="A81" s="1445" t="s">
        <v>88</v>
      </c>
      <c r="B81" s="1430">
        <v>0</v>
      </c>
      <c r="C81" s="1430">
        <v>3</v>
      </c>
      <c r="D81" s="1430">
        <v>1</v>
      </c>
      <c r="E81" s="1431">
        <v>1</v>
      </c>
      <c r="F81" s="1430">
        <v>0</v>
      </c>
      <c r="G81" s="1431">
        <v>1</v>
      </c>
      <c r="H81" s="1432">
        <v>5</v>
      </c>
      <c r="I81" s="1432">
        <v>0</v>
      </c>
      <c r="J81" s="1432">
        <v>0</v>
      </c>
      <c r="K81" s="1432">
        <v>0</v>
      </c>
      <c r="L81" s="1432">
        <v>0</v>
      </c>
      <c r="M81" s="1432">
        <v>0</v>
      </c>
      <c r="N81" s="1432">
        <v>2</v>
      </c>
      <c r="O81" s="1432">
        <v>0</v>
      </c>
      <c r="P81" s="1432">
        <v>0</v>
      </c>
      <c r="Q81" s="1432">
        <v>0</v>
      </c>
      <c r="R81" s="1434">
        <f t="shared" si="8"/>
        <v>2</v>
      </c>
      <c r="S81" s="1435">
        <f>+Q81/$Q$466</f>
        <v>0</v>
      </c>
      <c r="T81" s="1440"/>
    </row>
    <row r="82" spans="1:20" x14ac:dyDescent="0.25">
      <c r="A82" s="1445" t="s">
        <v>89</v>
      </c>
      <c r="B82" s="1430">
        <v>1</v>
      </c>
      <c r="C82" s="1430">
        <v>2</v>
      </c>
      <c r="D82" s="1430">
        <v>0</v>
      </c>
      <c r="E82" s="1431">
        <v>0</v>
      </c>
      <c r="F82" s="1430">
        <v>0</v>
      </c>
      <c r="G82" s="1431">
        <v>1</v>
      </c>
      <c r="H82" s="1432">
        <v>0</v>
      </c>
      <c r="I82" s="1432">
        <v>0</v>
      </c>
      <c r="J82" s="1432">
        <v>0</v>
      </c>
      <c r="K82" s="1432">
        <v>0</v>
      </c>
      <c r="L82" s="1432">
        <v>1</v>
      </c>
      <c r="M82" s="1432">
        <v>0</v>
      </c>
      <c r="N82" s="1432">
        <v>1</v>
      </c>
      <c r="O82" s="1432">
        <v>0</v>
      </c>
      <c r="P82" s="1432">
        <v>0</v>
      </c>
      <c r="Q82" s="1432">
        <v>0</v>
      </c>
      <c r="R82" s="1434">
        <f t="shared" si="8"/>
        <v>1</v>
      </c>
      <c r="S82" s="1435">
        <f>+Q82/$Q$466</f>
        <v>0</v>
      </c>
      <c r="T82" s="1440"/>
    </row>
    <row r="83" spans="1:20" x14ac:dyDescent="0.25">
      <c r="A83" s="1449" t="s">
        <v>36</v>
      </c>
      <c r="B83" s="1437">
        <f t="shared" ref="B83:J83" si="17">SUM(B81:B82)</f>
        <v>1</v>
      </c>
      <c r="C83" s="1437">
        <f t="shared" si="17"/>
        <v>5</v>
      </c>
      <c r="D83" s="1437">
        <f t="shared" si="17"/>
        <v>1</v>
      </c>
      <c r="E83" s="1438">
        <f t="shared" si="17"/>
        <v>1</v>
      </c>
      <c r="F83" s="1437">
        <f t="shared" si="17"/>
        <v>0</v>
      </c>
      <c r="G83" s="1438">
        <f t="shared" si="17"/>
        <v>2</v>
      </c>
      <c r="H83" s="1434">
        <f t="shared" si="17"/>
        <v>5</v>
      </c>
      <c r="I83" s="1434">
        <f t="shared" si="17"/>
        <v>0</v>
      </c>
      <c r="J83" s="1434">
        <f t="shared" si="17"/>
        <v>0</v>
      </c>
      <c r="K83" s="1434">
        <f>SUM(K81:K82)</f>
        <v>0</v>
      </c>
      <c r="L83" s="1434">
        <f>SUM(L81:L82)</f>
        <v>1</v>
      </c>
      <c r="M83" s="1434">
        <f>SUM(M81:M82)</f>
        <v>0</v>
      </c>
      <c r="N83" s="1434">
        <f>SUM(N81:N82)</f>
        <v>3</v>
      </c>
      <c r="O83" s="1434">
        <f>+O82+O81</f>
        <v>0</v>
      </c>
      <c r="P83" s="1434">
        <f>+P82+P81</f>
        <v>0</v>
      </c>
      <c r="Q83" s="1434">
        <f>+Q82+Q81</f>
        <v>0</v>
      </c>
      <c r="R83" s="1434">
        <f t="shared" si="8"/>
        <v>3</v>
      </c>
      <c r="S83" s="1439">
        <f>+Q83/$Q$466</f>
        <v>0</v>
      </c>
      <c r="T83" s="1440"/>
    </row>
    <row r="84" spans="1:20" x14ac:dyDescent="0.25">
      <c r="A84" s="1478" t="s">
        <v>90</v>
      </c>
      <c r="B84" s="1425" t="s">
        <v>908</v>
      </c>
      <c r="C84" s="1425" t="s">
        <v>617</v>
      </c>
      <c r="D84" s="1425" t="s">
        <v>1360</v>
      </c>
      <c r="E84" s="1426" t="s">
        <v>592</v>
      </c>
      <c r="F84" s="1425" t="s">
        <v>921</v>
      </c>
      <c r="G84" s="1426" t="s">
        <v>676</v>
      </c>
      <c r="H84" s="1427" t="s">
        <v>777</v>
      </c>
      <c r="I84" s="1428" t="s">
        <v>969</v>
      </c>
      <c r="J84" s="1428" t="s">
        <v>1419</v>
      </c>
      <c r="K84" s="1428" t="s">
        <v>1443</v>
      </c>
      <c r="L84" s="1480" t="s">
        <v>1444</v>
      </c>
      <c r="M84" s="1477" t="s">
        <v>1445</v>
      </c>
      <c r="N84" s="1477" t="s">
        <v>1566</v>
      </c>
      <c r="O84" s="1477" t="s">
        <v>1613</v>
      </c>
      <c r="P84" s="1477" t="s">
        <v>1660</v>
      </c>
      <c r="Q84" s="1477" t="s">
        <v>1749</v>
      </c>
      <c r="R84" s="1481" t="s">
        <v>31</v>
      </c>
      <c r="S84" s="1481" t="s">
        <v>32</v>
      </c>
      <c r="T84" s="1440"/>
    </row>
    <row r="85" spans="1:20" x14ac:dyDescent="0.25">
      <c r="A85" s="1445" t="s">
        <v>91</v>
      </c>
      <c r="B85" s="1430">
        <v>1</v>
      </c>
      <c r="C85" s="1430">
        <v>0</v>
      </c>
      <c r="D85" s="1430">
        <v>0</v>
      </c>
      <c r="E85" s="1431">
        <v>0</v>
      </c>
      <c r="F85" s="1430">
        <v>1</v>
      </c>
      <c r="G85" s="1431">
        <v>0</v>
      </c>
      <c r="H85" s="1432">
        <v>0</v>
      </c>
      <c r="I85" s="1432">
        <v>0</v>
      </c>
      <c r="J85" s="1432">
        <v>0</v>
      </c>
      <c r="K85" s="1432">
        <v>0</v>
      </c>
      <c r="L85" s="1432">
        <v>1</v>
      </c>
      <c r="M85" s="1432">
        <v>0</v>
      </c>
      <c r="N85" s="1432">
        <v>0</v>
      </c>
      <c r="O85" s="1432">
        <v>0</v>
      </c>
      <c r="P85" s="1432">
        <v>0</v>
      </c>
      <c r="Q85" s="1432">
        <v>0</v>
      </c>
      <c r="R85" s="1434" t="str">
        <f t="shared" si="8"/>
        <v xml:space="preserve"> </v>
      </c>
      <c r="S85" s="1435">
        <f t="shared" ref="S85:S120" si="18">+Q85/$Q$466</f>
        <v>0</v>
      </c>
      <c r="T85" s="1440"/>
    </row>
    <row r="86" spans="1:20" x14ac:dyDescent="0.25">
      <c r="A86" s="1445" t="s">
        <v>92</v>
      </c>
      <c r="B86" s="1430">
        <v>0</v>
      </c>
      <c r="C86" s="1430">
        <v>0</v>
      </c>
      <c r="D86" s="1430">
        <v>0</v>
      </c>
      <c r="E86" s="1431">
        <v>0</v>
      </c>
      <c r="F86" s="1430">
        <v>0</v>
      </c>
      <c r="G86" s="1431">
        <v>0</v>
      </c>
      <c r="H86" s="1432">
        <v>0</v>
      </c>
      <c r="I86" s="1432">
        <v>0</v>
      </c>
      <c r="J86" s="1432">
        <v>0</v>
      </c>
      <c r="K86" s="1432">
        <v>0</v>
      </c>
      <c r="L86" s="1432">
        <v>0</v>
      </c>
      <c r="M86" s="1432">
        <v>0</v>
      </c>
      <c r="N86" s="1432">
        <v>0</v>
      </c>
      <c r="O86" s="1432">
        <v>0</v>
      </c>
      <c r="P86" s="1432">
        <v>0</v>
      </c>
      <c r="Q86" s="1432">
        <v>0</v>
      </c>
      <c r="R86" s="1434" t="str">
        <f t="shared" si="8"/>
        <v xml:space="preserve"> </v>
      </c>
      <c r="S86" s="1435">
        <f t="shared" si="18"/>
        <v>0</v>
      </c>
      <c r="T86" s="1440"/>
    </row>
    <row r="87" spans="1:20" x14ac:dyDescent="0.25">
      <c r="A87" s="1445" t="s">
        <v>93</v>
      </c>
      <c r="B87" s="1430">
        <v>0</v>
      </c>
      <c r="C87" s="1430">
        <v>0</v>
      </c>
      <c r="D87" s="1430">
        <v>0</v>
      </c>
      <c r="E87" s="1431">
        <v>0</v>
      </c>
      <c r="F87" s="1430">
        <v>0</v>
      </c>
      <c r="G87" s="1431">
        <v>0</v>
      </c>
      <c r="H87" s="1432">
        <v>0</v>
      </c>
      <c r="I87" s="1432">
        <v>0</v>
      </c>
      <c r="J87" s="1432">
        <v>0</v>
      </c>
      <c r="K87" s="1432">
        <v>0</v>
      </c>
      <c r="L87" s="1432">
        <v>0</v>
      </c>
      <c r="M87" s="1432">
        <v>0</v>
      </c>
      <c r="N87" s="1432">
        <v>0</v>
      </c>
      <c r="O87" s="1432">
        <v>0</v>
      </c>
      <c r="P87" s="1432">
        <v>0</v>
      </c>
      <c r="Q87" s="1432">
        <v>0</v>
      </c>
      <c r="R87" s="1434" t="str">
        <f t="shared" si="8"/>
        <v xml:space="preserve"> </v>
      </c>
      <c r="S87" s="1435">
        <f t="shared" si="18"/>
        <v>0</v>
      </c>
      <c r="T87" s="1440"/>
    </row>
    <row r="88" spans="1:20" x14ac:dyDescent="0.25">
      <c r="A88" s="1445" t="s">
        <v>94</v>
      </c>
      <c r="B88" s="1430">
        <v>0</v>
      </c>
      <c r="C88" s="1430">
        <v>0</v>
      </c>
      <c r="D88" s="1430">
        <v>1</v>
      </c>
      <c r="E88" s="1431">
        <v>0</v>
      </c>
      <c r="F88" s="1430">
        <v>0</v>
      </c>
      <c r="G88" s="1431">
        <v>0</v>
      </c>
      <c r="H88" s="1432">
        <v>0</v>
      </c>
      <c r="I88" s="1432">
        <v>0</v>
      </c>
      <c r="J88" s="1432">
        <v>0</v>
      </c>
      <c r="K88" s="1432">
        <v>1</v>
      </c>
      <c r="L88" s="1432">
        <v>0</v>
      </c>
      <c r="M88" s="1432">
        <v>0</v>
      </c>
      <c r="N88" s="1432">
        <v>0</v>
      </c>
      <c r="O88" s="1432">
        <v>0</v>
      </c>
      <c r="P88" s="1432">
        <v>3</v>
      </c>
      <c r="Q88" s="1432">
        <v>0</v>
      </c>
      <c r="R88" s="1434">
        <f t="shared" si="8"/>
        <v>3</v>
      </c>
      <c r="S88" s="1435">
        <f t="shared" si="18"/>
        <v>0</v>
      </c>
      <c r="T88" s="1440"/>
    </row>
    <row r="89" spans="1:20" x14ac:dyDescent="0.25">
      <c r="A89" s="1445" t="s">
        <v>95</v>
      </c>
      <c r="B89" s="1430">
        <v>7</v>
      </c>
      <c r="C89" s="1430">
        <v>1</v>
      </c>
      <c r="D89" s="1430">
        <v>0</v>
      </c>
      <c r="E89" s="1431">
        <v>2</v>
      </c>
      <c r="F89" s="1430">
        <v>1</v>
      </c>
      <c r="G89" s="1431">
        <v>0</v>
      </c>
      <c r="H89" s="1432">
        <v>1</v>
      </c>
      <c r="I89" s="1432">
        <v>1</v>
      </c>
      <c r="J89" s="1432">
        <v>0</v>
      </c>
      <c r="K89" s="1432">
        <v>3</v>
      </c>
      <c r="L89" s="1432">
        <v>1</v>
      </c>
      <c r="M89" s="1433">
        <v>2</v>
      </c>
      <c r="N89" s="1433">
        <v>0</v>
      </c>
      <c r="O89" s="1433">
        <v>0</v>
      </c>
      <c r="P89" s="1433">
        <v>2</v>
      </c>
      <c r="Q89" s="1433">
        <v>1</v>
      </c>
      <c r="R89" s="1434">
        <f>IF(Q89+P89+O89+N89+M89=0," ",AVERAGEIF(M89:Q89,"&lt;&gt;0"))</f>
        <v>1.6666666666666667</v>
      </c>
      <c r="S89" s="1435">
        <f t="shared" si="18"/>
        <v>1.7921146953405018E-3</v>
      </c>
      <c r="T89" s="1440"/>
    </row>
    <row r="90" spans="1:20" x14ac:dyDescent="0.25">
      <c r="A90" s="1445" t="s">
        <v>96</v>
      </c>
      <c r="B90" s="1430">
        <v>0</v>
      </c>
      <c r="C90" s="1430">
        <v>2</v>
      </c>
      <c r="D90" s="1430">
        <v>0</v>
      </c>
      <c r="E90" s="1431">
        <v>0</v>
      </c>
      <c r="F90" s="1430">
        <v>0</v>
      </c>
      <c r="G90" s="1431">
        <v>0</v>
      </c>
      <c r="H90" s="1432">
        <v>0</v>
      </c>
      <c r="I90" s="1432">
        <v>0</v>
      </c>
      <c r="J90" s="1432">
        <v>0</v>
      </c>
      <c r="K90" s="1432">
        <v>0</v>
      </c>
      <c r="L90" s="1432">
        <v>0</v>
      </c>
      <c r="M90" s="1432">
        <v>0</v>
      </c>
      <c r="N90" s="1432">
        <v>0</v>
      </c>
      <c r="O90" s="1432">
        <v>0</v>
      </c>
      <c r="P90" s="1432">
        <v>0</v>
      </c>
      <c r="Q90" s="1432">
        <v>0</v>
      </c>
      <c r="R90" s="1434" t="str">
        <f t="shared" si="8"/>
        <v xml:space="preserve"> </v>
      </c>
      <c r="S90" s="1435">
        <f t="shared" si="18"/>
        <v>0</v>
      </c>
      <c r="T90" s="1440"/>
    </row>
    <row r="91" spans="1:20" x14ac:dyDescent="0.25">
      <c r="A91" s="1445" t="s">
        <v>1477</v>
      </c>
      <c r="B91" s="1430"/>
      <c r="C91" s="1430"/>
      <c r="D91" s="1430"/>
      <c r="E91" s="1431">
        <v>0</v>
      </c>
      <c r="F91" s="1430">
        <v>0</v>
      </c>
      <c r="G91" s="1431">
        <v>0</v>
      </c>
      <c r="H91" s="1432">
        <v>0</v>
      </c>
      <c r="I91" s="1432">
        <v>0</v>
      </c>
      <c r="J91" s="1432">
        <v>0</v>
      </c>
      <c r="K91" s="1432">
        <v>0</v>
      </c>
      <c r="L91" s="1432">
        <v>1</v>
      </c>
      <c r="M91" s="1433">
        <v>1</v>
      </c>
      <c r="N91" s="1433">
        <v>0</v>
      </c>
      <c r="O91" s="1433">
        <v>0</v>
      </c>
      <c r="P91" s="1433">
        <v>0</v>
      </c>
      <c r="Q91" s="1433">
        <v>0</v>
      </c>
      <c r="R91" s="1434">
        <f t="shared" si="8"/>
        <v>1</v>
      </c>
      <c r="S91" s="1435">
        <f t="shared" si="18"/>
        <v>0</v>
      </c>
      <c r="T91" s="1440"/>
    </row>
    <row r="92" spans="1:20" x14ac:dyDescent="0.25">
      <c r="A92" s="1445" t="s">
        <v>1587</v>
      </c>
      <c r="B92" s="1430">
        <v>0</v>
      </c>
      <c r="C92" s="1430">
        <v>0</v>
      </c>
      <c r="D92" s="1430">
        <v>0</v>
      </c>
      <c r="E92" s="1431">
        <v>0</v>
      </c>
      <c r="F92" s="1430">
        <v>0</v>
      </c>
      <c r="G92" s="1431">
        <v>0</v>
      </c>
      <c r="H92" s="1432">
        <v>0</v>
      </c>
      <c r="I92" s="1432">
        <v>0</v>
      </c>
      <c r="J92" s="1432">
        <v>0</v>
      </c>
      <c r="K92" s="1432">
        <v>0</v>
      </c>
      <c r="L92" s="1432">
        <v>0</v>
      </c>
      <c r="M92" s="1433">
        <v>0</v>
      </c>
      <c r="N92" s="1433">
        <v>1</v>
      </c>
      <c r="O92" s="1433">
        <v>0</v>
      </c>
      <c r="P92" s="1433">
        <v>0</v>
      </c>
      <c r="Q92" s="1433">
        <v>0</v>
      </c>
      <c r="R92" s="1434">
        <f t="shared" si="8"/>
        <v>1</v>
      </c>
      <c r="S92" s="1435">
        <f t="shared" si="18"/>
        <v>0</v>
      </c>
      <c r="T92" s="1440"/>
    </row>
    <row r="93" spans="1:20" x14ac:dyDescent="0.25">
      <c r="A93" s="1445" t="s">
        <v>1079</v>
      </c>
      <c r="B93" s="1430">
        <v>0</v>
      </c>
      <c r="C93" s="1430">
        <v>0</v>
      </c>
      <c r="D93" s="1430">
        <v>0</v>
      </c>
      <c r="E93" s="1431">
        <v>0</v>
      </c>
      <c r="F93" s="1430">
        <v>1</v>
      </c>
      <c r="G93" s="1431">
        <v>0</v>
      </c>
      <c r="H93" s="1432">
        <v>1</v>
      </c>
      <c r="I93" s="1432">
        <v>0</v>
      </c>
      <c r="J93" s="1432">
        <v>0</v>
      </c>
      <c r="K93" s="1432">
        <v>0</v>
      </c>
      <c r="L93" s="1432">
        <v>0</v>
      </c>
      <c r="M93" s="1433">
        <v>0</v>
      </c>
      <c r="N93" s="1433">
        <v>0</v>
      </c>
      <c r="O93" s="1433">
        <v>0</v>
      </c>
      <c r="P93" s="1433">
        <v>0</v>
      </c>
      <c r="Q93" s="1433">
        <v>0</v>
      </c>
      <c r="R93" s="1434" t="str">
        <f t="shared" si="8"/>
        <v xml:space="preserve"> </v>
      </c>
      <c r="S93" s="1435">
        <f t="shared" si="18"/>
        <v>0</v>
      </c>
      <c r="T93" s="1440"/>
    </row>
    <row r="94" spans="1:20" x14ac:dyDescent="0.25">
      <c r="A94" s="1445" t="s">
        <v>97</v>
      </c>
      <c r="B94" s="1430">
        <v>0</v>
      </c>
      <c r="C94" s="1430">
        <v>0</v>
      </c>
      <c r="D94" s="1430">
        <v>1</v>
      </c>
      <c r="E94" s="1431">
        <v>0</v>
      </c>
      <c r="F94" s="1430">
        <v>1</v>
      </c>
      <c r="G94" s="1431">
        <v>1</v>
      </c>
      <c r="H94" s="1432">
        <v>0</v>
      </c>
      <c r="I94" s="1432">
        <v>0</v>
      </c>
      <c r="J94" s="1432">
        <v>1</v>
      </c>
      <c r="K94" s="1432">
        <v>0</v>
      </c>
      <c r="L94" s="1432">
        <v>0</v>
      </c>
      <c r="M94" s="1433">
        <v>1</v>
      </c>
      <c r="N94" s="1433">
        <v>0</v>
      </c>
      <c r="O94" s="1433">
        <v>0</v>
      </c>
      <c r="P94" s="1433">
        <v>0</v>
      </c>
      <c r="Q94" s="1433">
        <v>0</v>
      </c>
      <c r="R94" s="1434">
        <f t="shared" si="8"/>
        <v>1</v>
      </c>
      <c r="S94" s="1435">
        <f t="shared" si="18"/>
        <v>0</v>
      </c>
      <c r="T94" s="1440"/>
    </row>
    <row r="95" spans="1:20" x14ac:dyDescent="0.25">
      <c r="A95" s="1445" t="s">
        <v>98</v>
      </c>
      <c r="B95" s="1430">
        <v>0</v>
      </c>
      <c r="C95" s="1430">
        <v>0</v>
      </c>
      <c r="D95" s="1430">
        <v>0</v>
      </c>
      <c r="E95" s="1431">
        <v>0</v>
      </c>
      <c r="F95" s="1430">
        <v>0</v>
      </c>
      <c r="G95" s="1431">
        <v>0</v>
      </c>
      <c r="H95" s="1432">
        <v>0</v>
      </c>
      <c r="I95" s="1432">
        <v>0</v>
      </c>
      <c r="J95" s="1432">
        <v>0</v>
      </c>
      <c r="K95" s="1432">
        <v>0</v>
      </c>
      <c r="L95" s="1432">
        <v>0</v>
      </c>
      <c r="M95" s="1432">
        <v>0</v>
      </c>
      <c r="N95" s="1432">
        <v>0</v>
      </c>
      <c r="O95" s="1432">
        <v>0</v>
      </c>
      <c r="P95" s="1432">
        <v>0</v>
      </c>
      <c r="Q95" s="1432">
        <v>0</v>
      </c>
      <c r="R95" s="1434" t="str">
        <f t="shared" si="8"/>
        <v xml:space="preserve"> </v>
      </c>
      <c r="S95" s="1435">
        <f t="shared" si="18"/>
        <v>0</v>
      </c>
      <c r="T95" s="1440"/>
    </row>
    <row r="96" spans="1:20" x14ac:dyDescent="0.25">
      <c r="A96" s="1445" t="s">
        <v>99</v>
      </c>
      <c r="B96" s="1430">
        <v>0</v>
      </c>
      <c r="C96" s="1430">
        <v>0</v>
      </c>
      <c r="D96" s="1430">
        <v>0</v>
      </c>
      <c r="E96" s="1431">
        <v>0</v>
      </c>
      <c r="F96" s="1430">
        <v>0</v>
      </c>
      <c r="G96" s="1431">
        <v>0</v>
      </c>
      <c r="H96" s="1432">
        <v>0</v>
      </c>
      <c r="I96" s="1432">
        <v>0</v>
      </c>
      <c r="J96" s="1432">
        <v>0</v>
      </c>
      <c r="K96" s="1432">
        <v>0</v>
      </c>
      <c r="L96" s="1432">
        <v>0</v>
      </c>
      <c r="M96" s="1432">
        <v>0</v>
      </c>
      <c r="N96" s="1432">
        <v>0</v>
      </c>
      <c r="O96" s="1432">
        <v>0</v>
      </c>
      <c r="P96" s="1432">
        <v>0</v>
      </c>
      <c r="Q96" s="1432">
        <v>0</v>
      </c>
      <c r="R96" s="1434" t="str">
        <f t="shared" si="8"/>
        <v xml:space="preserve"> </v>
      </c>
      <c r="S96" s="1435">
        <f t="shared" si="18"/>
        <v>0</v>
      </c>
      <c r="T96" s="1440"/>
    </row>
    <row r="97" spans="1:20" x14ac:dyDescent="0.25">
      <c r="A97" s="1445" t="s">
        <v>100</v>
      </c>
      <c r="B97" s="1430">
        <v>0</v>
      </c>
      <c r="C97" s="1430">
        <v>0</v>
      </c>
      <c r="D97" s="1430">
        <v>0</v>
      </c>
      <c r="E97" s="1431">
        <v>0</v>
      </c>
      <c r="F97" s="1430">
        <v>0</v>
      </c>
      <c r="G97" s="1431">
        <v>0</v>
      </c>
      <c r="H97" s="1432">
        <v>0</v>
      </c>
      <c r="I97" s="1432">
        <v>0</v>
      </c>
      <c r="J97" s="1432">
        <v>0</v>
      </c>
      <c r="K97" s="1432">
        <v>0</v>
      </c>
      <c r="L97" s="1432">
        <v>0</v>
      </c>
      <c r="M97" s="1432">
        <v>0</v>
      </c>
      <c r="N97" s="1432">
        <v>0</v>
      </c>
      <c r="O97" s="1432">
        <v>0</v>
      </c>
      <c r="P97" s="1432">
        <v>0</v>
      </c>
      <c r="Q97" s="1432">
        <v>0</v>
      </c>
      <c r="R97" s="1434" t="str">
        <f t="shared" si="8"/>
        <v xml:space="preserve"> </v>
      </c>
      <c r="S97" s="1435">
        <f t="shared" si="18"/>
        <v>0</v>
      </c>
      <c r="T97" s="1440"/>
    </row>
    <row r="98" spans="1:20" x14ac:dyDescent="0.25">
      <c r="A98" s="1445" t="s">
        <v>101</v>
      </c>
      <c r="B98" s="1430">
        <v>1</v>
      </c>
      <c r="C98" s="1430">
        <v>2</v>
      </c>
      <c r="D98" s="1430">
        <v>1</v>
      </c>
      <c r="E98" s="1431">
        <v>0</v>
      </c>
      <c r="F98" s="1430">
        <v>0</v>
      </c>
      <c r="G98" s="1431">
        <v>0</v>
      </c>
      <c r="H98" s="1432">
        <v>0</v>
      </c>
      <c r="I98" s="1432">
        <v>0</v>
      </c>
      <c r="J98" s="1432">
        <v>2</v>
      </c>
      <c r="K98" s="1432">
        <v>0</v>
      </c>
      <c r="L98" s="1432">
        <v>0</v>
      </c>
      <c r="M98" s="1432">
        <v>0</v>
      </c>
      <c r="N98" s="1432">
        <v>0</v>
      </c>
      <c r="O98" s="1432">
        <v>0</v>
      </c>
      <c r="P98" s="1432">
        <v>0</v>
      </c>
      <c r="Q98" s="1432">
        <v>1</v>
      </c>
      <c r="R98" s="1434">
        <f t="shared" si="8"/>
        <v>1</v>
      </c>
      <c r="S98" s="1435">
        <f t="shared" si="18"/>
        <v>1.7921146953405018E-3</v>
      </c>
      <c r="T98" s="1440"/>
    </row>
    <row r="99" spans="1:20" x14ac:dyDescent="0.25">
      <c r="A99" s="1445" t="s">
        <v>516</v>
      </c>
      <c r="B99" s="1430">
        <v>0</v>
      </c>
      <c r="C99" s="1430">
        <v>0</v>
      </c>
      <c r="D99" s="1430">
        <v>0</v>
      </c>
      <c r="E99" s="1431">
        <v>0</v>
      </c>
      <c r="F99" s="1430">
        <v>0</v>
      </c>
      <c r="G99" s="1431">
        <v>1</v>
      </c>
      <c r="H99" s="1432">
        <v>1</v>
      </c>
      <c r="I99" s="1432">
        <v>0</v>
      </c>
      <c r="J99" s="1432">
        <v>1</v>
      </c>
      <c r="K99" s="1432">
        <v>0</v>
      </c>
      <c r="L99" s="1432">
        <v>2</v>
      </c>
      <c r="M99" s="1432">
        <v>0</v>
      </c>
      <c r="N99" s="1432">
        <v>1</v>
      </c>
      <c r="O99" s="1432">
        <v>2</v>
      </c>
      <c r="P99" s="1432">
        <v>0</v>
      </c>
      <c r="Q99" s="1432">
        <v>0</v>
      </c>
      <c r="R99" s="1434">
        <f t="shared" ref="R99:R120" si="19">IF(Q99+P99+O99+N99+M99=0," ",AVERAGEIF(M99:Q99,"&lt;&gt;0"))</f>
        <v>1.5</v>
      </c>
      <c r="S99" s="1435">
        <f t="shared" si="18"/>
        <v>0</v>
      </c>
      <c r="T99" s="1440"/>
    </row>
    <row r="100" spans="1:20" x14ac:dyDescent="0.25">
      <c r="A100" s="1445" t="s">
        <v>103</v>
      </c>
      <c r="B100" s="1430">
        <v>0</v>
      </c>
      <c r="C100" s="1430">
        <v>2</v>
      </c>
      <c r="D100" s="1430">
        <v>0</v>
      </c>
      <c r="E100" s="1431">
        <v>0</v>
      </c>
      <c r="F100" s="1430">
        <v>4</v>
      </c>
      <c r="G100" s="1431">
        <v>0</v>
      </c>
      <c r="H100" s="1432">
        <v>0</v>
      </c>
      <c r="I100" s="1432">
        <v>0</v>
      </c>
      <c r="J100" s="1432">
        <v>0</v>
      </c>
      <c r="K100" s="1432">
        <v>0</v>
      </c>
      <c r="L100" s="1432">
        <v>0</v>
      </c>
      <c r="M100" s="1433">
        <v>0</v>
      </c>
      <c r="N100" s="1433">
        <v>0</v>
      </c>
      <c r="O100" s="1433">
        <v>0</v>
      </c>
      <c r="P100" s="1433">
        <v>0</v>
      </c>
      <c r="Q100" s="1433">
        <v>0</v>
      </c>
      <c r="R100" s="1434" t="str">
        <f t="shared" si="19"/>
        <v xml:space="preserve"> </v>
      </c>
      <c r="S100" s="1435">
        <f t="shared" si="18"/>
        <v>0</v>
      </c>
      <c r="T100" s="1440"/>
    </row>
    <row r="101" spans="1:20" x14ac:dyDescent="0.25">
      <c r="A101" s="1445" t="s">
        <v>780</v>
      </c>
      <c r="B101" s="1430"/>
      <c r="C101" s="1430">
        <v>0</v>
      </c>
      <c r="D101" s="1430">
        <v>0</v>
      </c>
      <c r="E101" s="1431">
        <v>0</v>
      </c>
      <c r="F101" s="1430">
        <v>0</v>
      </c>
      <c r="G101" s="1431">
        <v>0</v>
      </c>
      <c r="H101" s="1432">
        <v>2</v>
      </c>
      <c r="I101" s="1432">
        <v>0</v>
      </c>
      <c r="J101" s="1432">
        <v>0</v>
      </c>
      <c r="K101" s="1432">
        <v>0</v>
      </c>
      <c r="L101" s="1432">
        <v>0</v>
      </c>
      <c r="M101" s="1433">
        <v>0</v>
      </c>
      <c r="N101" s="1433">
        <v>0</v>
      </c>
      <c r="O101" s="1433">
        <v>0</v>
      </c>
      <c r="P101" s="1433">
        <v>0</v>
      </c>
      <c r="Q101" s="1433">
        <v>0</v>
      </c>
      <c r="R101" s="1434" t="str">
        <f t="shared" si="19"/>
        <v xml:space="preserve"> </v>
      </c>
      <c r="S101" s="1435">
        <f t="shared" si="18"/>
        <v>0</v>
      </c>
      <c r="T101" s="1440"/>
    </row>
    <row r="102" spans="1:20" x14ac:dyDescent="0.25">
      <c r="A102" s="1445" t="s">
        <v>104</v>
      </c>
      <c r="B102" s="1430">
        <v>1</v>
      </c>
      <c r="C102" s="1430">
        <v>0</v>
      </c>
      <c r="D102" s="1430">
        <v>1</v>
      </c>
      <c r="E102" s="1431">
        <v>0</v>
      </c>
      <c r="F102" s="1430">
        <v>1</v>
      </c>
      <c r="G102" s="1431">
        <v>3</v>
      </c>
      <c r="H102" s="1432">
        <v>2</v>
      </c>
      <c r="I102" s="1432">
        <v>3</v>
      </c>
      <c r="J102" s="1432">
        <v>0</v>
      </c>
      <c r="K102" s="1432">
        <v>1</v>
      </c>
      <c r="L102" s="1432">
        <v>1</v>
      </c>
      <c r="M102" s="1433">
        <v>5</v>
      </c>
      <c r="N102" s="1433">
        <v>1</v>
      </c>
      <c r="O102" s="1433">
        <v>6</v>
      </c>
      <c r="P102" s="1433">
        <v>2</v>
      </c>
      <c r="Q102" s="1433">
        <v>4</v>
      </c>
      <c r="R102" s="1434">
        <f t="shared" si="19"/>
        <v>3.6</v>
      </c>
      <c r="S102" s="1435">
        <f t="shared" si="18"/>
        <v>7.1684587813620072E-3</v>
      </c>
      <c r="T102" s="1440"/>
    </row>
    <row r="103" spans="1:20" x14ac:dyDescent="0.25">
      <c r="A103" s="1445" t="s">
        <v>105</v>
      </c>
      <c r="B103" s="1430">
        <v>0</v>
      </c>
      <c r="C103" s="1430">
        <v>0</v>
      </c>
      <c r="D103" s="1430">
        <v>0</v>
      </c>
      <c r="E103" s="1431">
        <v>0</v>
      </c>
      <c r="F103" s="1430">
        <v>0</v>
      </c>
      <c r="G103" s="1431">
        <v>0</v>
      </c>
      <c r="H103" s="1432">
        <v>0</v>
      </c>
      <c r="I103" s="1432">
        <v>0</v>
      </c>
      <c r="J103" s="1432">
        <v>1</v>
      </c>
      <c r="K103" s="1432">
        <v>2</v>
      </c>
      <c r="L103" s="1432">
        <v>0</v>
      </c>
      <c r="M103" s="1433">
        <v>0</v>
      </c>
      <c r="N103" s="1433">
        <v>1</v>
      </c>
      <c r="O103" s="1433">
        <v>0</v>
      </c>
      <c r="P103" s="1433">
        <v>0</v>
      </c>
      <c r="Q103" s="1433">
        <v>0</v>
      </c>
      <c r="R103" s="1434">
        <f t="shared" si="19"/>
        <v>1</v>
      </c>
      <c r="S103" s="1435">
        <f t="shared" si="18"/>
        <v>0</v>
      </c>
      <c r="T103" s="1440"/>
    </row>
    <row r="104" spans="1:20" x14ac:dyDescent="0.25">
      <c r="A104" s="1445" t="s">
        <v>106</v>
      </c>
      <c r="B104" s="1430">
        <v>0</v>
      </c>
      <c r="C104" s="1430">
        <v>0</v>
      </c>
      <c r="D104" s="1430">
        <v>0</v>
      </c>
      <c r="E104" s="1431">
        <v>0</v>
      </c>
      <c r="F104" s="1430">
        <v>0</v>
      </c>
      <c r="G104" s="1431">
        <v>0</v>
      </c>
      <c r="H104" s="1432">
        <v>0</v>
      </c>
      <c r="I104" s="1432">
        <v>0</v>
      </c>
      <c r="J104" s="1432">
        <v>0</v>
      </c>
      <c r="K104" s="1432">
        <v>0</v>
      </c>
      <c r="L104" s="1432">
        <v>0</v>
      </c>
      <c r="M104" s="1433">
        <v>0</v>
      </c>
      <c r="N104" s="1433">
        <v>0</v>
      </c>
      <c r="O104" s="1433">
        <v>0</v>
      </c>
      <c r="P104" s="1433">
        <v>0</v>
      </c>
      <c r="Q104" s="1433">
        <v>0</v>
      </c>
      <c r="R104" s="1434" t="str">
        <f t="shared" si="19"/>
        <v xml:space="preserve"> </v>
      </c>
      <c r="S104" s="1435">
        <f t="shared" si="18"/>
        <v>0</v>
      </c>
      <c r="T104" s="1440"/>
    </row>
    <row r="105" spans="1:20" x14ac:dyDescent="0.25">
      <c r="A105" s="1445" t="s">
        <v>107</v>
      </c>
      <c r="B105" s="1430">
        <v>1</v>
      </c>
      <c r="C105" s="1430">
        <v>0</v>
      </c>
      <c r="D105" s="1430">
        <v>0</v>
      </c>
      <c r="E105" s="1431">
        <v>1</v>
      </c>
      <c r="F105" s="1430">
        <v>0</v>
      </c>
      <c r="G105" s="1431">
        <v>0</v>
      </c>
      <c r="H105" s="1432">
        <v>0</v>
      </c>
      <c r="I105" s="1432">
        <v>0</v>
      </c>
      <c r="J105" s="1432">
        <v>0</v>
      </c>
      <c r="K105" s="1432">
        <v>0</v>
      </c>
      <c r="L105" s="1432">
        <v>0</v>
      </c>
      <c r="M105" s="1433">
        <v>0</v>
      </c>
      <c r="N105" s="1433">
        <v>0</v>
      </c>
      <c r="O105" s="1433">
        <v>0</v>
      </c>
      <c r="P105" s="1433">
        <v>0</v>
      </c>
      <c r="Q105" s="1433">
        <v>0</v>
      </c>
      <c r="R105" s="1434" t="str">
        <f t="shared" si="19"/>
        <v xml:space="preserve"> </v>
      </c>
      <c r="S105" s="1435">
        <f t="shared" si="18"/>
        <v>0</v>
      </c>
      <c r="T105" s="1440"/>
    </row>
    <row r="106" spans="1:20" x14ac:dyDescent="0.25">
      <c r="A106" s="1445" t="s">
        <v>108</v>
      </c>
      <c r="B106" s="1430">
        <v>1</v>
      </c>
      <c r="C106" s="1430">
        <v>0</v>
      </c>
      <c r="D106" s="1430">
        <v>0</v>
      </c>
      <c r="E106" s="1431">
        <v>0</v>
      </c>
      <c r="F106" s="1430">
        <v>1</v>
      </c>
      <c r="G106" s="1431">
        <v>2</v>
      </c>
      <c r="H106" s="1432">
        <v>0</v>
      </c>
      <c r="I106" s="1432">
        <v>0</v>
      </c>
      <c r="J106" s="1432">
        <v>1</v>
      </c>
      <c r="K106" s="1432">
        <v>0</v>
      </c>
      <c r="L106" s="1432">
        <v>0</v>
      </c>
      <c r="M106" s="1433">
        <v>1</v>
      </c>
      <c r="N106" s="1433">
        <v>0</v>
      </c>
      <c r="O106" s="1433">
        <v>0</v>
      </c>
      <c r="P106" s="1433">
        <v>0</v>
      </c>
      <c r="Q106" s="1433">
        <v>0</v>
      </c>
      <c r="R106" s="1434">
        <f t="shared" si="19"/>
        <v>1</v>
      </c>
      <c r="S106" s="1435">
        <f t="shared" si="18"/>
        <v>0</v>
      </c>
      <c r="T106" s="1440"/>
    </row>
    <row r="107" spans="1:20" x14ac:dyDescent="0.25">
      <c r="A107" s="1445" t="s">
        <v>109</v>
      </c>
      <c r="B107" s="1430">
        <v>0</v>
      </c>
      <c r="C107" s="1430">
        <v>0</v>
      </c>
      <c r="D107" s="1430">
        <v>0</v>
      </c>
      <c r="E107" s="1431">
        <v>0</v>
      </c>
      <c r="F107" s="1430">
        <v>2</v>
      </c>
      <c r="G107" s="1431">
        <v>0</v>
      </c>
      <c r="H107" s="1432">
        <v>0</v>
      </c>
      <c r="I107" s="1432">
        <v>0</v>
      </c>
      <c r="J107" s="1432">
        <v>0</v>
      </c>
      <c r="K107" s="1432">
        <v>0</v>
      </c>
      <c r="L107" s="1432">
        <v>2</v>
      </c>
      <c r="M107" s="1433">
        <v>0</v>
      </c>
      <c r="N107" s="1433">
        <v>0</v>
      </c>
      <c r="O107" s="1433">
        <v>0</v>
      </c>
      <c r="P107" s="1433">
        <v>0</v>
      </c>
      <c r="Q107" s="1433">
        <v>0</v>
      </c>
      <c r="R107" s="1434" t="str">
        <f t="shared" si="19"/>
        <v xml:space="preserve"> </v>
      </c>
      <c r="S107" s="1435">
        <f t="shared" si="18"/>
        <v>0</v>
      </c>
      <c r="T107" s="1440"/>
    </row>
    <row r="108" spans="1:20" x14ac:dyDescent="0.25">
      <c r="A108" s="1445" t="s">
        <v>781</v>
      </c>
      <c r="B108" s="1430"/>
      <c r="C108" s="1430">
        <v>0</v>
      </c>
      <c r="D108" s="1430">
        <v>0</v>
      </c>
      <c r="E108" s="1431">
        <v>0</v>
      </c>
      <c r="F108" s="1430">
        <v>0</v>
      </c>
      <c r="G108" s="1431">
        <v>0</v>
      </c>
      <c r="H108" s="1432">
        <v>1</v>
      </c>
      <c r="I108" s="1432">
        <v>6</v>
      </c>
      <c r="J108" s="1432">
        <v>1</v>
      </c>
      <c r="K108" s="1432">
        <v>0</v>
      </c>
      <c r="L108" s="1432">
        <v>0</v>
      </c>
      <c r="M108" s="1433">
        <v>0</v>
      </c>
      <c r="N108" s="1433">
        <v>0</v>
      </c>
      <c r="O108" s="1433">
        <v>0</v>
      </c>
      <c r="P108" s="1433">
        <v>0</v>
      </c>
      <c r="Q108" s="1433">
        <v>0</v>
      </c>
      <c r="R108" s="1434" t="str">
        <f t="shared" si="19"/>
        <v xml:space="preserve"> </v>
      </c>
      <c r="S108" s="1435">
        <f t="shared" si="18"/>
        <v>0</v>
      </c>
      <c r="T108" s="1440"/>
    </row>
    <row r="109" spans="1:20" x14ac:dyDescent="0.25">
      <c r="A109" s="1445" t="s">
        <v>110</v>
      </c>
      <c r="B109" s="1430">
        <v>0</v>
      </c>
      <c r="C109" s="1430">
        <v>0</v>
      </c>
      <c r="D109" s="1430">
        <v>0</v>
      </c>
      <c r="E109" s="1431">
        <v>0</v>
      </c>
      <c r="F109" s="1430">
        <v>0</v>
      </c>
      <c r="G109" s="1431">
        <v>0</v>
      </c>
      <c r="H109" s="1432">
        <v>0</v>
      </c>
      <c r="I109" s="1432">
        <v>0</v>
      </c>
      <c r="J109" s="1432">
        <v>0</v>
      </c>
      <c r="K109" s="1432">
        <v>0</v>
      </c>
      <c r="L109" s="1432">
        <v>0</v>
      </c>
      <c r="M109" s="1433">
        <v>1</v>
      </c>
      <c r="N109" s="1433">
        <v>0</v>
      </c>
      <c r="O109" s="1433">
        <v>0</v>
      </c>
      <c r="P109" s="1433">
        <v>0</v>
      </c>
      <c r="Q109" s="1433">
        <v>0</v>
      </c>
      <c r="R109" s="1434">
        <f t="shared" si="19"/>
        <v>1</v>
      </c>
      <c r="S109" s="1435">
        <f t="shared" si="18"/>
        <v>0</v>
      </c>
      <c r="T109" s="1440"/>
    </row>
    <row r="110" spans="1:20" x14ac:dyDescent="0.25">
      <c r="A110" s="1445" t="s">
        <v>111</v>
      </c>
      <c r="B110" s="1430">
        <v>0</v>
      </c>
      <c r="C110" s="1430">
        <v>0</v>
      </c>
      <c r="D110" s="1430">
        <v>0</v>
      </c>
      <c r="E110" s="1431">
        <v>0</v>
      </c>
      <c r="F110" s="1430">
        <v>0</v>
      </c>
      <c r="G110" s="1431">
        <v>0</v>
      </c>
      <c r="H110" s="1432">
        <v>0</v>
      </c>
      <c r="I110" s="1432">
        <v>0</v>
      </c>
      <c r="J110" s="1432">
        <v>1</v>
      </c>
      <c r="K110" s="1432">
        <v>0</v>
      </c>
      <c r="L110" s="1432">
        <v>3</v>
      </c>
      <c r="M110" s="1433">
        <v>0</v>
      </c>
      <c r="N110" s="1433">
        <v>0</v>
      </c>
      <c r="O110" s="1433">
        <v>0</v>
      </c>
      <c r="P110" s="1433">
        <v>1</v>
      </c>
      <c r="Q110" s="1433">
        <v>0</v>
      </c>
      <c r="R110" s="1434">
        <f t="shared" si="19"/>
        <v>1</v>
      </c>
      <c r="S110" s="1435">
        <f t="shared" si="18"/>
        <v>0</v>
      </c>
      <c r="T110" s="1440"/>
    </row>
    <row r="111" spans="1:20" x14ac:dyDescent="0.25">
      <c r="A111" s="1445" t="s">
        <v>112</v>
      </c>
      <c r="B111" s="1430">
        <v>0</v>
      </c>
      <c r="C111" s="1430">
        <v>0</v>
      </c>
      <c r="D111" s="1430">
        <v>0</v>
      </c>
      <c r="E111" s="1431">
        <v>0</v>
      </c>
      <c r="F111" s="1430">
        <v>0</v>
      </c>
      <c r="G111" s="1431">
        <v>0</v>
      </c>
      <c r="H111" s="1432">
        <v>0</v>
      </c>
      <c r="I111" s="1432">
        <v>0</v>
      </c>
      <c r="J111" s="1432">
        <v>0</v>
      </c>
      <c r="K111" s="1432">
        <v>0</v>
      </c>
      <c r="L111" s="1432">
        <v>0</v>
      </c>
      <c r="M111" s="1433">
        <v>0</v>
      </c>
      <c r="N111" s="1433">
        <v>0</v>
      </c>
      <c r="O111" s="1433">
        <v>0</v>
      </c>
      <c r="P111" s="1433">
        <v>0</v>
      </c>
      <c r="Q111" s="1433">
        <v>0</v>
      </c>
      <c r="R111" s="1434" t="str">
        <f t="shared" si="19"/>
        <v xml:space="preserve"> </v>
      </c>
      <c r="S111" s="1435">
        <f t="shared" si="18"/>
        <v>0</v>
      </c>
      <c r="T111" s="1440"/>
    </row>
    <row r="112" spans="1:20" x14ac:dyDescent="0.25">
      <c r="A112" s="1445" t="s">
        <v>113</v>
      </c>
      <c r="B112" s="1430">
        <v>0</v>
      </c>
      <c r="C112" s="1430">
        <v>0</v>
      </c>
      <c r="D112" s="1430">
        <v>1</v>
      </c>
      <c r="E112" s="1431">
        <v>0</v>
      </c>
      <c r="F112" s="1430">
        <v>0</v>
      </c>
      <c r="G112" s="1431">
        <v>0</v>
      </c>
      <c r="H112" s="1432">
        <v>0</v>
      </c>
      <c r="I112" s="1432">
        <v>0</v>
      </c>
      <c r="J112" s="1432">
        <v>0</v>
      </c>
      <c r="K112" s="1432">
        <v>0</v>
      </c>
      <c r="L112" s="1432">
        <v>0</v>
      </c>
      <c r="M112" s="1433">
        <v>0</v>
      </c>
      <c r="N112" s="1433">
        <v>0</v>
      </c>
      <c r="O112" s="1433">
        <v>0</v>
      </c>
      <c r="P112" s="1433">
        <v>0</v>
      </c>
      <c r="Q112" s="1433">
        <v>0</v>
      </c>
      <c r="R112" s="1434" t="str">
        <f t="shared" si="19"/>
        <v xml:space="preserve"> </v>
      </c>
      <c r="S112" s="1435">
        <f t="shared" si="18"/>
        <v>0</v>
      </c>
      <c r="T112" s="1440"/>
    </row>
    <row r="113" spans="1:21" x14ac:dyDescent="0.25">
      <c r="A113" s="1445" t="s">
        <v>114</v>
      </c>
      <c r="B113" s="1430">
        <v>1</v>
      </c>
      <c r="C113" s="1430">
        <v>1</v>
      </c>
      <c r="D113" s="1430">
        <v>0</v>
      </c>
      <c r="E113" s="1431">
        <v>0</v>
      </c>
      <c r="F113" s="1430">
        <v>0</v>
      </c>
      <c r="G113" s="1431">
        <v>0</v>
      </c>
      <c r="H113" s="1432">
        <v>0</v>
      </c>
      <c r="I113" s="1432">
        <v>0</v>
      </c>
      <c r="J113" s="1432">
        <v>0</v>
      </c>
      <c r="K113" s="1432">
        <v>0</v>
      </c>
      <c r="L113" s="1432">
        <v>0</v>
      </c>
      <c r="M113" s="1433">
        <v>0</v>
      </c>
      <c r="N113" s="1433">
        <v>0</v>
      </c>
      <c r="O113" s="1433">
        <v>0</v>
      </c>
      <c r="P113" s="1433">
        <v>0</v>
      </c>
      <c r="Q113" s="1433">
        <v>0</v>
      </c>
      <c r="R113" s="1434" t="str">
        <f t="shared" si="19"/>
        <v xml:space="preserve"> </v>
      </c>
      <c r="S113" s="1435">
        <f t="shared" si="18"/>
        <v>0</v>
      </c>
      <c r="T113" s="1440"/>
    </row>
    <row r="114" spans="1:21" x14ac:dyDescent="0.25">
      <c r="A114" s="1445" t="s">
        <v>115</v>
      </c>
      <c r="B114" s="1430">
        <v>1</v>
      </c>
      <c r="C114" s="1430">
        <v>0</v>
      </c>
      <c r="D114" s="1430">
        <v>0</v>
      </c>
      <c r="E114" s="1431">
        <v>0</v>
      </c>
      <c r="F114" s="1430">
        <v>0</v>
      </c>
      <c r="G114" s="1431">
        <v>0</v>
      </c>
      <c r="H114" s="1432">
        <v>0</v>
      </c>
      <c r="I114" s="1432">
        <v>0</v>
      </c>
      <c r="J114" s="1432">
        <v>0</v>
      </c>
      <c r="K114" s="1432">
        <v>0</v>
      </c>
      <c r="L114" s="1432">
        <v>0</v>
      </c>
      <c r="M114" s="1433">
        <v>0</v>
      </c>
      <c r="N114" s="1433">
        <v>0</v>
      </c>
      <c r="O114" s="1433">
        <v>1</v>
      </c>
      <c r="P114" s="1433">
        <v>0</v>
      </c>
      <c r="Q114" s="1433">
        <v>0</v>
      </c>
      <c r="R114" s="1434">
        <f t="shared" si="19"/>
        <v>1</v>
      </c>
      <c r="S114" s="1435">
        <f t="shared" si="18"/>
        <v>0</v>
      </c>
      <c r="T114" s="1440"/>
    </row>
    <row r="115" spans="1:21" x14ac:dyDescent="0.25">
      <c r="A115" s="1445" t="s">
        <v>116</v>
      </c>
      <c r="B115" s="1430">
        <v>2</v>
      </c>
      <c r="C115" s="1430">
        <v>0</v>
      </c>
      <c r="D115" s="1430">
        <v>1</v>
      </c>
      <c r="E115" s="1431">
        <v>0</v>
      </c>
      <c r="F115" s="1430">
        <v>0</v>
      </c>
      <c r="G115" s="1431">
        <v>0</v>
      </c>
      <c r="H115" s="1432">
        <v>0</v>
      </c>
      <c r="I115" s="1432">
        <v>0</v>
      </c>
      <c r="J115" s="1432">
        <v>0</v>
      </c>
      <c r="K115" s="1432">
        <v>0</v>
      </c>
      <c r="L115" s="1432">
        <v>0</v>
      </c>
      <c r="M115" s="1433">
        <v>0</v>
      </c>
      <c r="N115" s="1433">
        <v>0</v>
      </c>
      <c r="O115" s="1433">
        <v>0</v>
      </c>
      <c r="P115" s="1433">
        <v>0</v>
      </c>
      <c r="Q115" s="1433">
        <v>0</v>
      </c>
      <c r="R115" s="1434" t="str">
        <f t="shared" si="19"/>
        <v xml:space="preserve"> </v>
      </c>
      <c r="S115" s="1435">
        <f t="shared" si="18"/>
        <v>0</v>
      </c>
      <c r="T115" s="1440"/>
    </row>
    <row r="116" spans="1:21" x14ac:dyDescent="0.25">
      <c r="A116" s="1445" t="s">
        <v>117</v>
      </c>
      <c r="B116" s="1430">
        <v>0</v>
      </c>
      <c r="C116" s="1430">
        <v>0</v>
      </c>
      <c r="D116" s="1430">
        <v>0</v>
      </c>
      <c r="E116" s="1431">
        <v>0</v>
      </c>
      <c r="F116" s="1430">
        <v>0</v>
      </c>
      <c r="G116" s="1431">
        <v>0</v>
      </c>
      <c r="H116" s="1432">
        <v>0</v>
      </c>
      <c r="I116" s="1432">
        <v>0</v>
      </c>
      <c r="J116" s="1432">
        <v>0</v>
      </c>
      <c r="K116" s="1432">
        <v>0</v>
      </c>
      <c r="L116" s="1432">
        <v>0</v>
      </c>
      <c r="M116" s="1433">
        <v>0</v>
      </c>
      <c r="N116" s="1433">
        <v>0</v>
      </c>
      <c r="O116" s="1433">
        <v>0</v>
      </c>
      <c r="P116" s="1433">
        <v>0</v>
      </c>
      <c r="Q116" s="1433">
        <v>0</v>
      </c>
      <c r="R116" s="1434" t="str">
        <f t="shared" si="19"/>
        <v xml:space="preserve"> </v>
      </c>
      <c r="S116" s="1435">
        <f t="shared" si="18"/>
        <v>0</v>
      </c>
      <c r="T116" s="1440"/>
    </row>
    <row r="117" spans="1:21" x14ac:dyDescent="0.25">
      <c r="A117" s="1445" t="s">
        <v>119</v>
      </c>
      <c r="B117" s="1430">
        <v>0</v>
      </c>
      <c r="C117" s="1430">
        <v>0</v>
      </c>
      <c r="D117" s="1430">
        <v>1</v>
      </c>
      <c r="E117" s="1431">
        <v>0</v>
      </c>
      <c r="F117" s="1430">
        <v>0</v>
      </c>
      <c r="G117" s="1431">
        <v>0</v>
      </c>
      <c r="H117" s="1432">
        <v>0</v>
      </c>
      <c r="I117" s="1432">
        <v>1</v>
      </c>
      <c r="J117" s="1432">
        <v>0</v>
      </c>
      <c r="K117" s="1432">
        <v>0</v>
      </c>
      <c r="L117" s="1432">
        <v>0</v>
      </c>
      <c r="M117" s="1433">
        <v>0</v>
      </c>
      <c r="N117" s="1433">
        <v>0</v>
      </c>
      <c r="O117" s="1433">
        <v>0</v>
      </c>
      <c r="P117" s="1433">
        <v>0</v>
      </c>
      <c r="Q117" s="1433">
        <v>0</v>
      </c>
      <c r="R117" s="1434" t="str">
        <f t="shared" si="19"/>
        <v xml:space="preserve"> </v>
      </c>
      <c r="S117" s="1435">
        <f t="shared" si="18"/>
        <v>0</v>
      </c>
      <c r="T117" s="1440"/>
    </row>
    <row r="118" spans="1:21" x14ac:dyDescent="0.25">
      <c r="A118" s="1445" t="s">
        <v>120</v>
      </c>
      <c r="B118" s="1430">
        <v>3</v>
      </c>
      <c r="C118" s="1430">
        <v>1</v>
      </c>
      <c r="D118" s="1430">
        <v>1</v>
      </c>
      <c r="E118" s="1431">
        <v>1</v>
      </c>
      <c r="F118" s="1430">
        <v>9</v>
      </c>
      <c r="G118" s="1431">
        <v>6</v>
      </c>
      <c r="H118" s="1432">
        <v>3</v>
      </c>
      <c r="I118" s="1432">
        <v>3</v>
      </c>
      <c r="J118" s="1432">
        <v>0</v>
      </c>
      <c r="K118" s="1432">
        <v>1</v>
      </c>
      <c r="L118" s="1432">
        <v>4</v>
      </c>
      <c r="M118" s="1433">
        <v>2</v>
      </c>
      <c r="N118" s="1433">
        <v>5</v>
      </c>
      <c r="O118" s="1433">
        <v>4</v>
      </c>
      <c r="P118" s="1433">
        <v>3</v>
      </c>
      <c r="Q118" s="1433">
        <v>4</v>
      </c>
      <c r="R118" s="1434">
        <f t="shared" si="19"/>
        <v>3.6</v>
      </c>
      <c r="S118" s="1435">
        <f t="shared" si="18"/>
        <v>7.1684587813620072E-3</v>
      </c>
      <c r="T118" s="1440"/>
    </row>
    <row r="119" spans="1:21" x14ac:dyDescent="0.25">
      <c r="A119" s="1445" t="s">
        <v>1160</v>
      </c>
      <c r="B119" s="1430">
        <v>0</v>
      </c>
      <c r="C119" s="1430">
        <v>0</v>
      </c>
      <c r="D119" s="1430">
        <v>0</v>
      </c>
      <c r="E119" s="1431">
        <v>2</v>
      </c>
      <c r="F119" s="1430">
        <v>6</v>
      </c>
      <c r="G119" s="1431">
        <v>5</v>
      </c>
      <c r="H119" s="1432">
        <v>2</v>
      </c>
      <c r="I119" s="1432">
        <v>0</v>
      </c>
      <c r="J119" s="1432">
        <v>0</v>
      </c>
      <c r="K119" s="1432">
        <v>0</v>
      </c>
      <c r="L119" s="1432">
        <v>3</v>
      </c>
      <c r="M119" s="1432">
        <v>0</v>
      </c>
      <c r="N119" s="1432">
        <v>1</v>
      </c>
      <c r="O119" s="1432">
        <v>1</v>
      </c>
      <c r="P119" s="1432">
        <v>1</v>
      </c>
      <c r="Q119" s="1432">
        <v>2</v>
      </c>
      <c r="R119" s="1434">
        <f t="shared" si="19"/>
        <v>1.25</v>
      </c>
      <c r="S119" s="1435">
        <f t="shared" si="18"/>
        <v>3.5842293906810036E-3</v>
      </c>
      <c r="T119" s="1440"/>
    </row>
    <row r="120" spans="1:21" s="1440" customFormat="1" x14ac:dyDescent="0.25">
      <c r="A120" s="1436" t="s">
        <v>36</v>
      </c>
      <c r="B120" s="1437">
        <f t="shared" ref="B120:Q120" si="20">SUM(B85:B119)</f>
        <v>19</v>
      </c>
      <c r="C120" s="1437">
        <f t="shared" si="20"/>
        <v>9</v>
      </c>
      <c r="D120" s="1437">
        <f t="shared" si="20"/>
        <v>8</v>
      </c>
      <c r="E120" s="1438">
        <f t="shared" si="20"/>
        <v>6</v>
      </c>
      <c r="F120" s="1437">
        <f t="shared" si="20"/>
        <v>27</v>
      </c>
      <c r="G120" s="1438">
        <f t="shared" si="20"/>
        <v>18</v>
      </c>
      <c r="H120" s="1434">
        <f t="shared" si="20"/>
        <v>13</v>
      </c>
      <c r="I120" s="1434">
        <f t="shared" si="20"/>
        <v>14</v>
      </c>
      <c r="J120" s="1434">
        <f t="shared" si="20"/>
        <v>8</v>
      </c>
      <c r="K120" s="1434">
        <f t="shared" si="20"/>
        <v>8</v>
      </c>
      <c r="L120" s="1434">
        <f t="shared" si="20"/>
        <v>18</v>
      </c>
      <c r="M120" s="1434">
        <f t="shared" si="20"/>
        <v>13</v>
      </c>
      <c r="N120" s="1434">
        <f t="shared" si="20"/>
        <v>10</v>
      </c>
      <c r="O120" s="1434">
        <f t="shared" si="20"/>
        <v>14</v>
      </c>
      <c r="P120" s="1434">
        <f t="shared" si="20"/>
        <v>12</v>
      </c>
      <c r="Q120" s="1434">
        <f t="shared" si="20"/>
        <v>12</v>
      </c>
      <c r="R120" s="1434">
        <f t="shared" si="19"/>
        <v>12.2</v>
      </c>
      <c r="S120" s="1439">
        <f t="shared" si="18"/>
        <v>2.1505376344086023E-2</v>
      </c>
      <c r="U120" s="1201"/>
    </row>
    <row r="121" spans="1:21" x14ac:dyDescent="0.25">
      <c r="A121" s="1478" t="s">
        <v>121</v>
      </c>
      <c r="B121" s="1425" t="s">
        <v>908</v>
      </c>
      <c r="C121" s="1425" t="s">
        <v>617</v>
      </c>
      <c r="D121" s="1425" t="s">
        <v>1360</v>
      </c>
      <c r="E121" s="1426" t="s">
        <v>592</v>
      </c>
      <c r="F121" s="1425" t="s">
        <v>921</v>
      </c>
      <c r="G121" s="1426" t="s">
        <v>676</v>
      </c>
      <c r="H121" s="1427" t="s">
        <v>777</v>
      </c>
      <c r="I121" s="1428" t="s">
        <v>969</v>
      </c>
      <c r="J121" s="1428" t="s">
        <v>1419</v>
      </c>
      <c r="K121" s="1428" t="s">
        <v>1443</v>
      </c>
      <c r="L121" s="1480" t="s">
        <v>1444</v>
      </c>
      <c r="M121" s="1477" t="s">
        <v>1445</v>
      </c>
      <c r="N121" s="1477" t="s">
        <v>1566</v>
      </c>
      <c r="O121" s="1477" t="s">
        <v>1613</v>
      </c>
      <c r="P121" s="1477" t="s">
        <v>1660</v>
      </c>
      <c r="Q121" s="1477" t="s">
        <v>1749</v>
      </c>
      <c r="R121" s="1481" t="s">
        <v>31</v>
      </c>
      <c r="S121" s="1481" t="s">
        <v>32</v>
      </c>
      <c r="T121" s="1440"/>
    </row>
    <row r="122" spans="1:21" x14ac:dyDescent="0.25">
      <c r="A122" s="1445" t="s">
        <v>122</v>
      </c>
      <c r="B122" s="1430">
        <v>0</v>
      </c>
      <c r="C122" s="1430">
        <v>1</v>
      </c>
      <c r="D122" s="1430">
        <v>0</v>
      </c>
      <c r="E122" s="1431">
        <v>0</v>
      </c>
      <c r="F122" s="1430">
        <v>0</v>
      </c>
      <c r="G122" s="1431">
        <v>0</v>
      </c>
      <c r="H122" s="1432">
        <v>0</v>
      </c>
      <c r="I122" s="1432">
        <v>1</v>
      </c>
      <c r="J122" s="1432">
        <v>0</v>
      </c>
      <c r="K122" s="1432">
        <v>1</v>
      </c>
      <c r="L122" s="1432">
        <v>1</v>
      </c>
      <c r="M122" s="1432">
        <v>0</v>
      </c>
      <c r="N122" s="1432">
        <v>2</v>
      </c>
      <c r="O122" s="1432">
        <v>1</v>
      </c>
      <c r="P122" s="1432">
        <v>0</v>
      </c>
      <c r="Q122" s="1432">
        <v>1</v>
      </c>
      <c r="R122" s="1434">
        <f>IF(Q122+P122+O122+N122+M122=0," ",AVERAGEIF(M122:Q122,"&lt;&gt;0"))</f>
        <v>1.3333333333333333</v>
      </c>
      <c r="S122" s="1435">
        <f>+Q122/$Q$466</f>
        <v>1.7921146953405018E-3</v>
      </c>
      <c r="T122" s="1440"/>
    </row>
    <row r="123" spans="1:21" x14ac:dyDescent="0.25">
      <c r="A123" s="1445" t="s">
        <v>123</v>
      </c>
      <c r="B123" s="1430">
        <v>0</v>
      </c>
      <c r="C123" s="1430">
        <v>0</v>
      </c>
      <c r="D123" s="1430">
        <v>1</v>
      </c>
      <c r="E123" s="1431">
        <v>0</v>
      </c>
      <c r="F123" s="1430">
        <v>0</v>
      </c>
      <c r="G123" s="1431">
        <v>0</v>
      </c>
      <c r="H123" s="1432">
        <v>0</v>
      </c>
      <c r="I123" s="1432">
        <v>0</v>
      </c>
      <c r="J123" s="1432">
        <v>0</v>
      </c>
      <c r="K123" s="1432">
        <v>0</v>
      </c>
      <c r="L123" s="1432">
        <v>0</v>
      </c>
      <c r="M123" s="1432">
        <v>0</v>
      </c>
      <c r="N123" s="1432">
        <v>0</v>
      </c>
      <c r="O123" s="1432">
        <v>0</v>
      </c>
      <c r="P123" s="1432">
        <v>0</v>
      </c>
      <c r="Q123" s="1432">
        <v>0</v>
      </c>
      <c r="R123" s="1434" t="str">
        <f>IF(Q123+P123+O123+N123+M123=0," ",AVERAGEIF(M123:Q123,"&lt;&gt;0"))</f>
        <v xml:space="preserve"> </v>
      </c>
      <c r="S123" s="1435">
        <f>+Q123/$Q$466</f>
        <v>0</v>
      </c>
      <c r="T123" s="1440"/>
    </row>
    <row r="124" spans="1:21" x14ac:dyDescent="0.25">
      <c r="A124" s="1445" t="s">
        <v>124</v>
      </c>
      <c r="B124" s="1430">
        <v>1</v>
      </c>
      <c r="C124" s="1430">
        <v>2</v>
      </c>
      <c r="D124" s="1430">
        <v>0</v>
      </c>
      <c r="E124" s="1431">
        <v>1</v>
      </c>
      <c r="F124" s="1430">
        <v>2</v>
      </c>
      <c r="G124" s="1431">
        <v>4</v>
      </c>
      <c r="H124" s="1432">
        <v>3</v>
      </c>
      <c r="I124" s="1432">
        <v>3</v>
      </c>
      <c r="J124" s="1432">
        <v>4</v>
      </c>
      <c r="K124" s="1432">
        <v>0</v>
      </c>
      <c r="L124" s="1432">
        <v>3</v>
      </c>
      <c r="M124" s="1433">
        <v>2</v>
      </c>
      <c r="N124" s="1433">
        <v>4</v>
      </c>
      <c r="O124" s="1433">
        <v>1</v>
      </c>
      <c r="P124" s="1433">
        <v>3</v>
      </c>
      <c r="Q124" s="1433">
        <v>8</v>
      </c>
      <c r="R124" s="1434">
        <f>IF(Q124+P124+O124+N124+M124=0," ",AVERAGEIF(M124:Q124,"&lt;&gt;0"))</f>
        <v>3.6</v>
      </c>
      <c r="S124" s="1435">
        <f>+Q124/$Q$466</f>
        <v>1.4336917562724014E-2</v>
      </c>
      <c r="T124" s="1440"/>
    </row>
    <row r="125" spans="1:21" x14ac:dyDescent="0.25">
      <c r="A125" s="1449" t="s">
        <v>36</v>
      </c>
      <c r="B125" s="1437">
        <f t="shared" ref="B125:J125" si="21">SUM(B122:B124)</f>
        <v>1</v>
      </c>
      <c r="C125" s="1437">
        <f t="shared" si="21"/>
        <v>3</v>
      </c>
      <c r="D125" s="1437">
        <f t="shared" si="21"/>
        <v>1</v>
      </c>
      <c r="E125" s="1438">
        <f t="shared" si="21"/>
        <v>1</v>
      </c>
      <c r="F125" s="1437">
        <f t="shared" si="21"/>
        <v>2</v>
      </c>
      <c r="G125" s="1438">
        <f t="shared" si="21"/>
        <v>4</v>
      </c>
      <c r="H125" s="1434">
        <f t="shared" si="21"/>
        <v>3</v>
      </c>
      <c r="I125" s="1434">
        <f t="shared" si="21"/>
        <v>4</v>
      </c>
      <c r="J125" s="1434">
        <f t="shared" si="21"/>
        <v>4</v>
      </c>
      <c r="K125" s="1434">
        <f t="shared" ref="K125:P125" si="22">SUM(K122:K124)</f>
        <v>1</v>
      </c>
      <c r="L125" s="1434">
        <f t="shared" si="22"/>
        <v>4</v>
      </c>
      <c r="M125" s="1434">
        <f t="shared" si="22"/>
        <v>2</v>
      </c>
      <c r="N125" s="1434">
        <f t="shared" si="22"/>
        <v>6</v>
      </c>
      <c r="O125" s="1434">
        <f t="shared" si="22"/>
        <v>2</v>
      </c>
      <c r="P125" s="1434">
        <f t="shared" si="22"/>
        <v>3</v>
      </c>
      <c r="Q125" s="1434">
        <f>SUM(Q122:Q124)</f>
        <v>9</v>
      </c>
      <c r="R125" s="1434">
        <f>IF(Q125+P125+O125+N125+M125=0," ",AVERAGEIF(M125:Q125,"&lt;&gt;0"))</f>
        <v>4.4000000000000004</v>
      </c>
      <c r="S125" s="1439">
        <f>+Q125/$Q$466</f>
        <v>1.6129032258064516E-2</v>
      </c>
      <c r="T125" s="1440"/>
    </row>
    <row r="126" spans="1:21" x14ac:dyDescent="0.25">
      <c r="A126" s="1478" t="s">
        <v>125</v>
      </c>
      <c r="B126" s="1425" t="s">
        <v>908</v>
      </c>
      <c r="C126" s="1425" t="s">
        <v>617</v>
      </c>
      <c r="D126" s="1425" t="s">
        <v>1360</v>
      </c>
      <c r="E126" s="1426" t="s">
        <v>592</v>
      </c>
      <c r="F126" s="1425" t="s">
        <v>921</v>
      </c>
      <c r="G126" s="1426" t="s">
        <v>676</v>
      </c>
      <c r="H126" s="1427" t="s">
        <v>777</v>
      </c>
      <c r="I126" s="1428" t="s">
        <v>969</v>
      </c>
      <c r="J126" s="1428" t="s">
        <v>1419</v>
      </c>
      <c r="K126" s="1428" t="s">
        <v>1443</v>
      </c>
      <c r="L126" s="1480" t="s">
        <v>1444</v>
      </c>
      <c r="M126" s="1477" t="s">
        <v>1445</v>
      </c>
      <c r="N126" s="1477" t="s">
        <v>1566</v>
      </c>
      <c r="O126" s="1477" t="s">
        <v>1613</v>
      </c>
      <c r="P126" s="1477" t="s">
        <v>1660</v>
      </c>
      <c r="Q126" s="1477" t="s">
        <v>1749</v>
      </c>
      <c r="R126" s="1481" t="s">
        <v>31</v>
      </c>
      <c r="S126" s="1481" t="s">
        <v>32</v>
      </c>
      <c r="T126" s="1440"/>
    </row>
    <row r="127" spans="1:21" x14ac:dyDescent="0.25">
      <c r="A127" s="1445" t="s">
        <v>126</v>
      </c>
      <c r="B127" s="1430">
        <v>1</v>
      </c>
      <c r="C127" s="1430">
        <v>2</v>
      </c>
      <c r="D127" s="1430">
        <v>3</v>
      </c>
      <c r="E127" s="1431">
        <v>9</v>
      </c>
      <c r="F127" s="1430">
        <v>3</v>
      </c>
      <c r="G127" s="1431">
        <v>5</v>
      </c>
      <c r="H127" s="1432">
        <v>1</v>
      </c>
      <c r="I127" s="1432">
        <v>1</v>
      </c>
      <c r="J127" s="1432">
        <v>6</v>
      </c>
      <c r="K127" s="1432">
        <v>0</v>
      </c>
      <c r="L127" s="1432">
        <v>3</v>
      </c>
      <c r="M127" s="1433">
        <v>2</v>
      </c>
      <c r="N127" s="1433">
        <v>9</v>
      </c>
      <c r="O127" s="1433">
        <v>4</v>
      </c>
      <c r="P127" s="1433">
        <v>6</v>
      </c>
      <c r="Q127" s="1433">
        <v>2</v>
      </c>
      <c r="R127" s="1434">
        <f>IF(Q127+P127+O127+N127+M127=0," ",AVERAGEIF(M127:Q127,"&lt;&gt;0"))</f>
        <v>4.5999999999999996</v>
      </c>
      <c r="S127" s="1435">
        <f>+Q127/$Q$466</f>
        <v>3.5842293906810036E-3</v>
      </c>
      <c r="T127" s="1440"/>
    </row>
    <row r="128" spans="1:21" x14ac:dyDescent="0.25">
      <c r="A128" s="1445" t="s">
        <v>127</v>
      </c>
      <c r="B128" s="1430">
        <v>0</v>
      </c>
      <c r="C128" s="1430">
        <v>1</v>
      </c>
      <c r="D128" s="1430">
        <v>1</v>
      </c>
      <c r="E128" s="1431">
        <v>0</v>
      </c>
      <c r="F128" s="1430">
        <v>0</v>
      </c>
      <c r="G128" s="1431">
        <v>0</v>
      </c>
      <c r="H128" s="1432">
        <v>0</v>
      </c>
      <c r="I128" s="1432">
        <v>0</v>
      </c>
      <c r="J128" s="1432">
        <v>3</v>
      </c>
      <c r="K128" s="1432">
        <v>0</v>
      </c>
      <c r="L128" s="1432">
        <v>1</v>
      </c>
      <c r="M128" s="1433">
        <v>1</v>
      </c>
      <c r="N128" s="1433">
        <v>0</v>
      </c>
      <c r="O128" s="1433">
        <v>0</v>
      </c>
      <c r="P128" s="1433">
        <v>0</v>
      </c>
      <c r="Q128" s="1433">
        <v>2</v>
      </c>
      <c r="R128" s="1434">
        <f>IF(Q128+P128+O128+N128+M128=0," ",AVERAGEIF(M128:Q128,"&lt;&gt;0"))</f>
        <v>1.5</v>
      </c>
      <c r="S128" s="1435">
        <f>+Q128/$Q$466</f>
        <v>3.5842293906810036E-3</v>
      </c>
      <c r="T128" s="1440"/>
    </row>
    <row r="129" spans="1:21" x14ac:dyDescent="0.25">
      <c r="A129" s="1445" t="s">
        <v>145</v>
      </c>
      <c r="B129" s="1430">
        <v>0</v>
      </c>
      <c r="C129" s="1430">
        <v>0</v>
      </c>
      <c r="D129" s="1430">
        <v>2</v>
      </c>
      <c r="E129" s="1431">
        <v>0</v>
      </c>
      <c r="F129" s="1430">
        <v>1</v>
      </c>
      <c r="G129" s="1431">
        <v>0</v>
      </c>
      <c r="H129" s="1432">
        <v>1</v>
      </c>
      <c r="I129" s="1432">
        <v>1</v>
      </c>
      <c r="J129" s="1432">
        <v>0</v>
      </c>
      <c r="K129" s="1432">
        <v>0</v>
      </c>
      <c r="L129" s="1432">
        <v>1</v>
      </c>
      <c r="M129" s="1433">
        <v>1</v>
      </c>
      <c r="N129" s="1433">
        <v>4</v>
      </c>
      <c r="O129" s="1433">
        <v>0</v>
      </c>
      <c r="P129" s="1433">
        <v>1</v>
      </c>
      <c r="Q129" s="1433">
        <v>0</v>
      </c>
      <c r="R129" s="1434">
        <f>IF(Q129+P129+O129+N129+M129=0," ",AVERAGEIF(M129:Q129,"&lt;&gt;0"))</f>
        <v>2</v>
      </c>
      <c r="S129" s="1435">
        <f>+Q129/$Q$466</f>
        <v>0</v>
      </c>
      <c r="T129" s="1440"/>
    </row>
    <row r="130" spans="1:21" s="1440" customFormat="1" x14ac:dyDescent="0.25">
      <c r="A130" s="1436" t="s">
        <v>36</v>
      </c>
      <c r="B130" s="1437">
        <f t="shared" ref="B130:J130" si="23">SUM(B127:B129)</f>
        <v>1</v>
      </c>
      <c r="C130" s="1437">
        <f t="shared" si="23"/>
        <v>3</v>
      </c>
      <c r="D130" s="1437">
        <f t="shared" si="23"/>
        <v>6</v>
      </c>
      <c r="E130" s="1438">
        <f t="shared" si="23"/>
        <v>9</v>
      </c>
      <c r="F130" s="1437">
        <f t="shared" si="23"/>
        <v>4</v>
      </c>
      <c r="G130" s="1438">
        <f t="shared" si="23"/>
        <v>5</v>
      </c>
      <c r="H130" s="1434">
        <f t="shared" si="23"/>
        <v>2</v>
      </c>
      <c r="I130" s="1434">
        <f t="shared" si="23"/>
        <v>2</v>
      </c>
      <c r="J130" s="1434">
        <f t="shared" si="23"/>
        <v>9</v>
      </c>
      <c r="K130" s="1434">
        <f t="shared" ref="K130:P130" si="24">SUM(K127:K129)</f>
        <v>0</v>
      </c>
      <c r="L130" s="1434">
        <f t="shared" si="24"/>
        <v>5</v>
      </c>
      <c r="M130" s="1434">
        <f t="shared" si="24"/>
        <v>4</v>
      </c>
      <c r="N130" s="1434">
        <f t="shared" si="24"/>
        <v>13</v>
      </c>
      <c r="O130" s="1434">
        <f t="shared" si="24"/>
        <v>4</v>
      </c>
      <c r="P130" s="1434">
        <f t="shared" si="24"/>
        <v>7</v>
      </c>
      <c r="Q130" s="1434">
        <f>SUM(Q127:Q129)</f>
        <v>4</v>
      </c>
      <c r="R130" s="1434">
        <f>IF(Q130+P130+O130+N130+M130=0," ",AVERAGEIF(M130:Q130,"&lt;&gt;0"))</f>
        <v>6.4</v>
      </c>
      <c r="S130" s="1439">
        <f>+Q130/$Q$466</f>
        <v>7.1684587813620072E-3</v>
      </c>
      <c r="U130" s="1201"/>
    </row>
    <row r="131" spans="1:21" x14ac:dyDescent="0.25">
      <c r="A131" s="1478" t="s">
        <v>146</v>
      </c>
      <c r="B131" s="1425" t="s">
        <v>908</v>
      </c>
      <c r="C131" s="1425" t="s">
        <v>617</v>
      </c>
      <c r="D131" s="1425" t="s">
        <v>1360</v>
      </c>
      <c r="E131" s="1426" t="s">
        <v>592</v>
      </c>
      <c r="F131" s="1425" t="s">
        <v>921</v>
      </c>
      <c r="G131" s="1426" t="s">
        <v>676</v>
      </c>
      <c r="H131" s="1427" t="s">
        <v>777</v>
      </c>
      <c r="I131" s="1428" t="s">
        <v>969</v>
      </c>
      <c r="J131" s="1428" t="s">
        <v>1419</v>
      </c>
      <c r="K131" s="1428" t="s">
        <v>1443</v>
      </c>
      <c r="L131" s="1480" t="s">
        <v>1444</v>
      </c>
      <c r="M131" s="1477" t="s">
        <v>1445</v>
      </c>
      <c r="N131" s="1477" t="s">
        <v>1566</v>
      </c>
      <c r="O131" s="1477" t="s">
        <v>1613</v>
      </c>
      <c r="P131" s="1477" t="s">
        <v>1660</v>
      </c>
      <c r="Q131" s="1477" t="s">
        <v>1749</v>
      </c>
      <c r="R131" s="1481" t="s">
        <v>31</v>
      </c>
      <c r="S131" s="1481" t="s">
        <v>32</v>
      </c>
      <c r="T131" s="1440"/>
    </row>
    <row r="132" spans="1:21" x14ac:dyDescent="0.25">
      <c r="A132" s="1445" t="s">
        <v>147</v>
      </c>
      <c r="B132" s="1430">
        <v>1</v>
      </c>
      <c r="C132" s="1430">
        <v>0</v>
      </c>
      <c r="D132" s="1430">
        <v>1</v>
      </c>
      <c r="E132" s="1431">
        <v>1</v>
      </c>
      <c r="F132" s="1430">
        <v>0</v>
      </c>
      <c r="G132" s="1431">
        <v>1</v>
      </c>
      <c r="H132" s="1432">
        <v>2</v>
      </c>
      <c r="I132" s="1432">
        <v>3</v>
      </c>
      <c r="J132" s="1432">
        <v>2</v>
      </c>
      <c r="K132" s="1432">
        <v>2</v>
      </c>
      <c r="L132" s="1432">
        <v>0</v>
      </c>
      <c r="M132" s="1433">
        <v>0</v>
      </c>
      <c r="N132" s="1433">
        <v>2</v>
      </c>
      <c r="O132" s="1433">
        <v>1</v>
      </c>
      <c r="P132" s="1433">
        <v>0</v>
      </c>
      <c r="Q132" s="1433">
        <v>0</v>
      </c>
      <c r="R132" s="1434">
        <f t="shared" ref="R132:R200" si="25">IF(Q132+P132+O132+N132+M132=0," ",AVERAGEIF(M132:Q132,"&lt;&gt;0"))</f>
        <v>1.5</v>
      </c>
      <c r="S132" s="1435">
        <f t="shared" ref="S132:S137" si="26">+Q132/$Q$466</f>
        <v>0</v>
      </c>
      <c r="T132" s="1440"/>
    </row>
    <row r="133" spans="1:21" x14ac:dyDescent="0.25">
      <c r="A133" s="1445" t="s">
        <v>148</v>
      </c>
      <c r="B133" s="1430">
        <v>1</v>
      </c>
      <c r="C133" s="1430">
        <v>0</v>
      </c>
      <c r="D133" s="1430">
        <v>0</v>
      </c>
      <c r="E133" s="1431">
        <v>0</v>
      </c>
      <c r="F133" s="1430">
        <v>2</v>
      </c>
      <c r="G133" s="1431">
        <v>1</v>
      </c>
      <c r="H133" s="1432">
        <v>0</v>
      </c>
      <c r="I133" s="1432">
        <v>0</v>
      </c>
      <c r="J133" s="1432">
        <v>1</v>
      </c>
      <c r="K133" s="1432">
        <v>2</v>
      </c>
      <c r="L133" s="1432">
        <v>1</v>
      </c>
      <c r="M133" s="1433">
        <v>1</v>
      </c>
      <c r="N133" s="1433">
        <v>1</v>
      </c>
      <c r="O133" s="1433">
        <v>1</v>
      </c>
      <c r="P133" s="1433">
        <v>1</v>
      </c>
      <c r="Q133" s="1433">
        <v>5</v>
      </c>
      <c r="R133" s="1434">
        <f t="shared" si="25"/>
        <v>1.8</v>
      </c>
      <c r="S133" s="1435">
        <f t="shared" si="26"/>
        <v>8.9605734767025085E-3</v>
      </c>
      <c r="T133" s="1440"/>
    </row>
    <row r="134" spans="1:21" x14ac:dyDescent="0.25">
      <c r="A134" s="1445" t="s">
        <v>149</v>
      </c>
      <c r="B134" s="1430">
        <v>1</v>
      </c>
      <c r="C134" s="1430">
        <v>2</v>
      </c>
      <c r="D134" s="1430">
        <v>1</v>
      </c>
      <c r="E134" s="1431">
        <v>0</v>
      </c>
      <c r="F134" s="1430">
        <v>1</v>
      </c>
      <c r="G134" s="1431">
        <v>2</v>
      </c>
      <c r="H134" s="1432">
        <v>0</v>
      </c>
      <c r="I134" s="1432">
        <v>0</v>
      </c>
      <c r="J134" s="1432">
        <v>5</v>
      </c>
      <c r="K134" s="1432">
        <v>0</v>
      </c>
      <c r="L134" s="1432">
        <v>0</v>
      </c>
      <c r="M134" s="1433">
        <v>4</v>
      </c>
      <c r="N134" s="1433">
        <v>0</v>
      </c>
      <c r="O134" s="1433">
        <v>3</v>
      </c>
      <c r="P134" s="1433">
        <v>0</v>
      </c>
      <c r="Q134" s="1433">
        <v>6</v>
      </c>
      <c r="R134" s="1434">
        <f t="shared" si="25"/>
        <v>4.333333333333333</v>
      </c>
      <c r="S134" s="1435">
        <f t="shared" si="26"/>
        <v>1.0752688172043012E-2</v>
      </c>
      <c r="T134" s="1440"/>
    </row>
    <row r="135" spans="1:21" x14ac:dyDescent="0.25">
      <c r="A135" s="1445" t="s">
        <v>150</v>
      </c>
      <c r="B135" s="1430">
        <v>1</v>
      </c>
      <c r="C135" s="1430">
        <v>0</v>
      </c>
      <c r="D135" s="1430">
        <v>0</v>
      </c>
      <c r="E135" s="1431">
        <v>0</v>
      </c>
      <c r="F135" s="1430">
        <v>0</v>
      </c>
      <c r="G135" s="1431">
        <v>0</v>
      </c>
      <c r="H135" s="1432">
        <v>0</v>
      </c>
      <c r="I135" s="1432">
        <v>0</v>
      </c>
      <c r="J135" s="1432">
        <v>0</v>
      </c>
      <c r="K135" s="1432">
        <v>4</v>
      </c>
      <c r="L135" s="1432">
        <v>1</v>
      </c>
      <c r="M135" s="1432">
        <v>0</v>
      </c>
      <c r="N135" s="1433">
        <v>0</v>
      </c>
      <c r="O135" s="1433">
        <v>1</v>
      </c>
      <c r="P135" s="1433">
        <v>1</v>
      </c>
      <c r="Q135" s="1433">
        <v>0</v>
      </c>
      <c r="R135" s="1434">
        <f t="shared" si="25"/>
        <v>1</v>
      </c>
      <c r="S135" s="1435">
        <f t="shared" si="26"/>
        <v>0</v>
      </c>
      <c r="T135" s="1440"/>
    </row>
    <row r="136" spans="1:21" x14ac:dyDescent="0.25">
      <c r="A136" s="1445" t="s">
        <v>151</v>
      </c>
      <c r="B136" s="1430">
        <v>0</v>
      </c>
      <c r="C136" s="1430">
        <v>0</v>
      </c>
      <c r="D136" s="1430">
        <v>2</v>
      </c>
      <c r="E136" s="1431">
        <v>0</v>
      </c>
      <c r="F136" s="1430">
        <v>0</v>
      </c>
      <c r="G136" s="1431">
        <v>0</v>
      </c>
      <c r="H136" s="1432">
        <v>0</v>
      </c>
      <c r="I136" s="1432">
        <v>0</v>
      </c>
      <c r="J136" s="1432">
        <v>0</v>
      </c>
      <c r="K136" s="1432">
        <v>0</v>
      </c>
      <c r="L136" s="1432">
        <v>0</v>
      </c>
      <c r="M136" s="1432">
        <v>0</v>
      </c>
      <c r="N136" s="1433">
        <v>0</v>
      </c>
      <c r="O136" s="1433">
        <v>0</v>
      </c>
      <c r="P136" s="1433">
        <v>0</v>
      </c>
      <c r="Q136" s="1433">
        <v>0</v>
      </c>
      <c r="R136" s="1434" t="str">
        <f t="shared" si="25"/>
        <v xml:space="preserve"> </v>
      </c>
      <c r="S136" s="1435">
        <f t="shared" si="26"/>
        <v>0</v>
      </c>
      <c r="T136" s="1440"/>
    </row>
    <row r="137" spans="1:21" s="1440" customFormat="1" x14ac:dyDescent="0.25">
      <c r="A137" s="1436" t="s">
        <v>36</v>
      </c>
      <c r="B137" s="1437">
        <f t="shared" ref="B137:J137" si="27">SUM(B132:B136)</f>
        <v>4</v>
      </c>
      <c r="C137" s="1437">
        <f t="shared" si="27"/>
        <v>2</v>
      </c>
      <c r="D137" s="1437">
        <f t="shared" si="27"/>
        <v>4</v>
      </c>
      <c r="E137" s="1438">
        <f t="shared" si="27"/>
        <v>1</v>
      </c>
      <c r="F137" s="1437">
        <f t="shared" si="27"/>
        <v>3</v>
      </c>
      <c r="G137" s="1438">
        <f t="shared" si="27"/>
        <v>4</v>
      </c>
      <c r="H137" s="1434">
        <f t="shared" si="27"/>
        <v>2</v>
      </c>
      <c r="I137" s="1434">
        <f t="shared" si="27"/>
        <v>3</v>
      </c>
      <c r="J137" s="1434">
        <f t="shared" si="27"/>
        <v>8</v>
      </c>
      <c r="K137" s="1434">
        <f t="shared" ref="K137:P137" si="28">SUM(K132:K136)</f>
        <v>8</v>
      </c>
      <c r="L137" s="1434">
        <f t="shared" si="28"/>
        <v>2</v>
      </c>
      <c r="M137" s="1434">
        <f t="shared" si="28"/>
        <v>5</v>
      </c>
      <c r="N137" s="1434">
        <f t="shared" si="28"/>
        <v>3</v>
      </c>
      <c r="O137" s="1434">
        <f t="shared" si="28"/>
        <v>6</v>
      </c>
      <c r="P137" s="1434">
        <f t="shared" si="28"/>
        <v>2</v>
      </c>
      <c r="Q137" s="1434">
        <f>SUM(Q132:Q136)</f>
        <v>11</v>
      </c>
      <c r="R137" s="1434">
        <f t="shared" si="25"/>
        <v>5.4</v>
      </c>
      <c r="S137" s="1439">
        <f t="shared" si="26"/>
        <v>1.9713261648745518E-2</v>
      </c>
      <c r="U137" s="1201"/>
    </row>
    <row r="138" spans="1:21" x14ac:dyDescent="0.25">
      <c r="A138" s="1478" t="s">
        <v>152</v>
      </c>
      <c r="B138" s="1425" t="s">
        <v>908</v>
      </c>
      <c r="C138" s="1425" t="s">
        <v>617</v>
      </c>
      <c r="D138" s="1425" t="s">
        <v>1360</v>
      </c>
      <c r="E138" s="1426" t="s">
        <v>592</v>
      </c>
      <c r="F138" s="1425" t="s">
        <v>921</v>
      </c>
      <c r="G138" s="1426" t="s">
        <v>676</v>
      </c>
      <c r="H138" s="1427" t="s">
        <v>777</v>
      </c>
      <c r="I138" s="1428" t="s">
        <v>969</v>
      </c>
      <c r="J138" s="1428" t="s">
        <v>1419</v>
      </c>
      <c r="K138" s="1428" t="s">
        <v>1443</v>
      </c>
      <c r="L138" s="1480" t="s">
        <v>1444</v>
      </c>
      <c r="M138" s="1477" t="s">
        <v>1445</v>
      </c>
      <c r="N138" s="1477" t="s">
        <v>1566</v>
      </c>
      <c r="O138" s="1477" t="s">
        <v>1613</v>
      </c>
      <c r="P138" s="1477" t="s">
        <v>1660</v>
      </c>
      <c r="Q138" s="1477" t="s">
        <v>1749</v>
      </c>
      <c r="R138" s="1481" t="s">
        <v>31</v>
      </c>
      <c r="S138" s="1481" t="s">
        <v>32</v>
      </c>
      <c r="T138" s="1440"/>
    </row>
    <row r="139" spans="1:21" x14ac:dyDescent="0.25">
      <c r="A139" s="1445" t="s">
        <v>153</v>
      </c>
      <c r="B139" s="1430">
        <v>0</v>
      </c>
      <c r="C139" s="1430">
        <v>0</v>
      </c>
      <c r="D139" s="1430">
        <v>0</v>
      </c>
      <c r="E139" s="1431">
        <v>0</v>
      </c>
      <c r="F139" s="1430">
        <v>0</v>
      </c>
      <c r="G139" s="1431">
        <v>0</v>
      </c>
      <c r="H139" s="1432">
        <v>0</v>
      </c>
      <c r="I139" s="1432">
        <v>0</v>
      </c>
      <c r="J139" s="1432">
        <v>0</v>
      </c>
      <c r="K139" s="1432">
        <v>0</v>
      </c>
      <c r="L139" s="1432">
        <v>0</v>
      </c>
      <c r="M139" s="1432">
        <v>0</v>
      </c>
      <c r="N139" s="1433">
        <v>0</v>
      </c>
      <c r="O139" s="1433">
        <v>0</v>
      </c>
      <c r="P139" s="1433">
        <v>0</v>
      </c>
      <c r="Q139" s="1433">
        <v>0</v>
      </c>
      <c r="R139" s="1434" t="str">
        <f t="shared" si="25"/>
        <v xml:space="preserve"> </v>
      </c>
      <c r="S139" s="1435">
        <f t="shared" ref="S139:S144" si="29">+Q139/$Q$466</f>
        <v>0</v>
      </c>
      <c r="T139" s="1440"/>
    </row>
    <row r="140" spans="1:21" x14ac:dyDescent="0.25">
      <c r="A140" s="1445" t="s">
        <v>154</v>
      </c>
      <c r="B140" s="1430">
        <v>0</v>
      </c>
      <c r="C140" s="1430">
        <v>0</v>
      </c>
      <c r="D140" s="1430">
        <v>0</v>
      </c>
      <c r="E140" s="1431">
        <v>0</v>
      </c>
      <c r="F140" s="1430">
        <v>1</v>
      </c>
      <c r="G140" s="1431">
        <v>0</v>
      </c>
      <c r="H140" s="1432">
        <v>1</v>
      </c>
      <c r="I140" s="1432">
        <v>0</v>
      </c>
      <c r="J140" s="1432">
        <v>0</v>
      </c>
      <c r="K140" s="1432">
        <v>0</v>
      </c>
      <c r="L140" s="1432">
        <v>0</v>
      </c>
      <c r="M140" s="1432">
        <v>0</v>
      </c>
      <c r="N140" s="1433">
        <v>0</v>
      </c>
      <c r="O140" s="1433">
        <v>0</v>
      </c>
      <c r="P140" s="1433">
        <v>0</v>
      </c>
      <c r="Q140" s="1433">
        <v>0</v>
      </c>
      <c r="R140" s="1434" t="str">
        <f t="shared" si="25"/>
        <v xml:space="preserve"> </v>
      </c>
      <c r="S140" s="1435">
        <f t="shared" si="29"/>
        <v>0</v>
      </c>
      <c r="T140" s="1440"/>
    </row>
    <row r="141" spans="1:21" x14ac:dyDescent="0.25">
      <c r="A141" s="1445" t="s">
        <v>155</v>
      </c>
      <c r="B141" s="1430">
        <v>1</v>
      </c>
      <c r="C141" s="1430">
        <v>1</v>
      </c>
      <c r="D141" s="1430">
        <v>0</v>
      </c>
      <c r="E141" s="1431">
        <v>1</v>
      </c>
      <c r="F141" s="1430">
        <v>0</v>
      </c>
      <c r="G141" s="1431">
        <v>0</v>
      </c>
      <c r="H141" s="1432">
        <v>0</v>
      </c>
      <c r="I141" s="1432">
        <v>0</v>
      </c>
      <c r="J141" s="1432">
        <v>1</v>
      </c>
      <c r="K141" s="1432">
        <v>0</v>
      </c>
      <c r="L141" s="1432">
        <v>0</v>
      </c>
      <c r="M141" s="1432">
        <v>0</v>
      </c>
      <c r="N141" s="1432">
        <v>1</v>
      </c>
      <c r="O141" s="1432">
        <v>1</v>
      </c>
      <c r="P141" s="1432">
        <v>0</v>
      </c>
      <c r="Q141" s="1432">
        <v>0</v>
      </c>
      <c r="R141" s="1434">
        <f t="shared" si="25"/>
        <v>1</v>
      </c>
      <c r="S141" s="1435">
        <f t="shared" si="29"/>
        <v>0</v>
      </c>
      <c r="T141" s="1440"/>
    </row>
    <row r="142" spans="1:21" x14ac:dyDescent="0.25">
      <c r="A142" s="1445" t="s">
        <v>156</v>
      </c>
      <c r="B142" s="1430">
        <v>0</v>
      </c>
      <c r="C142" s="1430">
        <v>0</v>
      </c>
      <c r="D142" s="1430">
        <v>0</v>
      </c>
      <c r="E142" s="1431">
        <v>0</v>
      </c>
      <c r="F142" s="1430">
        <v>0</v>
      </c>
      <c r="G142" s="1431">
        <v>0</v>
      </c>
      <c r="H142" s="1432">
        <v>0</v>
      </c>
      <c r="I142" s="1432">
        <v>0</v>
      </c>
      <c r="J142" s="1432">
        <v>0</v>
      </c>
      <c r="K142" s="1432">
        <v>0</v>
      </c>
      <c r="L142" s="1432">
        <v>1</v>
      </c>
      <c r="M142" s="1432">
        <v>0</v>
      </c>
      <c r="N142" s="1432">
        <v>1</v>
      </c>
      <c r="O142" s="1432">
        <v>0</v>
      </c>
      <c r="P142" s="1432">
        <v>2</v>
      </c>
      <c r="Q142" s="1432">
        <v>0</v>
      </c>
      <c r="R142" s="1434">
        <f t="shared" si="25"/>
        <v>1.5</v>
      </c>
      <c r="S142" s="1435">
        <f t="shared" si="29"/>
        <v>0</v>
      </c>
      <c r="T142" s="1440"/>
    </row>
    <row r="143" spans="1:21" x14ac:dyDescent="0.25">
      <c r="A143" s="1445" t="s">
        <v>157</v>
      </c>
      <c r="B143" s="1430">
        <v>0</v>
      </c>
      <c r="C143" s="1430">
        <v>0</v>
      </c>
      <c r="D143" s="1430">
        <v>1</v>
      </c>
      <c r="E143" s="1431">
        <v>0</v>
      </c>
      <c r="F143" s="1430">
        <v>0</v>
      </c>
      <c r="G143" s="1431">
        <v>0</v>
      </c>
      <c r="H143" s="1432">
        <v>0</v>
      </c>
      <c r="I143" s="1432">
        <v>0</v>
      </c>
      <c r="J143" s="1432">
        <v>0</v>
      </c>
      <c r="K143" s="1432">
        <v>0</v>
      </c>
      <c r="L143" s="1432">
        <v>0</v>
      </c>
      <c r="M143" s="1433">
        <v>1</v>
      </c>
      <c r="N143" s="1433">
        <v>0</v>
      </c>
      <c r="O143" s="1433">
        <v>1</v>
      </c>
      <c r="P143" s="1433">
        <v>0</v>
      </c>
      <c r="Q143" s="1433">
        <v>0</v>
      </c>
      <c r="R143" s="1434">
        <f t="shared" si="25"/>
        <v>1</v>
      </c>
      <c r="S143" s="1435">
        <f t="shared" si="29"/>
        <v>0</v>
      </c>
      <c r="T143" s="1440"/>
    </row>
    <row r="144" spans="1:21" x14ac:dyDescent="0.25">
      <c r="A144" s="1449" t="s">
        <v>36</v>
      </c>
      <c r="B144" s="1437">
        <f t="shared" ref="B144:J144" si="30">SUM(B139:B143)</f>
        <v>1</v>
      </c>
      <c r="C144" s="1437">
        <f t="shared" si="30"/>
        <v>1</v>
      </c>
      <c r="D144" s="1437">
        <f t="shared" si="30"/>
        <v>1</v>
      </c>
      <c r="E144" s="1438">
        <f t="shared" si="30"/>
        <v>1</v>
      </c>
      <c r="F144" s="1437">
        <f t="shared" si="30"/>
        <v>1</v>
      </c>
      <c r="G144" s="1438">
        <f t="shared" si="30"/>
        <v>0</v>
      </c>
      <c r="H144" s="1434">
        <f t="shared" si="30"/>
        <v>1</v>
      </c>
      <c r="I144" s="1434">
        <f t="shared" si="30"/>
        <v>0</v>
      </c>
      <c r="J144" s="1434">
        <f t="shared" si="30"/>
        <v>1</v>
      </c>
      <c r="K144" s="1434">
        <f t="shared" ref="K144:P144" si="31">SUM(K139:K143)</f>
        <v>0</v>
      </c>
      <c r="L144" s="1434">
        <f t="shared" si="31"/>
        <v>1</v>
      </c>
      <c r="M144" s="1434">
        <f t="shared" si="31"/>
        <v>1</v>
      </c>
      <c r="N144" s="1434">
        <f t="shared" si="31"/>
        <v>2</v>
      </c>
      <c r="O144" s="1434">
        <f t="shared" si="31"/>
        <v>2</v>
      </c>
      <c r="P144" s="1434">
        <f t="shared" si="31"/>
        <v>2</v>
      </c>
      <c r="Q144" s="1434">
        <f>SUM(Q139:Q143)</f>
        <v>0</v>
      </c>
      <c r="R144" s="1434">
        <f t="shared" si="25"/>
        <v>1.75</v>
      </c>
      <c r="S144" s="1439">
        <f t="shared" si="29"/>
        <v>0</v>
      </c>
      <c r="T144" s="1440"/>
    </row>
    <row r="145" spans="1:20" x14ac:dyDescent="0.25">
      <c r="A145" s="1478" t="s">
        <v>158</v>
      </c>
      <c r="B145" s="1425" t="s">
        <v>908</v>
      </c>
      <c r="C145" s="1425" t="s">
        <v>617</v>
      </c>
      <c r="D145" s="1425" t="s">
        <v>1360</v>
      </c>
      <c r="E145" s="1426" t="s">
        <v>592</v>
      </c>
      <c r="F145" s="1425" t="s">
        <v>921</v>
      </c>
      <c r="G145" s="1426" t="s">
        <v>676</v>
      </c>
      <c r="H145" s="1427" t="s">
        <v>777</v>
      </c>
      <c r="I145" s="1428" t="s">
        <v>969</v>
      </c>
      <c r="J145" s="1428" t="s">
        <v>1419</v>
      </c>
      <c r="K145" s="1428" t="s">
        <v>1443</v>
      </c>
      <c r="L145" s="1480" t="s">
        <v>1444</v>
      </c>
      <c r="M145" s="1477" t="s">
        <v>1445</v>
      </c>
      <c r="N145" s="1477" t="s">
        <v>1566</v>
      </c>
      <c r="O145" s="1477" t="s">
        <v>1613</v>
      </c>
      <c r="P145" s="1477" t="s">
        <v>1660</v>
      </c>
      <c r="Q145" s="1477" t="s">
        <v>1749</v>
      </c>
      <c r="R145" s="1481" t="s">
        <v>31</v>
      </c>
      <c r="S145" s="1481" t="s">
        <v>32</v>
      </c>
      <c r="T145" s="1440"/>
    </row>
    <row r="146" spans="1:20" x14ac:dyDescent="0.25">
      <c r="A146" s="1445" t="s">
        <v>1161</v>
      </c>
      <c r="B146" s="1430">
        <v>0</v>
      </c>
      <c r="C146" s="1430">
        <v>0</v>
      </c>
      <c r="D146" s="1430">
        <v>0</v>
      </c>
      <c r="E146" s="1431">
        <v>1</v>
      </c>
      <c r="F146" s="1430">
        <v>3</v>
      </c>
      <c r="G146" s="1431">
        <v>2</v>
      </c>
      <c r="H146" s="1432">
        <v>1</v>
      </c>
      <c r="I146" s="1432">
        <v>0</v>
      </c>
      <c r="J146" s="1432">
        <v>0</v>
      </c>
      <c r="K146" s="1432">
        <v>5</v>
      </c>
      <c r="L146" s="1432">
        <v>2</v>
      </c>
      <c r="M146" s="1433">
        <v>4</v>
      </c>
      <c r="N146" s="1433">
        <v>0</v>
      </c>
      <c r="O146" s="1433">
        <v>0</v>
      </c>
      <c r="P146" s="1433">
        <v>0</v>
      </c>
      <c r="Q146" s="1433">
        <v>1</v>
      </c>
      <c r="R146" s="1434">
        <f t="shared" si="25"/>
        <v>2.5</v>
      </c>
      <c r="S146" s="1435">
        <f>+Q146/$Q$466</f>
        <v>1.7921146953405018E-3</v>
      </c>
      <c r="T146" s="1440"/>
    </row>
    <row r="147" spans="1:20" x14ac:dyDescent="0.25">
      <c r="A147" s="1445" t="s">
        <v>160</v>
      </c>
      <c r="B147" s="1430">
        <v>1</v>
      </c>
      <c r="C147" s="1430">
        <v>0</v>
      </c>
      <c r="D147" s="1430">
        <v>0</v>
      </c>
      <c r="E147" s="1431">
        <v>0</v>
      </c>
      <c r="F147" s="1430">
        <v>0</v>
      </c>
      <c r="G147" s="1431">
        <v>0</v>
      </c>
      <c r="H147" s="1432">
        <v>0</v>
      </c>
      <c r="I147" s="1432">
        <v>0</v>
      </c>
      <c r="J147" s="1432">
        <v>0</v>
      </c>
      <c r="K147" s="1432">
        <v>0</v>
      </c>
      <c r="L147" s="1432">
        <v>0</v>
      </c>
      <c r="M147" s="1432">
        <v>0</v>
      </c>
      <c r="N147" s="1433">
        <v>0</v>
      </c>
      <c r="O147" s="1433">
        <v>0</v>
      </c>
      <c r="P147" s="1433">
        <v>1</v>
      </c>
      <c r="Q147" s="1433">
        <v>0</v>
      </c>
      <c r="R147" s="1434">
        <f t="shared" si="25"/>
        <v>1</v>
      </c>
      <c r="S147" s="1435">
        <f>+Q147/$Q$466</f>
        <v>0</v>
      </c>
      <c r="T147" s="1440"/>
    </row>
    <row r="148" spans="1:20" x14ac:dyDescent="0.25">
      <c r="A148" s="1455" t="s">
        <v>161</v>
      </c>
      <c r="B148" s="1451">
        <v>0</v>
      </c>
      <c r="C148" s="1451">
        <v>0</v>
      </c>
      <c r="D148" s="1451">
        <v>0</v>
      </c>
      <c r="E148" s="1452">
        <v>0</v>
      </c>
      <c r="F148" s="1451">
        <v>0</v>
      </c>
      <c r="G148" s="1452">
        <v>0</v>
      </c>
      <c r="H148" s="1453">
        <v>0</v>
      </c>
      <c r="I148" s="1453">
        <v>0</v>
      </c>
      <c r="J148" s="1453">
        <v>0</v>
      </c>
      <c r="K148" s="1453">
        <v>0</v>
      </c>
      <c r="L148" s="1453">
        <v>0</v>
      </c>
      <c r="M148" s="1453">
        <v>0</v>
      </c>
      <c r="N148" s="1433">
        <v>0</v>
      </c>
      <c r="O148" s="1433">
        <v>0</v>
      </c>
      <c r="P148" s="1433">
        <v>0</v>
      </c>
      <c r="Q148" s="1433">
        <v>0</v>
      </c>
      <c r="R148" s="1434" t="str">
        <f t="shared" si="25"/>
        <v xml:space="preserve"> </v>
      </c>
      <c r="S148" s="1435">
        <f>+Q148/$Q$466</f>
        <v>0</v>
      </c>
      <c r="T148" s="1440"/>
    </row>
    <row r="149" spans="1:20" x14ac:dyDescent="0.25">
      <c r="A149" s="1445" t="s">
        <v>162</v>
      </c>
      <c r="B149" s="1430">
        <v>3</v>
      </c>
      <c r="C149" s="1430">
        <v>3</v>
      </c>
      <c r="D149" s="1430">
        <v>3</v>
      </c>
      <c r="E149" s="1431">
        <v>1</v>
      </c>
      <c r="F149" s="1430">
        <v>0</v>
      </c>
      <c r="G149" s="1431">
        <v>0</v>
      </c>
      <c r="H149" s="1432">
        <v>0</v>
      </c>
      <c r="I149" s="1432">
        <v>0</v>
      </c>
      <c r="J149" s="1432">
        <v>0</v>
      </c>
      <c r="K149" s="1432">
        <v>0</v>
      </c>
      <c r="L149" s="1432">
        <v>0</v>
      </c>
      <c r="M149" s="1432">
        <v>0</v>
      </c>
      <c r="N149" s="1433">
        <v>0</v>
      </c>
      <c r="O149" s="1433">
        <v>0</v>
      </c>
      <c r="P149" s="1433">
        <v>0</v>
      </c>
      <c r="Q149" s="1433">
        <v>0</v>
      </c>
      <c r="R149" s="1434" t="str">
        <f t="shared" si="25"/>
        <v xml:space="preserve"> </v>
      </c>
      <c r="S149" s="1435">
        <f>+Q149/$Q$466</f>
        <v>0</v>
      </c>
      <c r="T149" s="1440"/>
    </row>
    <row r="150" spans="1:20" x14ac:dyDescent="0.25">
      <c r="A150" s="1449" t="s">
        <v>36</v>
      </c>
      <c r="B150" s="1437">
        <f t="shared" ref="B150:J150" si="32">SUM(B146:B149)</f>
        <v>4</v>
      </c>
      <c r="C150" s="1437">
        <f t="shared" si="32"/>
        <v>3</v>
      </c>
      <c r="D150" s="1437">
        <f t="shared" si="32"/>
        <v>3</v>
      </c>
      <c r="E150" s="1438">
        <f t="shared" si="32"/>
        <v>2</v>
      </c>
      <c r="F150" s="1437">
        <f t="shared" si="32"/>
        <v>3</v>
      </c>
      <c r="G150" s="1438">
        <f t="shared" si="32"/>
        <v>2</v>
      </c>
      <c r="H150" s="1434">
        <f t="shared" si="32"/>
        <v>1</v>
      </c>
      <c r="I150" s="1434">
        <f t="shared" si="32"/>
        <v>0</v>
      </c>
      <c r="J150" s="1434">
        <f t="shared" si="32"/>
        <v>0</v>
      </c>
      <c r="K150" s="1434">
        <f t="shared" ref="K150:P150" si="33">SUM(K146:K149)</f>
        <v>5</v>
      </c>
      <c r="L150" s="1434">
        <f t="shared" si="33"/>
        <v>2</v>
      </c>
      <c r="M150" s="1434">
        <f t="shared" si="33"/>
        <v>4</v>
      </c>
      <c r="N150" s="1434">
        <f t="shared" si="33"/>
        <v>0</v>
      </c>
      <c r="O150" s="1434">
        <f t="shared" si="33"/>
        <v>0</v>
      </c>
      <c r="P150" s="1434">
        <f t="shared" si="33"/>
        <v>1</v>
      </c>
      <c r="Q150" s="1434">
        <f>SUM(Q146:Q149)</f>
        <v>1</v>
      </c>
      <c r="R150" s="1434">
        <f t="shared" si="25"/>
        <v>2</v>
      </c>
      <c r="S150" s="1439">
        <f>+Q150/$Q$466</f>
        <v>1.7921146953405018E-3</v>
      </c>
      <c r="T150" s="1440"/>
    </row>
    <row r="151" spans="1:20" x14ac:dyDescent="0.25">
      <c r="A151" s="1478" t="s">
        <v>163</v>
      </c>
      <c r="B151" s="1425" t="s">
        <v>908</v>
      </c>
      <c r="C151" s="1425" t="s">
        <v>617</v>
      </c>
      <c r="D151" s="1425" t="s">
        <v>1360</v>
      </c>
      <c r="E151" s="1426" t="s">
        <v>592</v>
      </c>
      <c r="F151" s="1425" t="s">
        <v>921</v>
      </c>
      <c r="G151" s="1426" t="s">
        <v>676</v>
      </c>
      <c r="H151" s="1427" t="s">
        <v>777</v>
      </c>
      <c r="I151" s="1428" t="s">
        <v>969</v>
      </c>
      <c r="J151" s="1428" t="s">
        <v>1419</v>
      </c>
      <c r="K151" s="1428" t="s">
        <v>1443</v>
      </c>
      <c r="L151" s="1480" t="s">
        <v>1444</v>
      </c>
      <c r="M151" s="1477" t="s">
        <v>1445</v>
      </c>
      <c r="N151" s="1477" t="s">
        <v>1566</v>
      </c>
      <c r="O151" s="1477" t="s">
        <v>1613</v>
      </c>
      <c r="P151" s="1477" t="s">
        <v>1660</v>
      </c>
      <c r="Q151" s="1477" t="s">
        <v>1749</v>
      </c>
      <c r="R151" s="1481" t="s">
        <v>31</v>
      </c>
      <c r="S151" s="1481" t="s">
        <v>32</v>
      </c>
      <c r="T151" s="1440"/>
    </row>
    <row r="152" spans="1:20" x14ac:dyDescent="0.25">
      <c r="A152" s="1445" t="s">
        <v>164</v>
      </c>
      <c r="B152" s="1430">
        <v>0</v>
      </c>
      <c r="C152" s="1430">
        <v>0</v>
      </c>
      <c r="D152" s="1430">
        <v>0</v>
      </c>
      <c r="E152" s="1431">
        <v>0</v>
      </c>
      <c r="F152" s="1430">
        <v>0</v>
      </c>
      <c r="G152" s="1431">
        <v>1</v>
      </c>
      <c r="H152" s="1432">
        <v>0</v>
      </c>
      <c r="I152" s="1432">
        <v>0</v>
      </c>
      <c r="J152" s="1432">
        <v>0</v>
      </c>
      <c r="K152" s="1432">
        <v>2</v>
      </c>
      <c r="L152" s="1432">
        <v>0</v>
      </c>
      <c r="M152" s="1432">
        <v>1</v>
      </c>
      <c r="N152" s="1432">
        <v>3</v>
      </c>
      <c r="O152" s="1432">
        <v>1</v>
      </c>
      <c r="P152" s="1432">
        <v>0</v>
      </c>
      <c r="Q152" s="1432">
        <v>0</v>
      </c>
      <c r="R152" s="1434">
        <f t="shared" si="25"/>
        <v>1.6666666666666667</v>
      </c>
      <c r="S152" s="1435">
        <f t="shared" ref="S152:S157" si="34">+Q152/$Q$466</f>
        <v>0</v>
      </c>
      <c r="T152" s="1440"/>
    </row>
    <row r="153" spans="1:20" x14ac:dyDescent="0.25">
      <c r="A153" s="1445" t="s">
        <v>165</v>
      </c>
      <c r="B153" s="1430">
        <v>0</v>
      </c>
      <c r="C153" s="1430">
        <v>0</v>
      </c>
      <c r="D153" s="1430">
        <v>0</v>
      </c>
      <c r="E153" s="1431">
        <v>0</v>
      </c>
      <c r="F153" s="1430">
        <v>0</v>
      </c>
      <c r="G153" s="1431">
        <v>0</v>
      </c>
      <c r="H153" s="1432">
        <v>0</v>
      </c>
      <c r="I153" s="1432">
        <v>0</v>
      </c>
      <c r="J153" s="1432">
        <v>0</v>
      </c>
      <c r="K153" s="1432">
        <v>0</v>
      </c>
      <c r="L153" s="1432">
        <v>0</v>
      </c>
      <c r="M153" s="1432">
        <v>0</v>
      </c>
      <c r="N153" s="1432">
        <v>0</v>
      </c>
      <c r="O153" s="1432">
        <v>0</v>
      </c>
      <c r="P153" s="1432">
        <v>0</v>
      </c>
      <c r="Q153" s="1432">
        <v>0</v>
      </c>
      <c r="R153" s="1434" t="str">
        <f t="shared" si="25"/>
        <v xml:space="preserve"> </v>
      </c>
      <c r="S153" s="1435">
        <f t="shared" si="34"/>
        <v>0</v>
      </c>
      <c r="T153" s="1440"/>
    </row>
    <row r="154" spans="1:20" x14ac:dyDescent="0.25">
      <c r="A154" s="1445" t="s">
        <v>166</v>
      </c>
      <c r="B154" s="1430">
        <v>1</v>
      </c>
      <c r="C154" s="1430">
        <v>1</v>
      </c>
      <c r="D154" s="1430">
        <v>3</v>
      </c>
      <c r="E154" s="1431">
        <v>11</v>
      </c>
      <c r="F154" s="1430">
        <v>3</v>
      </c>
      <c r="G154" s="1431">
        <v>1</v>
      </c>
      <c r="H154" s="1432">
        <v>0</v>
      </c>
      <c r="I154" s="1432">
        <v>0</v>
      </c>
      <c r="J154" s="1432">
        <v>1</v>
      </c>
      <c r="K154" s="1432">
        <v>1</v>
      </c>
      <c r="L154" s="1432">
        <v>1</v>
      </c>
      <c r="M154" s="1432">
        <v>0</v>
      </c>
      <c r="N154" s="1432">
        <v>3</v>
      </c>
      <c r="O154" s="1432">
        <v>1</v>
      </c>
      <c r="P154" s="1432">
        <v>1</v>
      </c>
      <c r="Q154" s="1432">
        <v>0</v>
      </c>
      <c r="R154" s="1434">
        <f t="shared" si="25"/>
        <v>1.6666666666666667</v>
      </c>
      <c r="S154" s="1435">
        <f t="shared" si="34"/>
        <v>0</v>
      </c>
      <c r="T154" s="1440"/>
    </row>
    <row r="155" spans="1:20" x14ac:dyDescent="0.25">
      <c r="A155" s="1445" t="s">
        <v>167</v>
      </c>
      <c r="B155" s="1430">
        <v>0</v>
      </c>
      <c r="C155" s="1430">
        <v>0</v>
      </c>
      <c r="D155" s="1430">
        <v>2</v>
      </c>
      <c r="E155" s="1431">
        <v>0</v>
      </c>
      <c r="F155" s="1430">
        <v>0</v>
      </c>
      <c r="G155" s="1431">
        <v>0</v>
      </c>
      <c r="H155" s="1432">
        <v>0</v>
      </c>
      <c r="I155" s="1432">
        <v>0</v>
      </c>
      <c r="J155" s="1432">
        <v>2</v>
      </c>
      <c r="K155" s="1432">
        <v>0</v>
      </c>
      <c r="L155" s="1432">
        <v>0</v>
      </c>
      <c r="M155" s="1432">
        <v>0</v>
      </c>
      <c r="N155" s="1432">
        <v>0</v>
      </c>
      <c r="O155" s="1432">
        <v>0</v>
      </c>
      <c r="P155" s="1432">
        <v>3</v>
      </c>
      <c r="Q155" s="1432">
        <v>0</v>
      </c>
      <c r="R155" s="1434">
        <f t="shared" si="25"/>
        <v>3</v>
      </c>
      <c r="S155" s="1435">
        <f t="shared" si="34"/>
        <v>0</v>
      </c>
      <c r="T155" s="1440"/>
    </row>
    <row r="156" spans="1:20" x14ac:dyDescent="0.25">
      <c r="A156" s="1455" t="s">
        <v>168</v>
      </c>
      <c r="B156" s="1451">
        <v>0</v>
      </c>
      <c r="C156" s="1451">
        <v>1</v>
      </c>
      <c r="D156" s="1451">
        <v>0</v>
      </c>
      <c r="E156" s="1452">
        <v>4</v>
      </c>
      <c r="F156" s="1451">
        <v>0</v>
      </c>
      <c r="G156" s="1452">
        <v>0</v>
      </c>
      <c r="H156" s="1453">
        <v>2</v>
      </c>
      <c r="I156" s="1453">
        <v>2</v>
      </c>
      <c r="J156" s="1453">
        <v>2</v>
      </c>
      <c r="K156" s="1453">
        <v>1</v>
      </c>
      <c r="L156" s="1453">
        <v>4</v>
      </c>
      <c r="M156" s="1433">
        <v>2</v>
      </c>
      <c r="N156" s="1433">
        <v>2</v>
      </c>
      <c r="O156" s="1433">
        <v>4</v>
      </c>
      <c r="P156" s="1433">
        <v>1</v>
      </c>
      <c r="Q156" s="1433">
        <v>1</v>
      </c>
      <c r="R156" s="1434">
        <f t="shared" si="25"/>
        <v>2</v>
      </c>
      <c r="S156" s="1435">
        <f t="shared" si="34"/>
        <v>1.7921146953405018E-3</v>
      </c>
      <c r="T156" s="1440"/>
    </row>
    <row r="157" spans="1:20" x14ac:dyDescent="0.25">
      <c r="A157" s="1449" t="s">
        <v>36</v>
      </c>
      <c r="B157" s="1437">
        <f t="shared" ref="B157:J157" si="35">SUM(B152:B156)</f>
        <v>1</v>
      </c>
      <c r="C157" s="1437">
        <f t="shared" si="35"/>
        <v>2</v>
      </c>
      <c r="D157" s="1437">
        <f t="shared" si="35"/>
        <v>5</v>
      </c>
      <c r="E157" s="1438">
        <f t="shared" si="35"/>
        <v>15</v>
      </c>
      <c r="F157" s="1437">
        <f t="shared" si="35"/>
        <v>3</v>
      </c>
      <c r="G157" s="1438">
        <f t="shared" si="35"/>
        <v>2</v>
      </c>
      <c r="H157" s="1434">
        <f t="shared" si="35"/>
        <v>2</v>
      </c>
      <c r="I157" s="1434">
        <f t="shared" si="35"/>
        <v>2</v>
      </c>
      <c r="J157" s="1434">
        <f t="shared" si="35"/>
        <v>5</v>
      </c>
      <c r="K157" s="1434">
        <f t="shared" ref="K157:P157" si="36">SUM(K152:K156)</f>
        <v>4</v>
      </c>
      <c r="L157" s="1434">
        <f t="shared" si="36"/>
        <v>5</v>
      </c>
      <c r="M157" s="1434">
        <f t="shared" si="36"/>
        <v>3</v>
      </c>
      <c r="N157" s="1434">
        <f t="shared" si="36"/>
        <v>8</v>
      </c>
      <c r="O157" s="1434">
        <f t="shared" si="36"/>
        <v>6</v>
      </c>
      <c r="P157" s="1434">
        <f t="shared" si="36"/>
        <v>5</v>
      </c>
      <c r="Q157" s="1434">
        <f>SUM(Q152:Q156)</f>
        <v>1</v>
      </c>
      <c r="R157" s="1434">
        <f t="shared" si="25"/>
        <v>4.5999999999999996</v>
      </c>
      <c r="S157" s="1439">
        <f t="shared" si="34"/>
        <v>1.7921146953405018E-3</v>
      </c>
      <c r="T157" s="1440"/>
    </row>
    <row r="158" spans="1:20" x14ac:dyDescent="0.25">
      <c r="A158" s="1478" t="s">
        <v>169</v>
      </c>
      <c r="B158" s="1425" t="s">
        <v>908</v>
      </c>
      <c r="C158" s="1425" t="s">
        <v>617</v>
      </c>
      <c r="D158" s="1425" t="s">
        <v>1360</v>
      </c>
      <c r="E158" s="1426" t="s">
        <v>592</v>
      </c>
      <c r="F158" s="1425" t="s">
        <v>921</v>
      </c>
      <c r="G158" s="1426" t="s">
        <v>676</v>
      </c>
      <c r="H158" s="1427" t="s">
        <v>777</v>
      </c>
      <c r="I158" s="1428" t="s">
        <v>969</v>
      </c>
      <c r="J158" s="1428" t="s">
        <v>1419</v>
      </c>
      <c r="K158" s="1428" t="s">
        <v>1443</v>
      </c>
      <c r="L158" s="1480" t="s">
        <v>1444</v>
      </c>
      <c r="M158" s="1477" t="s">
        <v>1445</v>
      </c>
      <c r="N158" s="1477" t="s">
        <v>1566</v>
      </c>
      <c r="O158" s="1477" t="s">
        <v>1613</v>
      </c>
      <c r="P158" s="1477" t="s">
        <v>1660</v>
      </c>
      <c r="Q158" s="1477" t="s">
        <v>1749</v>
      </c>
      <c r="R158" s="1481" t="s">
        <v>31</v>
      </c>
      <c r="S158" s="1481" t="s">
        <v>32</v>
      </c>
      <c r="T158" s="1440"/>
    </row>
    <row r="159" spans="1:20" x14ac:dyDescent="0.25">
      <c r="A159" s="1445" t="s">
        <v>170</v>
      </c>
      <c r="B159" s="1430">
        <v>1</v>
      </c>
      <c r="C159" s="1430">
        <v>0</v>
      </c>
      <c r="D159" s="1430">
        <v>1</v>
      </c>
      <c r="E159" s="1431">
        <v>2</v>
      </c>
      <c r="F159" s="1430">
        <v>1</v>
      </c>
      <c r="G159" s="1431">
        <v>1</v>
      </c>
      <c r="H159" s="1432">
        <v>0</v>
      </c>
      <c r="I159" s="1432">
        <v>0</v>
      </c>
      <c r="J159" s="1432">
        <v>0</v>
      </c>
      <c r="K159" s="1432">
        <v>0</v>
      </c>
      <c r="L159" s="1432">
        <v>0</v>
      </c>
      <c r="M159" s="1433">
        <v>2</v>
      </c>
      <c r="N159" s="1433">
        <v>0</v>
      </c>
      <c r="O159" s="1433">
        <v>1</v>
      </c>
      <c r="P159" s="1433">
        <v>0</v>
      </c>
      <c r="Q159" s="1433">
        <v>0</v>
      </c>
      <c r="R159" s="1434">
        <f t="shared" si="25"/>
        <v>1.5</v>
      </c>
      <c r="S159" s="1435">
        <f t="shared" ref="S159:S164" si="37">+Q159/$Q$466</f>
        <v>0</v>
      </c>
      <c r="T159" s="1440"/>
    </row>
    <row r="160" spans="1:20" x14ac:dyDescent="0.25">
      <c r="A160" s="1445" t="s">
        <v>1080</v>
      </c>
      <c r="B160" s="1430">
        <v>0</v>
      </c>
      <c r="C160" s="1430">
        <v>0</v>
      </c>
      <c r="D160" s="1430">
        <v>0</v>
      </c>
      <c r="E160" s="1431">
        <v>0</v>
      </c>
      <c r="F160" s="1430">
        <v>4</v>
      </c>
      <c r="G160" s="1431">
        <v>0</v>
      </c>
      <c r="H160" s="1432">
        <v>0</v>
      </c>
      <c r="I160" s="1432">
        <v>2</v>
      </c>
      <c r="J160" s="1432">
        <v>0</v>
      </c>
      <c r="K160" s="1432">
        <v>0</v>
      </c>
      <c r="L160" s="1432">
        <v>2</v>
      </c>
      <c r="M160" s="1432">
        <v>0</v>
      </c>
      <c r="N160" s="1432">
        <v>0</v>
      </c>
      <c r="O160" s="1432">
        <v>0</v>
      </c>
      <c r="P160" s="1432">
        <v>0</v>
      </c>
      <c r="Q160" s="1432">
        <v>0</v>
      </c>
      <c r="R160" s="1434" t="str">
        <f t="shared" si="25"/>
        <v xml:space="preserve"> </v>
      </c>
      <c r="S160" s="1435">
        <f t="shared" si="37"/>
        <v>0</v>
      </c>
      <c r="T160" s="1440"/>
    </row>
    <row r="161" spans="1:20" x14ac:dyDescent="0.25">
      <c r="A161" s="1445" t="s">
        <v>171</v>
      </c>
      <c r="B161" s="1430">
        <v>1</v>
      </c>
      <c r="C161" s="1430">
        <v>6</v>
      </c>
      <c r="D161" s="1430">
        <v>1</v>
      </c>
      <c r="E161" s="1431">
        <v>1</v>
      </c>
      <c r="F161" s="1430">
        <v>1</v>
      </c>
      <c r="G161" s="1431">
        <v>2</v>
      </c>
      <c r="H161" s="1432">
        <v>1</v>
      </c>
      <c r="I161" s="1432">
        <v>0</v>
      </c>
      <c r="J161" s="1432">
        <v>0</v>
      </c>
      <c r="K161" s="1432">
        <v>1</v>
      </c>
      <c r="L161" s="1432">
        <v>1</v>
      </c>
      <c r="M161" s="1432">
        <v>0</v>
      </c>
      <c r="N161" s="1432">
        <v>0</v>
      </c>
      <c r="O161" s="1432">
        <v>1</v>
      </c>
      <c r="P161" s="1432">
        <v>0</v>
      </c>
      <c r="Q161" s="1432">
        <v>0</v>
      </c>
      <c r="R161" s="1434">
        <f t="shared" si="25"/>
        <v>1</v>
      </c>
      <c r="S161" s="1435">
        <f t="shared" si="37"/>
        <v>0</v>
      </c>
      <c r="T161" s="1440"/>
    </row>
    <row r="162" spans="1:20" x14ac:dyDescent="0.25">
      <c r="A162" s="1445" t="s">
        <v>172</v>
      </c>
      <c r="B162" s="1430">
        <v>4</v>
      </c>
      <c r="C162" s="1430">
        <v>1</v>
      </c>
      <c r="D162" s="1430">
        <v>1</v>
      </c>
      <c r="E162" s="1431">
        <v>0</v>
      </c>
      <c r="F162" s="1430">
        <v>1</v>
      </c>
      <c r="G162" s="1431">
        <v>3</v>
      </c>
      <c r="H162" s="1432">
        <v>1</v>
      </c>
      <c r="I162" s="1432">
        <v>0</v>
      </c>
      <c r="J162" s="1432">
        <v>0</v>
      </c>
      <c r="K162" s="1432">
        <v>0</v>
      </c>
      <c r="L162" s="1432">
        <v>0</v>
      </c>
      <c r="M162" s="1432">
        <v>0</v>
      </c>
      <c r="N162" s="1432">
        <v>1</v>
      </c>
      <c r="O162" s="1432">
        <v>0</v>
      </c>
      <c r="P162" s="1432">
        <v>2</v>
      </c>
      <c r="Q162" s="1432">
        <v>0</v>
      </c>
      <c r="R162" s="1434">
        <f t="shared" si="25"/>
        <v>1.5</v>
      </c>
      <c r="S162" s="1435">
        <f t="shared" si="37"/>
        <v>0</v>
      </c>
      <c r="T162" s="1440"/>
    </row>
    <row r="163" spans="1:20" x14ac:dyDescent="0.25">
      <c r="A163" s="1445" t="s">
        <v>1478</v>
      </c>
      <c r="B163" s="1430"/>
      <c r="C163" s="1430"/>
      <c r="D163" s="1430"/>
      <c r="E163" s="1431">
        <v>0</v>
      </c>
      <c r="F163" s="1430">
        <v>0</v>
      </c>
      <c r="G163" s="1431">
        <v>0</v>
      </c>
      <c r="H163" s="1432">
        <v>0</v>
      </c>
      <c r="I163" s="1432">
        <v>0</v>
      </c>
      <c r="J163" s="1432">
        <v>0</v>
      </c>
      <c r="K163" s="1432">
        <v>0</v>
      </c>
      <c r="L163" s="1432">
        <v>1</v>
      </c>
      <c r="M163" s="1432">
        <v>0</v>
      </c>
      <c r="N163" s="1432">
        <v>0</v>
      </c>
      <c r="O163" s="1432">
        <v>0</v>
      </c>
      <c r="P163" s="1432">
        <v>0</v>
      </c>
      <c r="Q163" s="1432">
        <v>0</v>
      </c>
      <c r="R163" s="1434" t="str">
        <f t="shared" si="25"/>
        <v xml:space="preserve"> </v>
      </c>
      <c r="S163" s="1435">
        <f t="shared" si="37"/>
        <v>0</v>
      </c>
      <c r="T163" s="1440"/>
    </row>
    <row r="164" spans="1:20" x14ac:dyDescent="0.25">
      <c r="A164" s="1449" t="s">
        <v>36</v>
      </c>
      <c r="B164" s="1437">
        <f>SUM(B159:B162)</f>
        <v>6</v>
      </c>
      <c r="C164" s="1437">
        <f>SUM(C159:C162)</f>
        <v>7</v>
      </c>
      <c r="D164" s="1437">
        <f>SUM(D159:D162)</f>
        <v>3</v>
      </c>
      <c r="E164" s="1438">
        <f t="shared" ref="E164:N164" si="38">SUM(E159:E163)</f>
        <v>3</v>
      </c>
      <c r="F164" s="1437">
        <f t="shared" si="38"/>
        <v>7</v>
      </c>
      <c r="G164" s="1438">
        <f t="shared" si="38"/>
        <v>6</v>
      </c>
      <c r="H164" s="1434">
        <f t="shared" si="38"/>
        <v>2</v>
      </c>
      <c r="I164" s="1434">
        <f t="shared" si="38"/>
        <v>2</v>
      </c>
      <c r="J164" s="1434">
        <f t="shared" si="38"/>
        <v>0</v>
      </c>
      <c r="K164" s="1434">
        <f t="shared" si="38"/>
        <v>1</v>
      </c>
      <c r="L164" s="1434">
        <f t="shared" si="38"/>
        <v>4</v>
      </c>
      <c r="M164" s="1434">
        <f t="shared" si="38"/>
        <v>2</v>
      </c>
      <c r="N164" s="1434">
        <f t="shared" si="38"/>
        <v>1</v>
      </c>
      <c r="O164" s="1434">
        <f>SUM(O159:O163)</f>
        <v>2</v>
      </c>
      <c r="P164" s="1434">
        <f>SUM(P159:P163)</f>
        <v>2</v>
      </c>
      <c r="Q164" s="1434">
        <f>SUM(Q159:Q163)</f>
        <v>0</v>
      </c>
      <c r="R164" s="1434">
        <f t="shared" si="25"/>
        <v>1.75</v>
      </c>
      <c r="S164" s="1439">
        <f t="shared" si="37"/>
        <v>0</v>
      </c>
      <c r="T164" s="1440"/>
    </row>
    <row r="165" spans="1:20" x14ac:dyDescent="0.25">
      <c r="A165" s="1478" t="s">
        <v>173</v>
      </c>
      <c r="B165" s="1425" t="s">
        <v>908</v>
      </c>
      <c r="C165" s="1425" t="s">
        <v>617</v>
      </c>
      <c r="D165" s="1425" t="s">
        <v>1360</v>
      </c>
      <c r="E165" s="1426" t="s">
        <v>592</v>
      </c>
      <c r="F165" s="1425" t="s">
        <v>921</v>
      </c>
      <c r="G165" s="1426" t="s">
        <v>676</v>
      </c>
      <c r="H165" s="1427" t="s">
        <v>777</v>
      </c>
      <c r="I165" s="1428" t="s">
        <v>969</v>
      </c>
      <c r="J165" s="1428" t="s">
        <v>1419</v>
      </c>
      <c r="K165" s="1428" t="s">
        <v>1443</v>
      </c>
      <c r="L165" s="1480" t="s">
        <v>1444</v>
      </c>
      <c r="M165" s="1477" t="s">
        <v>1445</v>
      </c>
      <c r="N165" s="1477" t="s">
        <v>1566</v>
      </c>
      <c r="O165" s="1477" t="s">
        <v>1613</v>
      </c>
      <c r="P165" s="1477" t="s">
        <v>1660</v>
      </c>
      <c r="Q165" s="1477" t="s">
        <v>1749</v>
      </c>
      <c r="R165" s="1481" t="s">
        <v>31</v>
      </c>
      <c r="S165" s="1481" t="s">
        <v>32</v>
      </c>
      <c r="T165" s="1440"/>
    </row>
    <row r="166" spans="1:20" x14ac:dyDescent="0.25">
      <c r="A166" s="1457" t="s">
        <v>1602</v>
      </c>
      <c r="B166" s="1458"/>
      <c r="C166" s="1458"/>
      <c r="D166" s="1458"/>
      <c r="E166" s="1459"/>
      <c r="F166" s="1458"/>
      <c r="G166" s="1459"/>
      <c r="H166" s="1460"/>
      <c r="I166" s="1461"/>
      <c r="J166" s="1432">
        <v>0</v>
      </c>
      <c r="K166" s="1432">
        <v>0</v>
      </c>
      <c r="L166" s="1432">
        <v>0</v>
      </c>
      <c r="M166" s="1432">
        <v>0</v>
      </c>
      <c r="N166" s="1432">
        <v>2</v>
      </c>
      <c r="O166" s="1432">
        <v>2</v>
      </c>
      <c r="P166" s="1432">
        <v>0</v>
      </c>
      <c r="Q166" s="1432">
        <v>0</v>
      </c>
      <c r="R166" s="1434">
        <f t="shared" si="25"/>
        <v>2</v>
      </c>
      <c r="S166" s="1435">
        <f t="shared" ref="S166:S176" si="39">+Q166/$Q$466</f>
        <v>0</v>
      </c>
      <c r="T166" s="1440"/>
    </row>
    <row r="167" spans="1:20" x14ac:dyDescent="0.25">
      <c r="A167" s="1457" t="s">
        <v>1479</v>
      </c>
      <c r="B167" s="1430">
        <v>0</v>
      </c>
      <c r="C167" s="1430">
        <v>0</v>
      </c>
      <c r="D167" s="1430">
        <v>0</v>
      </c>
      <c r="E167" s="1431">
        <v>0</v>
      </c>
      <c r="F167" s="1430">
        <v>0</v>
      </c>
      <c r="G167" s="1431">
        <v>0</v>
      </c>
      <c r="H167" s="1432">
        <v>0</v>
      </c>
      <c r="I167" s="1432">
        <v>0</v>
      </c>
      <c r="J167" s="1432">
        <v>0</v>
      </c>
      <c r="K167" s="1432">
        <v>0</v>
      </c>
      <c r="L167" s="1432">
        <v>0</v>
      </c>
      <c r="M167" s="1432">
        <v>3</v>
      </c>
      <c r="N167" s="1432">
        <v>0</v>
      </c>
      <c r="O167" s="1432">
        <v>5</v>
      </c>
      <c r="P167" s="1432">
        <v>0</v>
      </c>
      <c r="Q167" s="1432">
        <v>1</v>
      </c>
      <c r="R167" s="1434">
        <f t="shared" si="25"/>
        <v>3</v>
      </c>
      <c r="S167" s="1435">
        <f t="shared" si="39"/>
        <v>1.7921146953405018E-3</v>
      </c>
      <c r="T167" s="1440"/>
    </row>
    <row r="168" spans="1:20" x14ac:dyDescent="0.25">
      <c r="A168" s="1445" t="s">
        <v>174</v>
      </c>
      <c r="B168" s="1430">
        <v>0</v>
      </c>
      <c r="C168" s="1430">
        <v>0</v>
      </c>
      <c r="D168" s="1430">
        <v>0</v>
      </c>
      <c r="E168" s="1431">
        <v>0</v>
      </c>
      <c r="F168" s="1430">
        <v>0</v>
      </c>
      <c r="G168" s="1431">
        <v>0</v>
      </c>
      <c r="H168" s="1432">
        <v>0</v>
      </c>
      <c r="I168" s="1432">
        <v>0</v>
      </c>
      <c r="J168" s="1432">
        <v>0</v>
      </c>
      <c r="K168" s="1432">
        <v>0</v>
      </c>
      <c r="L168" s="1432">
        <v>0</v>
      </c>
      <c r="M168" s="1432">
        <v>0</v>
      </c>
      <c r="N168" s="1432">
        <v>0</v>
      </c>
      <c r="O168" s="1432">
        <v>0</v>
      </c>
      <c r="P168" s="1432">
        <v>0</v>
      </c>
      <c r="Q168" s="1432">
        <v>0</v>
      </c>
      <c r="R168" s="1434" t="str">
        <f t="shared" si="25"/>
        <v xml:space="preserve"> </v>
      </c>
      <c r="S168" s="1435">
        <f t="shared" si="39"/>
        <v>0</v>
      </c>
      <c r="T168" s="1440"/>
    </row>
    <row r="169" spans="1:20" x14ac:dyDescent="0.25">
      <c r="A169" s="1445" t="s">
        <v>175</v>
      </c>
      <c r="B169" s="1430">
        <v>1</v>
      </c>
      <c r="C169" s="1430">
        <v>0</v>
      </c>
      <c r="D169" s="1430">
        <v>0</v>
      </c>
      <c r="E169" s="1431">
        <v>0</v>
      </c>
      <c r="F169" s="1430">
        <v>2</v>
      </c>
      <c r="G169" s="1431">
        <v>1</v>
      </c>
      <c r="H169" s="1432">
        <v>1</v>
      </c>
      <c r="I169" s="1432">
        <v>0</v>
      </c>
      <c r="J169" s="1432">
        <v>3</v>
      </c>
      <c r="K169" s="1432">
        <v>0</v>
      </c>
      <c r="L169" s="1432">
        <v>0</v>
      </c>
      <c r="M169" s="1432">
        <v>0</v>
      </c>
      <c r="N169" s="1432">
        <v>0</v>
      </c>
      <c r="O169" s="1432">
        <v>1</v>
      </c>
      <c r="P169" s="1432">
        <v>0</v>
      </c>
      <c r="Q169" s="1432">
        <v>1</v>
      </c>
      <c r="R169" s="1434">
        <f t="shared" si="25"/>
        <v>1</v>
      </c>
      <c r="S169" s="1435">
        <f t="shared" si="39"/>
        <v>1.7921146953405018E-3</v>
      </c>
      <c r="T169" s="1440"/>
    </row>
    <row r="170" spans="1:20" x14ac:dyDescent="0.25">
      <c r="A170" s="1445" t="s">
        <v>79</v>
      </c>
      <c r="B170" s="1430">
        <v>0</v>
      </c>
      <c r="C170" s="1430">
        <v>1</v>
      </c>
      <c r="D170" s="1430">
        <v>3</v>
      </c>
      <c r="E170" s="1431">
        <v>1</v>
      </c>
      <c r="F170" s="1430">
        <v>1</v>
      </c>
      <c r="G170" s="1431">
        <v>1</v>
      </c>
      <c r="H170" s="1432">
        <v>1</v>
      </c>
      <c r="I170" s="1432">
        <v>0</v>
      </c>
      <c r="J170" s="1432">
        <v>1</v>
      </c>
      <c r="K170" s="1432">
        <v>2</v>
      </c>
      <c r="L170" s="1432">
        <v>4</v>
      </c>
      <c r="M170" s="1433">
        <v>2</v>
      </c>
      <c r="N170" s="1433">
        <v>3</v>
      </c>
      <c r="O170" s="1433">
        <v>2</v>
      </c>
      <c r="P170" s="1433">
        <v>2</v>
      </c>
      <c r="Q170" s="1433">
        <v>1</v>
      </c>
      <c r="R170" s="1434">
        <f t="shared" si="25"/>
        <v>2</v>
      </c>
      <c r="S170" s="1435">
        <f t="shared" si="39"/>
        <v>1.7921146953405018E-3</v>
      </c>
      <c r="T170" s="1440"/>
    </row>
    <row r="171" spans="1:20" x14ac:dyDescent="0.25">
      <c r="A171" s="1450" t="s">
        <v>183</v>
      </c>
      <c r="B171" s="1462">
        <v>0</v>
      </c>
      <c r="C171" s="1462">
        <v>0</v>
      </c>
      <c r="D171" s="1462">
        <v>0</v>
      </c>
      <c r="E171" s="1463">
        <v>0</v>
      </c>
      <c r="F171" s="1462">
        <v>0</v>
      </c>
      <c r="G171" s="1463">
        <v>0</v>
      </c>
      <c r="H171" s="1464">
        <v>0</v>
      </c>
      <c r="I171" s="1464">
        <v>0</v>
      </c>
      <c r="J171" s="1464">
        <v>0</v>
      </c>
      <c r="K171" s="1464">
        <v>0</v>
      </c>
      <c r="L171" s="1464">
        <v>0</v>
      </c>
      <c r="M171" s="1464">
        <v>0</v>
      </c>
      <c r="N171" s="1464">
        <v>0</v>
      </c>
      <c r="O171" s="1464">
        <v>0</v>
      </c>
      <c r="P171" s="1464">
        <v>0</v>
      </c>
      <c r="Q171" s="1464">
        <v>0</v>
      </c>
      <c r="R171" s="1434" t="str">
        <f t="shared" si="25"/>
        <v xml:space="preserve"> </v>
      </c>
      <c r="S171" s="1435">
        <f t="shared" si="39"/>
        <v>0</v>
      </c>
      <c r="T171" s="1440"/>
    </row>
    <row r="172" spans="1:20" x14ac:dyDescent="0.25">
      <c r="A172" s="1450" t="s">
        <v>1766</v>
      </c>
      <c r="B172" s="1462"/>
      <c r="C172" s="1462"/>
      <c r="D172" s="1462"/>
      <c r="E172" s="2029"/>
      <c r="F172" s="1462"/>
      <c r="G172" s="2029"/>
      <c r="H172" s="2024"/>
      <c r="I172" s="2024"/>
      <c r="J172" s="2024"/>
      <c r="K172" s="2024"/>
      <c r="L172" s="2024"/>
      <c r="M172" s="2024"/>
      <c r="N172" s="2024"/>
      <c r="O172" s="2024"/>
      <c r="P172" s="2024"/>
      <c r="Q172" s="2024">
        <v>1</v>
      </c>
      <c r="R172" s="1434">
        <f t="shared" si="25"/>
        <v>1</v>
      </c>
      <c r="S172" s="1435">
        <f t="shared" si="39"/>
        <v>1.7921146953405018E-3</v>
      </c>
      <c r="T172" s="1440"/>
    </row>
    <row r="173" spans="1:20" x14ac:dyDescent="0.25">
      <c r="A173" s="1445" t="s">
        <v>184</v>
      </c>
      <c r="B173" s="1430">
        <v>0</v>
      </c>
      <c r="C173" s="1430">
        <v>0</v>
      </c>
      <c r="D173" s="1430">
        <v>1</v>
      </c>
      <c r="E173" s="1431">
        <v>0</v>
      </c>
      <c r="F173" s="1430">
        <v>0</v>
      </c>
      <c r="G173" s="1431">
        <v>0</v>
      </c>
      <c r="H173" s="1432">
        <v>0</v>
      </c>
      <c r="I173" s="1432">
        <v>0</v>
      </c>
      <c r="J173" s="1432">
        <v>0</v>
      </c>
      <c r="K173" s="1432">
        <v>0</v>
      </c>
      <c r="L173" s="1432">
        <v>0</v>
      </c>
      <c r="M173" s="1432">
        <v>0</v>
      </c>
      <c r="N173" s="1432">
        <v>0</v>
      </c>
      <c r="O173" s="1432">
        <v>0</v>
      </c>
      <c r="P173" s="1432">
        <v>0</v>
      </c>
      <c r="Q173" s="1432">
        <v>0</v>
      </c>
      <c r="R173" s="1434" t="str">
        <f t="shared" si="25"/>
        <v xml:space="preserve"> </v>
      </c>
      <c r="S173" s="1435">
        <f t="shared" si="39"/>
        <v>0</v>
      </c>
      <c r="T173" s="1440"/>
    </row>
    <row r="174" spans="1:20" x14ac:dyDescent="0.25">
      <c r="A174" s="1445" t="s">
        <v>185</v>
      </c>
      <c r="B174" s="1430">
        <v>5</v>
      </c>
      <c r="C174" s="1430">
        <v>4</v>
      </c>
      <c r="D174" s="1430">
        <v>1</v>
      </c>
      <c r="E174" s="1431">
        <v>5</v>
      </c>
      <c r="F174" s="1430">
        <v>5</v>
      </c>
      <c r="G174" s="1431">
        <v>3</v>
      </c>
      <c r="H174" s="1432">
        <v>3</v>
      </c>
      <c r="I174" s="1432">
        <v>2</v>
      </c>
      <c r="J174" s="1432">
        <v>0</v>
      </c>
      <c r="K174" s="1432">
        <v>3</v>
      </c>
      <c r="L174" s="1432">
        <v>2</v>
      </c>
      <c r="M174" s="1433">
        <v>4</v>
      </c>
      <c r="N174" s="1433">
        <v>3</v>
      </c>
      <c r="O174" s="1433">
        <v>5</v>
      </c>
      <c r="P174" s="1433">
        <v>3</v>
      </c>
      <c r="Q174" s="1433">
        <v>5</v>
      </c>
      <c r="R174" s="1434">
        <f t="shared" si="25"/>
        <v>4</v>
      </c>
      <c r="S174" s="1435">
        <f t="shared" si="39"/>
        <v>8.9605734767025085E-3</v>
      </c>
      <c r="T174" s="1440"/>
    </row>
    <row r="175" spans="1:20" x14ac:dyDescent="0.25">
      <c r="A175" s="1445" t="s">
        <v>1480</v>
      </c>
      <c r="B175" s="1430">
        <v>5</v>
      </c>
      <c r="C175" s="1430">
        <v>4</v>
      </c>
      <c r="D175" s="1430">
        <v>1</v>
      </c>
      <c r="E175" s="1431">
        <v>0</v>
      </c>
      <c r="F175" s="1430">
        <v>0</v>
      </c>
      <c r="G175" s="1431">
        <v>0</v>
      </c>
      <c r="H175" s="1432">
        <v>0</v>
      </c>
      <c r="I175" s="1432">
        <v>0</v>
      </c>
      <c r="J175" s="1432">
        <v>0</v>
      </c>
      <c r="K175" s="1432">
        <v>0</v>
      </c>
      <c r="L175" s="1432">
        <v>0</v>
      </c>
      <c r="M175" s="1433">
        <v>1</v>
      </c>
      <c r="N175" s="1433">
        <v>0</v>
      </c>
      <c r="O175" s="1433">
        <v>1</v>
      </c>
      <c r="P175" s="1433">
        <v>1</v>
      </c>
      <c r="Q175" s="1433">
        <v>1</v>
      </c>
      <c r="R175" s="1434">
        <f t="shared" si="25"/>
        <v>1</v>
      </c>
      <c r="S175" s="1435">
        <f t="shared" si="39"/>
        <v>1.7921146953405018E-3</v>
      </c>
      <c r="T175" s="1440"/>
    </row>
    <row r="176" spans="1:20" x14ac:dyDescent="0.25">
      <c r="A176" s="1449" t="s">
        <v>36</v>
      </c>
      <c r="B176" s="1437">
        <f>SUM(B166:B175)</f>
        <v>11</v>
      </c>
      <c r="C176" s="1437">
        <f t="shared" ref="C176:Q176" si="40">SUM(C166:C175)</f>
        <v>9</v>
      </c>
      <c r="D176" s="1437">
        <f t="shared" si="40"/>
        <v>6</v>
      </c>
      <c r="E176" s="1437">
        <f t="shared" si="40"/>
        <v>6</v>
      </c>
      <c r="F176" s="1437">
        <f t="shared" si="40"/>
        <v>8</v>
      </c>
      <c r="G176" s="1437">
        <f t="shared" si="40"/>
        <v>5</v>
      </c>
      <c r="H176" s="1437">
        <f t="shared" si="40"/>
        <v>5</v>
      </c>
      <c r="I176" s="1437">
        <f t="shared" si="40"/>
        <v>2</v>
      </c>
      <c r="J176" s="1437">
        <f t="shared" si="40"/>
        <v>4</v>
      </c>
      <c r="K176" s="1437">
        <f t="shared" si="40"/>
        <v>5</v>
      </c>
      <c r="L176" s="1437">
        <f t="shared" si="40"/>
        <v>6</v>
      </c>
      <c r="M176" s="1437">
        <f t="shared" si="40"/>
        <v>10</v>
      </c>
      <c r="N176" s="1437">
        <f t="shared" si="40"/>
        <v>8</v>
      </c>
      <c r="O176" s="1437">
        <f t="shared" si="40"/>
        <v>16</v>
      </c>
      <c r="P176" s="1437">
        <f t="shared" si="40"/>
        <v>6</v>
      </c>
      <c r="Q176" s="1437">
        <f t="shared" si="40"/>
        <v>10</v>
      </c>
      <c r="R176" s="1434">
        <f t="shared" si="25"/>
        <v>10</v>
      </c>
      <c r="S176" s="1439">
        <f t="shared" si="39"/>
        <v>1.7921146953405017E-2</v>
      </c>
      <c r="T176" s="1440"/>
    </row>
    <row r="177" spans="1:21" x14ac:dyDescent="0.25">
      <c r="A177" s="1478" t="s">
        <v>186</v>
      </c>
      <c r="B177" s="1425" t="s">
        <v>908</v>
      </c>
      <c r="C177" s="1425" t="s">
        <v>617</v>
      </c>
      <c r="D177" s="1425" t="s">
        <v>1360</v>
      </c>
      <c r="E177" s="1426" t="s">
        <v>592</v>
      </c>
      <c r="F177" s="1425" t="s">
        <v>921</v>
      </c>
      <c r="G177" s="1426" t="s">
        <v>676</v>
      </c>
      <c r="H177" s="1427" t="s">
        <v>777</v>
      </c>
      <c r="I177" s="1428" t="s">
        <v>969</v>
      </c>
      <c r="J177" s="1428" t="s">
        <v>1419</v>
      </c>
      <c r="K177" s="1428" t="s">
        <v>1443</v>
      </c>
      <c r="L177" s="1480" t="s">
        <v>1444</v>
      </c>
      <c r="M177" s="1477" t="s">
        <v>1445</v>
      </c>
      <c r="N177" s="1477" t="s">
        <v>1566</v>
      </c>
      <c r="O177" s="1477" t="s">
        <v>1613</v>
      </c>
      <c r="P177" s="1477" t="s">
        <v>1660</v>
      </c>
      <c r="Q177" s="1477" t="s">
        <v>1749</v>
      </c>
      <c r="R177" s="1481" t="s">
        <v>31</v>
      </c>
      <c r="S177" s="1481" t="s">
        <v>32</v>
      </c>
      <c r="T177" s="1440"/>
    </row>
    <row r="178" spans="1:21" x14ac:dyDescent="0.25">
      <c r="A178" s="1445" t="s">
        <v>1767</v>
      </c>
      <c r="B178" s="1430"/>
      <c r="C178" s="1430"/>
      <c r="D178" s="1430"/>
      <c r="E178" s="1431"/>
      <c r="F178" s="1430"/>
      <c r="G178" s="1431"/>
      <c r="H178" s="1432"/>
      <c r="I178" s="1432"/>
      <c r="J178" s="1432"/>
      <c r="K178" s="1432"/>
      <c r="L178" s="1432"/>
      <c r="M178" s="1432"/>
      <c r="N178" s="1432"/>
      <c r="O178" s="1432"/>
      <c r="P178" s="1432"/>
      <c r="Q178" s="1432">
        <v>5</v>
      </c>
      <c r="R178" s="1434">
        <f>IF(Q178+P178+O178+N178+M178=0," ",AVERAGEIF(M178:Q178,"&lt;&gt;0"))</f>
        <v>5</v>
      </c>
      <c r="S178" s="1435">
        <f>+Q178/$Q$466</f>
        <v>8.9605734767025085E-3</v>
      </c>
      <c r="T178" s="1440"/>
    </row>
    <row r="179" spans="1:21" x14ac:dyDescent="0.25">
      <c r="A179" s="1445" t="s">
        <v>187</v>
      </c>
      <c r="B179" s="1430">
        <v>1</v>
      </c>
      <c r="C179" s="1430">
        <v>1</v>
      </c>
      <c r="D179" s="1430">
        <v>1</v>
      </c>
      <c r="E179" s="1431">
        <v>1</v>
      </c>
      <c r="F179" s="1430">
        <v>0</v>
      </c>
      <c r="G179" s="1431">
        <v>3</v>
      </c>
      <c r="H179" s="1432">
        <v>0</v>
      </c>
      <c r="I179" s="1432">
        <v>0</v>
      </c>
      <c r="J179" s="1432">
        <v>0</v>
      </c>
      <c r="K179" s="1432">
        <v>0</v>
      </c>
      <c r="L179" s="1432">
        <v>0</v>
      </c>
      <c r="M179" s="1432">
        <v>0</v>
      </c>
      <c r="N179" s="1432">
        <v>1</v>
      </c>
      <c r="O179" s="1432">
        <v>1</v>
      </c>
      <c r="P179" s="1432">
        <v>1</v>
      </c>
      <c r="Q179" s="1432">
        <v>2</v>
      </c>
      <c r="R179" s="1434">
        <f t="shared" si="25"/>
        <v>1.25</v>
      </c>
      <c r="S179" s="1435">
        <f>+Q179/$Q$466</f>
        <v>3.5842293906810036E-3</v>
      </c>
      <c r="T179" s="1440"/>
    </row>
    <row r="180" spans="1:21" x14ac:dyDescent="0.25">
      <c r="A180" s="1445" t="s">
        <v>188</v>
      </c>
      <c r="B180" s="1430">
        <v>6</v>
      </c>
      <c r="C180" s="1430">
        <v>3</v>
      </c>
      <c r="D180" s="1430">
        <v>2</v>
      </c>
      <c r="E180" s="1431">
        <v>1</v>
      </c>
      <c r="F180" s="1430">
        <v>3</v>
      </c>
      <c r="G180" s="1431">
        <v>4</v>
      </c>
      <c r="H180" s="1432">
        <v>2</v>
      </c>
      <c r="I180" s="1432">
        <v>3</v>
      </c>
      <c r="J180" s="1432">
        <v>8</v>
      </c>
      <c r="K180" s="1432">
        <v>10</v>
      </c>
      <c r="L180" s="1432">
        <v>2</v>
      </c>
      <c r="M180" s="1433">
        <v>4</v>
      </c>
      <c r="N180" s="1433">
        <v>1</v>
      </c>
      <c r="O180" s="1433">
        <v>2</v>
      </c>
      <c r="P180" s="1433">
        <v>5</v>
      </c>
      <c r="Q180" s="1433">
        <v>3</v>
      </c>
      <c r="R180" s="1434">
        <f t="shared" si="25"/>
        <v>3</v>
      </c>
      <c r="S180" s="1435">
        <f>+Q180/$Q$466</f>
        <v>5.3763440860215058E-3</v>
      </c>
      <c r="T180" s="1440"/>
    </row>
    <row r="181" spans="1:21" x14ac:dyDescent="0.25">
      <c r="A181" s="1449" t="s">
        <v>36</v>
      </c>
      <c r="B181" s="1437">
        <f>SUM(B178:B180)</f>
        <v>7</v>
      </c>
      <c r="C181" s="1437">
        <f t="shared" ref="C181:Q181" si="41">SUM(C178:C180)</f>
        <v>4</v>
      </c>
      <c r="D181" s="1437">
        <f t="shared" si="41"/>
        <v>3</v>
      </c>
      <c r="E181" s="1437">
        <f t="shared" si="41"/>
        <v>2</v>
      </c>
      <c r="F181" s="1437">
        <f t="shared" si="41"/>
        <v>3</v>
      </c>
      <c r="G181" s="1437">
        <f t="shared" si="41"/>
        <v>7</v>
      </c>
      <c r="H181" s="1437">
        <f t="shared" si="41"/>
        <v>2</v>
      </c>
      <c r="I181" s="1437">
        <f t="shared" si="41"/>
        <v>3</v>
      </c>
      <c r="J181" s="1437">
        <f t="shared" si="41"/>
        <v>8</v>
      </c>
      <c r="K181" s="1437">
        <f t="shared" si="41"/>
        <v>10</v>
      </c>
      <c r="L181" s="1437">
        <f t="shared" si="41"/>
        <v>2</v>
      </c>
      <c r="M181" s="1437">
        <f t="shared" si="41"/>
        <v>4</v>
      </c>
      <c r="N181" s="1437">
        <f t="shared" si="41"/>
        <v>2</v>
      </c>
      <c r="O181" s="1437">
        <f t="shared" si="41"/>
        <v>3</v>
      </c>
      <c r="P181" s="1437">
        <f t="shared" si="41"/>
        <v>6</v>
      </c>
      <c r="Q181" s="1437">
        <f t="shared" si="41"/>
        <v>10</v>
      </c>
      <c r="R181" s="1434">
        <f t="shared" si="25"/>
        <v>5</v>
      </c>
      <c r="S181" s="1439">
        <f>+Q181/$Q$466</f>
        <v>1.7921146953405017E-2</v>
      </c>
      <c r="T181" s="1440"/>
    </row>
    <row r="182" spans="1:21" x14ac:dyDescent="0.25">
      <c r="A182" s="1478" t="s">
        <v>189</v>
      </c>
      <c r="B182" s="1425" t="s">
        <v>908</v>
      </c>
      <c r="C182" s="1425" t="s">
        <v>617</v>
      </c>
      <c r="D182" s="1425" t="s">
        <v>1360</v>
      </c>
      <c r="E182" s="1426" t="s">
        <v>592</v>
      </c>
      <c r="F182" s="1425" t="s">
        <v>921</v>
      </c>
      <c r="G182" s="1426" t="s">
        <v>676</v>
      </c>
      <c r="H182" s="1427" t="s">
        <v>777</v>
      </c>
      <c r="I182" s="1428" t="s">
        <v>969</v>
      </c>
      <c r="J182" s="1428" t="s">
        <v>1419</v>
      </c>
      <c r="K182" s="1428" t="s">
        <v>1443</v>
      </c>
      <c r="L182" s="1480" t="s">
        <v>1444</v>
      </c>
      <c r="M182" s="1477" t="s">
        <v>1445</v>
      </c>
      <c r="N182" s="1477" t="s">
        <v>1566</v>
      </c>
      <c r="O182" s="1477" t="s">
        <v>1613</v>
      </c>
      <c r="P182" s="1477" t="s">
        <v>1660</v>
      </c>
      <c r="Q182" s="1477" t="s">
        <v>1749</v>
      </c>
      <c r="R182" s="1481" t="s">
        <v>31</v>
      </c>
      <c r="S182" s="1481" t="s">
        <v>32</v>
      </c>
      <c r="T182" s="1440"/>
    </row>
    <row r="183" spans="1:21" x14ac:dyDescent="0.25">
      <c r="A183" s="1445" t="s">
        <v>190</v>
      </c>
      <c r="B183" s="1430">
        <v>0</v>
      </c>
      <c r="C183" s="1430">
        <v>1</v>
      </c>
      <c r="D183" s="1430">
        <v>4</v>
      </c>
      <c r="E183" s="1431">
        <v>6</v>
      </c>
      <c r="F183" s="1430">
        <v>3</v>
      </c>
      <c r="G183" s="1431">
        <v>0</v>
      </c>
      <c r="H183" s="1432">
        <v>3</v>
      </c>
      <c r="I183" s="1432">
        <v>4</v>
      </c>
      <c r="J183" s="1432">
        <v>1</v>
      </c>
      <c r="K183" s="1432">
        <v>2</v>
      </c>
      <c r="L183" s="1432">
        <v>9</v>
      </c>
      <c r="M183" s="1433">
        <v>5</v>
      </c>
      <c r="N183" s="1433">
        <v>4</v>
      </c>
      <c r="O183" s="1433">
        <v>1</v>
      </c>
      <c r="P183" s="1433">
        <v>0</v>
      </c>
      <c r="Q183" s="1433">
        <v>0</v>
      </c>
      <c r="R183" s="1434">
        <f t="shared" si="25"/>
        <v>3.3333333333333335</v>
      </c>
      <c r="S183" s="1435">
        <f>+Q183/$Q$466</f>
        <v>0</v>
      </c>
      <c r="T183" s="1440"/>
    </row>
    <row r="184" spans="1:21" x14ac:dyDescent="0.25">
      <c r="A184" s="1445" t="s">
        <v>191</v>
      </c>
      <c r="B184" s="1430">
        <v>0</v>
      </c>
      <c r="C184" s="1430">
        <v>0</v>
      </c>
      <c r="D184" s="1430">
        <v>1</v>
      </c>
      <c r="E184" s="1431">
        <v>0</v>
      </c>
      <c r="F184" s="1430">
        <v>0</v>
      </c>
      <c r="G184" s="1431">
        <v>0</v>
      </c>
      <c r="H184" s="1432">
        <v>0</v>
      </c>
      <c r="I184" s="1432">
        <v>0</v>
      </c>
      <c r="J184" s="1432">
        <v>0</v>
      </c>
      <c r="K184" s="1432">
        <v>0</v>
      </c>
      <c r="L184" s="1432">
        <v>0</v>
      </c>
      <c r="M184" s="1432">
        <v>0</v>
      </c>
      <c r="N184" s="1432">
        <v>3</v>
      </c>
      <c r="O184" s="1432">
        <v>2</v>
      </c>
      <c r="P184" s="1432">
        <v>1</v>
      </c>
      <c r="Q184" s="1432">
        <v>0</v>
      </c>
      <c r="R184" s="1434">
        <f t="shared" si="25"/>
        <v>2</v>
      </c>
      <c r="S184" s="1435">
        <f>+Q184/$Q$466</f>
        <v>0</v>
      </c>
      <c r="T184" s="1440"/>
    </row>
    <row r="185" spans="1:21" s="1440" customFormat="1" x14ac:dyDescent="0.25">
      <c r="A185" s="1436" t="s">
        <v>36</v>
      </c>
      <c r="B185" s="1437">
        <f t="shared" ref="B185:J185" si="42">SUM(B183:B184)</f>
        <v>0</v>
      </c>
      <c r="C185" s="1437">
        <f t="shared" si="42"/>
        <v>1</v>
      </c>
      <c r="D185" s="1437">
        <f t="shared" si="42"/>
        <v>5</v>
      </c>
      <c r="E185" s="1438">
        <f t="shared" si="42"/>
        <v>6</v>
      </c>
      <c r="F185" s="1437">
        <f t="shared" si="42"/>
        <v>3</v>
      </c>
      <c r="G185" s="1438">
        <f t="shared" si="42"/>
        <v>0</v>
      </c>
      <c r="H185" s="1434">
        <f t="shared" si="42"/>
        <v>3</v>
      </c>
      <c r="I185" s="1434">
        <f t="shared" si="42"/>
        <v>4</v>
      </c>
      <c r="J185" s="1434">
        <f t="shared" si="42"/>
        <v>1</v>
      </c>
      <c r="K185" s="1434">
        <f>SUM(K183:K184)</f>
        <v>2</v>
      </c>
      <c r="L185" s="1434">
        <f>SUM(L183:L184)</f>
        <v>9</v>
      </c>
      <c r="M185" s="1434">
        <f>SUM(M183:M184)</f>
        <v>5</v>
      </c>
      <c r="N185" s="1434">
        <f>SUM(N183:N184)</f>
        <v>7</v>
      </c>
      <c r="O185" s="1434">
        <f>+O184+O183</f>
        <v>3</v>
      </c>
      <c r="P185" s="1434">
        <f>+P184+P183</f>
        <v>1</v>
      </c>
      <c r="Q185" s="1434">
        <f>+Q184+Q183</f>
        <v>0</v>
      </c>
      <c r="R185" s="1434">
        <f t="shared" si="25"/>
        <v>4</v>
      </c>
      <c r="S185" s="1439">
        <f>+Q185/$Q$466</f>
        <v>0</v>
      </c>
      <c r="U185" s="1201"/>
    </row>
    <row r="186" spans="1:21" x14ac:dyDescent="0.25">
      <c r="A186" s="1478" t="s">
        <v>192</v>
      </c>
      <c r="B186" s="1425" t="s">
        <v>908</v>
      </c>
      <c r="C186" s="1425" t="s">
        <v>617</v>
      </c>
      <c r="D186" s="1425" t="s">
        <v>1360</v>
      </c>
      <c r="E186" s="1426" t="s">
        <v>592</v>
      </c>
      <c r="F186" s="1425" t="s">
        <v>921</v>
      </c>
      <c r="G186" s="1426" t="s">
        <v>676</v>
      </c>
      <c r="H186" s="1427" t="s">
        <v>777</v>
      </c>
      <c r="I186" s="1428" t="s">
        <v>969</v>
      </c>
      <c r="J186" s="1428" t="s">
        <v>1419</v>
      </c>
      <c r="K186" s="1428" t="s">
        <v>1443</v>
      </c>
      <c r="L186" s="1480" t="s">
        <v>1444</v>
      </c>
      <c r="M186" s="1477" t="s">
        <v>1445</v>
      </c>
      <c r="N186" s="1477" t="s">
        <v>1566</v>
      </c>
      <c r="O186" s="1477" t="s">
        <v>1613</v>
      </c>
      <c r="P186" s="1477" t="s">
        <v>1660</v>
      </c>
      <c r="Q186" s="1477" t="s">
        <v>1749</v>
      </c>
      <c r="R186" s="1481" t="s">
        <v>31</v>
      </c>
      <c r="S186" s="1481" t="s">
        <v>32</v>
      </c>
      <c r="T186" s="1440"/>
    </row>
    <row r="187" spans="1:21" x14ac:dyDescent="0.25">
      <c r="A187" s="1445" t="s">
        <v>193</v>
      </c>
      <c r="B187" s="1430">
        <v>0</v>
      </c>
      <c r="C187" s="1430">
        <v>0</v>
      </c>
      <c r="D187" s="1430">
        <v>0</v>
      </c>
      <c r="E187" s="1431">
        <v>0</v>
      </c>
      <c r="F187" s="1430">
        <v>0</v>
      </c>
      <c r="G187" s="1431">
        <v>0</v>
      </c>
      <c r="H187" s="1432">
        <v>1</v>
      </c>
      <c r="I187" s="1432">
        <v>0</v>
      </c>
      <c r="J187" s="1432">
        <v>2</v>
      </c>
      <c r="K187" s="1432">
        <v>0</v>
      </c>
      <c r="L187" s="1432">
        <v>0</v>
      </c>
      <c r="M187" s="1432">
        <v>0</v>
      </c>
      <c r="N187" s="1432">
        <v>1</v>
      </c>
      <c r="O187" s="1432">
        <v>0</v>
      </c>
      <c r="P187" s="1432">
        <v>0</v>
      </c>
      <c r="Q187" s="1432">
        <v>0</v>
      </c>
      <c r="R187" s="1434">
        <f t="shared" si="25"/>
        <v>1</v>
      </c>
      <c r="S187" s="1435">
        <f t="shared" ref="S187:S198" si="43">+Q187/$Q$466</f>
        <v>0</v>
      </c>
      <c r="T187" s="1440"/>
    </row>
    <row r="188" spans="1:21" x14ac:dyDescent="0.25">
      <c r="A188" s="1445" t="s">
        <v>194</v>
      </c>
      <c r="B188" s="1430">
        <v>0</v>
      </c>
      <c r="C188" s="1430">
        <v>0</v>
      </c>
      <c r="D188" s="1430">
        <v>0</v>
      </c>
      <c r="E188" s="1431">
        <v>0</v>
      </c>
      <c r="F188" s="1430">
        <v>0</v>
      </c>
      <c r="G188" s="1431">
        <v>0</v>
      </c>
      <c r="H188" s="1432">
        <v>0</v>
      </c>
      <c r="I188" s="1432">
        <v>0</v>
      </c>
      <c r="J188" s="1432">
        <v>0</v>
      </c>
      <c r="K188" s="1432">
        <v>0</v>
      </c>
      <c r="L188" s="1432">
        <v>0</v>
      </c>
      <c r="M188" s="1433">
        <v>1</v>
      </c>
      <c r="N188" s="1433">
        <v>0</v>
      </c>
      <c r="O188" s="1433">
        <v>0</v>
      </c>
      <c r="P188" s="1432">
        <v>0</v>
      </c>
      <c r="Q188" s="1432">
        <v>0</v>
      </c>
      <c r="R188" s="1434">
        <f t="shared" si="25"/>
        <v>1</v>
      </c>
      <c r="S188" s="1435">
        <f t="shared" si="43"/>
        <v>0</v>
      </c>
      <c r="T188" s="1440"/>
    </row>
    <row r="189" spans="1:21" x14ac:dyDescent="0.25">
      <c r="A189" s="1445" t="s">
        <v>195</v>
      </c>
      <c r="B189" s="1430">
        <v>0</v>
      </c>
      <c r="C189" s="1430">
        <v>0</v>
      </c>
      <c r="D189" s="1430">
        <v>0</v>
      </c>
      <c r="E189" s="1431">
        <v>0</v>
      </c>
      <c r="F189" s="1430">
        <v>0</v>
      </c>
      <c r="G189" s="1431">
        <v>0</v>
      </c>
      <c r="H189" s="1432">
        <v>0</v>
      </c>
      <c r="I189" s="1432">
        <v>0</v>
      </c>
      <c r="J189" s="1432">
        <v>0</v>
      </c>
      <c r="K189" s="1432">
        <v>1</v>
      </c>
      <c r="L189" s="1432">
        <v>0</v>
      </c>
      <c r="M189" s="1433">
        <v>0</v>
      </c>
      <c r="N189" s="1433">
        <v>0</v>
      </c>
      <c r="O189" s="1433">
        <v>0</v>
      </c>
      <c r="P189" s="1432">
        <v>0</v>
      </c>
      <c r="Q189" s="1432">
        <v>0</v>
      </c>
      <c r="R189" s="1434" t="str">
        <f t="shared" si="25"/>
        <v xml:space="preserve"> </v>
      </c>
      <c r="S189" s="1435">
        <f t="shared" si="43"/>
        <v>0</v>
      </c>
      <c r="T189" s="1440"/>
    </row>
    <row r="190" spans="1:21" x14ac:dyDescent="0.25">
      <c r="A190" s="1445" t="s">
        <v>196</v>
      </c>
      <c r="B190" s="1430">
        <v>0</v>
      </c>
      <c r="C190" s="1430">
        <v>1</v>
      </c>
      <c r="D190" s="1430">
        <v>2</v>
      </c>
      <c r="E190" s="1431">
        <v>0</v>
      </c>
      <c r="F190" s="1430">
        <v>0</v>
      </c>
      <c r="G190" s="1431">
        <v>0</v>
      </c>
      <c r="H190" s="1432">
        <v>0</v>
      </c>
      <c r="I190" s="1432">
        <v>0</v>
      </c>
      <c r="J190" s="1432">
        <v>9</v>
      </c>
      <c r="K190" s="1432">
        <v>0</v>
      </c>
      <c r="L190" s="1432">
        <v>0</v>
      </c>
      <c r="M190" s="1433">
        <v>0</v>
      </c>
      <c r="N190" s="1433">
        <v>0</v>
      </c>
      <c r="O190" s="1433">
        <v>0</v>
      </c>
      <c r="P190" s="1432">
        <v>0</v>
      </c>
      <c r="Q190" s="1432">
        <v>0</v>
      </c>
      <c r="R190" s="1434" t="str">
        <f t="shared" si="25"/>
        <v xml:space="preserve"> </v>
      </c>
      <c r="S190" s="1435">
        <f t="shared" si="43"/>
        <v>0</v>
      </c>
      <c r="T190" s="1440"/>
    </row>
    <row r="191" spans="1:21" x14ac:dyDescent="0.25">
      <c r="A191" s="1445" t="s">
        <v>198</v>
      </c>
      <c r="B191" s="1430">
        <v>1</v>
      </c>
      <c r="C191" s="1430">
        <v>0</v>
      </c>
      <c r="D191" s="1430">
        <v>1</v>
      </c>
      <c r="E191" s="1431">
        <v>0</v>
      </c>
      <c r="F191" s="1430">
        <v>0</v>
      </c>
      <c r="G191" s="1431">
        <v>0</v>
      </c>
      <c r="H191" s="1432">
        <v>1</v>
      </c>
      <c r="I191" s="1432">
        <v>0</v>
      </c>
      <c r="J191" s="1432">
        <v>0</v>
      </c>
      <c r="K191" s="1432">
        <v>0</v>
      </c>
      <c r="L191" s="1432">
        <v>0</v>
      </c>
      <c r="M191" s="1433">
        <v>0</v>
      </c>
      <c r="N191" s="1433">
        <v>0</v>
      </c>
      <c r="O191" s="1433">
        <v>0</v>
      </c>
      <c r="P191" s="1432">
        <v>0</v>
      </c>
      <c r="Q191" s="1432">
        <v>0</v>
      </c>
      <c r="R191" s="1434" t="str">
        <f t="shared" si="25"/>
        <v xml:space="preserve"> </v>
      </c>
      <c r="S191" s="1435">
        <f t="shared" si="43"/>
        <v>0</v>
      </c>
      <c r="T191" s="1440"/>
    </row>
    <row r="192" spans="1:21" x14ac:dyDescent="0.25">
      <c r="A192" s="1445" t="s">
        <v>199</v>
      </c>
      <c r="B192" s="1430">
        <v>1</v>
      </c>
      <c r="C192" s="1430">
        <v>1</v>
      </c>
      <c r="D192" s="1430">
        <v>0</v>
      </c>
      <c r="E192" s="1431">
        <v>2</v>
      </c>
      <c r="F192" s="1430">
        <v>0</v>
      </c>
      <c r="G192" s="1431">
        <v>0</v>
      </c>
      <c r="H192" s="1432">
        <v>0</v>
      </c>
      <c r="I192" s="1432">
        <v>2</v>
      </c>
      <c r="J192" s="1432">
        <v>0</v>
      </c>
      <c r="K192" s="1432">
        <v>0</v>
      </c>
      <c r="L192" s="1432">
        <v>5</v>
      </c>
      <c r="M192" s="1433">
        <v>1</v>
      </c>
      <c r="N192" s="1433">
        <v>1</v>
      </c>
      <c r="O192" s="1433">
        <v>1</v>
      </c>
      <c r="P192" s="1432">
        <v>0</v>
      </c>
      <c r="Q192" s="1432">
        <v>0</v>
      </c>
      <c r="R192" s="1434">
        <f t="shared" si="25"/>
        <v>1</v>
      </c>
      <c r="S192" s="1435">
        <f t="shared" si="43"/>
        <v>0</v>
      </c>
      <c r="T192" s="1440"/>
    </row>
    <row r="193" spans="1:20" x14ac:dyDescent="0.25">
      <c r="A193" s="1445" t="s">
        <v>200</v>
      </c>
      <c r="B193" s="1430">
        <v>0</v>
      </c>
      <c r="C193" s="1430">
        <v>0</v>
      </c>
      <c r="D193" s="1430">
        <v>0</v>
      </c>
      <c r="E193" s="1431">
        <v>0</v>
      </c>
      <c r="F193" s="1430">
        <v>0</v>
      </c>
      <c r="G193" s="1431">
        <v>0</v>
      </c>
      <c r="H193" s="1432">
        <v>1</v>
      </c>
      <c r="I193" s="1432">
        <v>0</v>
      </c>
      <c r="J193" s="1432">
        <v>0</v>
      </c>
      <c r="K193" s="1432">
        <v>0</v>
      </c>
      <c r="L193" s="1432">
        <v>0</v>
      </c>
      <c r="M193" s="1433">
        <v>0</v>
      </c>
      <c r="N193" s="1433">
        <v>0</v>
      </c>
      <c r="O193" s="1433">
        <v>0</v>
      </c>
      <c r="P193" s="1432">
        <v>0</v>
      </c>
      <c r="Q193" s="1432">
        <v>0</v>
      </c>
      <c r="R193" s="1434" t="str">
        <f t="shared" si="25"/>
        <v xml:space="preserve"> </v>
      </c>
      <c r="S193" s="1435">
        <f t="shared" si="43"/>
        <v>0</v>
      </c>
      <c r="T193" s="1440"/>
    </row>
    <row r="194" spans="1:20" x14ac:dyDescent="0.25">
      <c r="A194" s="1445" t="s">
        <v>201</v>
      </c>
      <c r="B194" s="1430">
        <v>2</v>
      </c>
      <c r="C194" s="1430">
        <v>1</v>
      </c>
      <c r="D194" s="1430">
        <v>1</v>
      </c>
      <c r="E194" s="1431">
        <v>2</v>
      </c>
      <c r="F194" s="1430">
        <v>3</v>
      </c>
      <c r="G194" s="1431">
        <v>1</v>
      </c>
      <c r="H194" s="1432">
        <v>2</v>
      </c>
      <c r="I194" s="1432">
        <v>1</v>
      </c>
      <c r="J194" s="1432">
        <v>4</v>
      </c>
      <c r="K194" s="1432">
        <v>0</v>
      </c>
      <c r="L194" s="1432">
        <v>2</v>
      </c>
      <c r="M194" s="1433">
        <v>0</v>
      </c>
      <c r="N194" s="1433">
        <v>1</v>
      </c>
      <c r="O194" s="1433">
        <v>0</v>
      </c>
      <c r="P194" s="1432">
        <v>0</v>
      </c>
      <c r="Q194" s="1432">
        <v>0</v>
      </c>
      <c r="R194" s="1434">
        <f t="shared" si="25"/>
        <v>1</v>
      </c>
      <c r="S194" s="1435">
        <f t="shared" si="43"/>
        <v>0</v>
      </c>
      <c r="T194" s="1440"/>
    </row>
    <row r="195" spans="1:20" x14ac:dyDescent="0.25">
      <c r="A195" s="1445" t="s">
        <v>202</v>
      </c>
      <c r="B195" s="1430">
        <v>0</v>
      </c>
      <c r="C195" s="1430">
        <v>2</v>
      </c>
      <c r="D195" s="1430">
        <v>0</v>
      </c>
      <c r="E195" s="1431">
        <v>1</v>
      </c>
      <c r="F195" s="1430">
        <v>0</v>
      </c>
      <c r="G195" s="1431">
        <v>0</v>
      </c>
      <c r="H195" s="1432">
        <v>2</v>
      </c>
      <c r="I195" s="1432">
        <v>0</v>
      </c>
      <c r="J195" s="1432">
        <v>0</v>
      </c>
      <c r="K195" s="1432">
        <v>0</v>
      </c>
      <c r="L195" s="1432">
        <v>1</v>
      </c>
      <c r="M195" s="1433">
        <v>0</v>
      </c>
      <c r="N195" s="1433">
        <v>0</v>
      </c>
      <c r="O195" s="1433">
        <v>0</v>
      </c>
      <c r="P195" s="1432">
        <v>0</v>
      </c>
      <c r="Q195" s="1432">
        <v>0</v>
      </c>
      <c r="R195" s="1434" t="str">
        <f t="shared" si="25"/>
        <v xml:space="preserve"> </v>
      </c>
      <c r="S195" s="1435">
        <f t="shared" si="43"/>
        <v>0</v>
      </c>
      <c r="T195" s="1440"/>
    </row>
    <row r="196" spans="1:20" x14ac:dyDescent="0.25">
      <c r="A196" s="1445" t="s">
        <v>203</v>
      </c>
      <c r="B196" s="1430">
        <v>2</v>
      </c>
      <c r="C196" s="1430">
        <v>0</v>
      </c>
      <c r="D196" s="1430">
        <v>2</v>
      </c>
      <c r="E196" s="1431">
        <v>1</v>
      </c>
      <c r="F196" s="1430">
        <v>1</v>
      </c>
      <c r="G196" s="1431">
        <v>2</v>
      </c>
      <c r="H196" s="1432">
        <v>0</v>
      </c>
      <c r="I196" s="1432">
        <v>4</v>
      </c>
      <c r="J196" s="1432">
        <v>0</v>
      </c>
      <c r="K196" s="1432">
        <v>0</v>
      </c>
      <c r="L196" s="1432">
        <v>5</v>
      </c>
      <c r="M196" s="1433">
        <v>1</v>
      </c>
      <c r="N196" s="1433">
        <v>3</v>
      </c>
      <c r="O196" s="1433">
        <v>1</v>
      </c>
      <c r="P196" s="1433">
        <v>1</v>
      </c>
      <c r="Q196" s="1433">
        <v>1</v>
      </c>
      <c r="R196" s="1434">
        <f t="shared" si="25"/>
        <v>1.4</v>
      </c>
      <c r="S196" s="1435">
        <f t="shared" si="43"/>
        <v>1.7921146953405018E-3</v>
      </c>
      <c r="T196" s="1440"/>
    </row>
    <row r="197" spans="1:20" x14ac:dyDescent="0.25">
      <c r="A197" s="1445" t="s">
        <v>204</v>
      </c>
      <c r="B197" s="1430">
        <v>0</v>
      </c>
      <c r="C197" s="1430">
        <v>1</v>
      </c>
      <c r="D197" s="1430">
        <v>0</v>
      </c>
      <c r="E197" s="1431">
        <v>1</v>
      </c>
      <c r="F197" s="1430">
        <v>0</v>
      </c>
      <c r="G197" s="1431">
        <v>0</v>
      </c>
      <c r="H197" s="1432">
        <v>0</v>
      </c>
      <c r="I197" s="1432">
        <v>2</v>
      </c>
      <c r="J197" s="1432">
        <v>0</v>
      </c>
      <c r="K197" s="1432">
        <v>0</v>
      </c>
      <c r="L197" s="1432">
        <v>0</v>
      </c>
      <c r="M197" s="1433">
        <v>1</v>
      </c>
      <c r="N197" s="1433">
        <v>3</v>
      </c>
      <c r="O197" s="1433">
        <v>1</v>
      </c>
      <c r="P197" s="1433">
        <v>3</v>
      </c>
      <c r="Q197" s="1433">
        <v>1</v>
      </c>
      <c r="R197" s="1434">
        <f t="shared" si="25"/>
        <v>1.8</v>
      </c>
      <c r="S197" s="1435">
        <f t="shared" si="43"/>
        <v>1.7921146953405018E-3</v>
      </c>
      <c r="T197" s="1440"/>
    </row>
    <row r="198" spans="1:20" x14ac:dyDescent="0.25">
      <c r="A198" s="1449" t="s">
        <v>36</v>
      </c>
      <c r="B198" s="1437">
        <f t="shared" ref="B198:J198" si="44">SUM(B187:B197)</f>
        <v>6</v>
      </c>
      <c r="C198" s="1437">
        <f t="shared" si="44"/>
        <v>6</v>
      </c>
      <c r="D198" s="1437">
        <f t="shared" si="44"/>
        <v>6</v>
      </c>
      <c r="E198" s="1438">
        <f t="shared" si="44"/>
        <v>7</v>
      </c>
      <c r="F198" s="1437">
        <f t="shared" si="44"/>
        <v>4</v>
      </c>
      <c r="G198" s="1438">
        <f t="shared" si="44"/>
        <v>3</v>
      </c>
      <c r="H198" s="1434">
        <f t="shared" si="44"/>
        <v>7</v>
      </c>
      <c r="I198" s="1434">
        <f t="shared" si="44"/>
        <v>9</v>
      </c>
      <c r="J198" s="1434">
        <f t="shared" si="44"/>
        <v>15</v>
      </c>
      <c r="K198" s="1434">
        <f t="shared" ref="K198:P198" si="45">SUM(K187:K197)</f>
        <v>1</v>
      </c>
      <c r="L198" s="1434">
        <f t="shared" si="45"/>
        <v>13</v>
      </c>
      <c r="M198" s="1434">
        <f t="shared" si="45"/>
        <v>4</v>
      </c>
      <c r="N198" s="1434">
        <f t="shared" si="45"/>
        <v>9</v>
      </c>
      <c r="O198" s="1434">
        <f t="shared" si="45"/>
        <v>3</v>
      </c>
      <c r="P198" s="1434">
        <f t="shared" si="45"/>
        <v>4</v>
      </c>
      <c r="Q198" s="1434">
        <f>SUM(Q187:Q197)</f>
        <v>2</v>
      </c>
      <c r="R198" s="1434">
        <f t="shared" si="25"/>
        <v>4.4000000000000004</v>
      </c>
      <c r="S198" s="1439">
        <f t="shared" si="43"/>
        <v>3.5842293906810036E-3</v>
      </c>
      <c r="T198" s="1440"/>
    </row>
    <row r="199" spans="1:20" x14ac:dyDescent="0.25">
      <c r="A199" s="1478" t="s">
        <v>206</v>
      </c>
      <c r="B199" s="1425" t="s">
        <v>908</v>
      </c>
      <c r="C199" s="1425" t="s">
        <v>617</v>
      </c>
      <c r="D199" s="1425" t="s">
        <v>1360</v>
      </c>
      <c r="E199" s="1426" t="s">
        <v>592</v>
      </c>
      <c r="F199" s="1425" t="s">
        <v>921</v>
      </c>
      <c r="G199" s="1426" t="s">
        <v>676</v>
      </c>
      <c r="H199" s="1427" t="s">
        <v>777</v>
      </c>
      <c r="I199" s="1428" t="s">
        <v>969</v>
      </c>
      <c r="J199" s="1428" t="s">
        <v>1419</v>
      </c>
      <c r="K199" s="1428" t="s">
        <v>1443</v>
      </c>
      <c r="L199" s="1480" t="s">
        <v>1444</v>
      </c>
      <c r="M199" s="1477" t="s">
        <v>1445</v>
      </c>
      <c r="N199" s="1477" t="s">
        <v>1566</v>
      </c>
      <c r="O199" s="1477" t="s">
        <v>1613</v>
      </c>
      <c r="P199" s="1477" t="s">
        <v>1660</v>
      </c>
      <c r="Q199" s="1477" t="s">
        <v>1749</v>
      </c>
      <c r="R199" s="1481" t="s">
        <v>31</v>
      </c>
      <c r="S199" s="1481" t="s">
        <v>32</v>
      </c>
      <c r="T199" s="1440"/>
    </row>
    <row r="200" spans="1:20" x14ac:dyDescent="0.25">
      <c r="A200" s="1445" t="s">
        <v>207</v>
      </c>
      <c r="B200" s="1430">
        <v>0</v>
      </c>
      <c r="C200" s="1430">
        <v>0</v>
      </c>
      <c r="D200" s="1430">
        <v>0</v>
      </c>
      <c r="E200" s="1431">
        <v>0</v>
      </c>
      <c r="F200" s="1430">
        <v>2</v>
      </c>
      <c r="G200" s="1431">
        <v>0</v>
      </c>
      <c r="H200" s="1432">
        <v>2</v>
      </c>
      <c r="I200" s="1432">
        <v>0</v>
      </c>
      <c r="J200" s="1432">
        <v>1</v>
      </c>
      <c r="K200" s="1432">
        <v>0</v>
      </c>
      <c r="L200" s="1432">
        <v>0</v>
      </c>
      <c r="M200" s="1432">
        <v>0</v>
      </c>
      <c r="N200" s="1432">
        <v>3</v>
      </c>
      <c r="O200" s="1432">
        <v>0</v>
      </c>
      <c r="P200" s="1432">
        <v>0</v>
      </c>
      <c r="Q200" s="1432">
        <v>0</v>
      </c>
      <c r="R200" s="1434">
        <f t="shared" si="25"/>
        <v>3</v>
      </c>
      <c r="S200" s="1435">
        <f t="shared" ref="S200:S207" si="46">+Q200/$Q$466</f>
        <v>0</v>
      </c>
      <c r="T200" s="1440"/>
    </row>
    <row r="201" spans="1:20" x14ac:dyDescent="0.25">
      <c r="A201" s="1445" t="s">
        <v>208</v>
      </c>
      <c r="B201" s="1430">
        <v>0</v>
      </c>
      <c r="C201" s="1430">
        <v>0</v>
      </c>
      <c r="D201" s="1430">
        <v>0</v>
      </c>
      <c r="E201" s="1431">
        <v>0</v>
      </c>
      <c r="F201" s="1430">
        <v>0</v>
      </c>
      <c r="G201" s="1431">
        <v>0</v>
      </c>
      <c r="H201" s="1432">
        <v>0</v>
      </c>
      <c r="I201" s="1432">
        <v>0</v>
      </c>
      <c r="J201" s="1432">
        <v>0</v>
      </c>
      <c r="K201" s="1432">
        <v>0</v>
      </c>
      <c r="L201" s="1432">
        <v>0</v>
      </c>
      <c r="M201" s="1432">
        <v>0</v>
      </c>
      <c r="N201" s="1432">
        <v>0</v>
      </c>
      <c r="O201" s="1432">
        <v>0</v>
      </c>
      <c r="P201" s="1432">
        <v>0</v>
      </c>
      <c r="Q201" s="1432">
        <v>0</v>
      </c>
      <c r="R201" s="1434" t="str">
        <f t="shared" ref="R201:R207" si="47">IF(Q201+P201+O201+N201+M201=0," ",AVERAGEIF(M201:Q201,"&lt;&gt;0"))</f>
        <v xml:space="preserve"> </v>
      </c>
      <c r="S201" s="1435">
        <f t="shared" si="46"/>
        <v>0</v>
      </c>
      <c r="T201" s="1440"/>
    </row>
    <row r="202" spans="1:20" x14ac:dyDescent="0.25">
      <c r="A202" s="1445" t="s">
        <v>209</v>
      </c>
      <c r="B202" s="1430">
        <v>1</v>
      </c>
      <c r="C202" s="1430">
        <v>3</v>
      </c>
      <c r="D202" s="1430">
        <v>3</v>
      </c>
      <c r="E202" s="1431">
        <v>1</v>
      </c>
      <c r="F202" s="1430">
        <v>3</v>
      </c>
      <c r="G202" s="1431">
        <v>0</v>
      </c>
      <c r="H202" s="1432">
        <v>2</v>
      </c>
      <c r="I202" s="1432">
        <v>0</v>
      </c>
      <c r="J202" s="1432">
        <v>2</v>
      </c>
      <c r="K202" s="1432">
        <v>2</v>
      </c>
      <c r="L202" s="1432">
        <v>0</v>
      </c>
      <c r="M202" s="1433">
        <v>1</v>
      </c>
      <c r="N202" s="1433">
        <v>0</v>
      </c>
      <c r="O202" s="1433">
        <v>0</v>
      </c>
      <c r="P202" s="1433">
        <v>2</v>
      </c>
      <c r="Q202" s="1433">
        <v>1</v>
      </c>
      <c r="R202" s="1434">
        <f t="shared" si="47"/>
        <v>1.3333333333333333</v>
      </c>
      <c r="S202" s="1435">
        <f t="shared" si="46"/>
        <v>1.7921146953405018E-3</v>
      </c>
      <c r="T202" s="1440"/>
    </row>
    <row r="203" spans="1:20" x14ac:dyDescent="0.25">
      <c r="A203" s="1445" t="s">
        <v>210</v>
      </c>
      <c r="B203" s="1430">
        <v>0</v>
      </c>
      <c r="C203" s="1430">
        <v>0</v>
      </c>
      <c r="D203" s="1430">
        <v>1</v>
      </c>
      <c r="E203" s="1431">
        <v>0</v>
      </c>
      <c r="F203" s="1430">
        <v>0</v>
      </c>
      <c r="G203" s="1431">
        <v>0</v>
      </c>
      <c r="H203" s="1432">
        <v>0</v>
      </c>
      <c r="I203" s="1432">
        <v>0</v>
      </c>
      <c r="J203" s="1432">
        <v>0</v>
      </c>
      <c r="K203" s="1432">
        <v>0</v>
      </c>
      <c r="L203" s="1432">
        <v>0</v>
      </c>
      <c r="M203" s="1433">
        <v>0</v>
      </c>
      <c r="N203" s="1433">
        <v>0</v>
      </c>
      <c r="O203" s="1433">
        <v>0</v>
      </c>
      <c r="P203" s="1433">
        <v>0</v>
      </c>
      <c r="Q203" s="1433">
        <v>0</v>
      </c>
      <c r="R203" s="1434" t="str">
        <f t="shared" si="47"/>
        <v xml:space="preserve"> </v>
      </c>
      <c r="S203" s="1435">
        <f t="shared" si="46"/>
        <v>0</v>
      </c>
      <c r="T203" s="1440"/>
    </row>
    <row r="204" spans="1:20" x14ac:dyDescent="0.25">
      <c r="A204" s="1445" t="s">
        <v>211</v>
      </c>
      <c r="B204" s="1430">
        <v>0</v>
      </c>
      <c r="C204" s="1430">
        <v>0</v>
      </c>
      <c r="D204" s="1430">
        <v>0</v>
      </c>
      <c r="E204" s="1431">
        <v>0</v>
      </c>
      <c r="F204" s="1430">
        <v>0</v>
      </c>
      <c r="G204" s="1431">
        <v>0</v>
      </c>
      <c r="H204" s="1432">
        <v>0</v>
      </c>
      <c r="I204" s="1432">
        <v>0</v>
      </c>
      <c r="J204" s="1432">
        <v>0</v>
      </c>
      <c r="K204" s="1432">
        <v>0</v>
      </c>
      <c r="L204" s="1432">
        <v>0</v>
      </c>
      <c r="M204" s="1433">
        <v>0</v>
      </c>
      <c r="N204" s="1433">
        <v>0</v>
      </c>
      <c r="O204" s="1433">
        <v>0</v>
      </c>
      <c r="P204" s="1433">
        <v>0</v>
      </c>
      <c r="Q204" s="1433">
        <v>0</v>
      </c>
      <c r="R204" s="1434" t="str">
        <f t="shared" si="47"/>
        <v xml:space="preserve"> </v>
      </c>
      <c r="S204" s="1435">
        <f t="shared" si="46"/>
        <v>0</v>
      </c>
      <c r="T204" s="1440"/>
    </row>
    <row r="205" spans="1:20" x14ac:dyDescent="0.25">
      <c r="A205" s="1445" t="s">
        <v>517</v>
      </c>
      <c r="B205" s="1430">
        <v>0</v>
      </c>
      <c r="C205" s="1430">
        <v>0</v>
      </c>
      <c r="D205" s="1430">
        <v>0</v>
      </c>
      <c r="E205" s="1431">
        <v>0</v>
      </c>
      <c r="F205" s="1430">
        <v>0</v>
      </c>
      <c r="G205" s="1431">
        <v>2</v>
      </c>
      <c r="H205" s="1432">
        <v>0</v>
      </c>
      <c r="I205" s="1432">
        <v>0</v>
      </c>
      <c r="J205" s="1432">
        <v>0</v>
      </c>
      <c r="K205" s="1432">
        <v>0</v>
      </c>
      <c r="L205" s="1432">
        <v>0</v>
      </c>
      <c r="M205" s="1433">
        <v>1</v>
      </c>
      <c r="N205" s="1433">
        <v>0</v>
      </c>
      <c r="O205" s="1433">
        <v>0</v>
      </c>
      <c r="P205" s="1433">
        <v>1</v>
      </c>
      <c r="Q205" s="1433">
        <v>0</v>
      </c>
      <c r="R205" s="1434">
        <f t="shared" si="47"/>
        <v>1</v>
      </c>
      <c r="S205" s="1435">
        <f t="shared" si="46"/>
        <v>0</v>
      </c>
      <c r="T205" s="1440"/>
    </row>
    <row r="206" spans="1:20" x14ac:dyDescent="0.25">
      <c r="A206" s="1445" t="s">
        <v>212</v>
      </c>
      <c r="B206" s="1430">
        <v>0</v>
      </c>
      <c r="C206" s="1430">
        <v>0</v>
      </c>
      <c r="D206" s="1430">
        <v>2</v>
      </c>
      <c r="E206" s="1431">
        <v>0</v>
      </c>
      <c r="F206" s="1430">
        <v>1</v>
      </c>
      <c r="G206" s="1431">
        <v>1</v>
      </c>
      <c r="H206" s="1432">
        <v>1</v>
      </c>
      <c r="I206" s="1432">
        <v>0</v>
      </c>
      <c r="J206" s="1432">
        <v>2</v>
      </c>
      <c r="K206" s="1432">
        <v>0</v>
      </c>
      <c r="L206" s="1432">
        <v>2</v>
      </c>
      <c r="M206" s="1433">
        <v>1</v>
      </c>
      <c r="N206" s="1433">
        <v>4</v>
      </c>
      <c r="O206" s="1433">
        <v>2</v>
      </c>
      <c r="P206" s="1433">
        <v>1</v>
      </c>
      <c r="Q206" s="1433">
        <v>1</v>
      </c>
      <c r="R206" s="1434">
        <f t="shared" si="47"/>
        <v>1.8</v>
      </c>
      <c r="S206" s="1435">
        <f t="shared" si="46"/>
        <v>1.7921146953405018E-3</v>
      </c>
      <c r="T206" s="1440"/>
    </row>
    <row r="207" spans="1:20" x14ac:dyDescent="0.25">
      <c r="A207" s="1449" t="s">
        <v>36</v>
      </c>
      <c r="B207" s="1437">
        <f t="shared" ref="B207:J207" si="48">SUM(B200:B206)</f>
        <v>1</v>
      </c>
      <c r="C207" s="1437">
        <f t="shared" si="48"/>
        <v>3</v>
      </c>
      <c r="D207" s="1437">
        <f t="shared" si="48"/>
        <v>6</v>
      </c>
      <c r="E207" s="1438">
        <f t="shared" si="48"/>
        <v>1</v>
      </c>
      <c r="F207" s="1437">
        <f t="shared" si="48"/>
        <v>6</v>
      </c>
      <c r="G207" s="1438">
        <f t="shared" si="48"/>
        <v>3</v>
      </c>
      <c r="H207" s="1434">
        <f t="shared" si="48"/>
        <v>5</v>
      </c>
      <c r="I207" s="1434">
        <f t="shared" si="48"/>
        <v>0</v>
      </c>
      <c r="J207" s="1434">
        <f t="shared" si="48"/>
        <v>5</v>
      </c>
      <c r="K207" s="1434">
        <f t="shared" ref="K207:P207" si="49">SUM(K200:K206)</f>
        <v>2</v>
      </c>
      <c r="L207" s="1434">
        <f t="shared" si="49"/>
        <v>2</v>
      </c>
      <c r="M207" s="1434">
        <f t="shared" si="49"/>
        <v>3</v>
      </c>
      <c r="N207" s="1434">
        <f t="shared" si="49"/>
        <v>7</v>
      </c>
      <c r="O207" s="1434">
        <f t="shared" si="49"/>
        <v>2</v>
      </c>
      <c r="P207" s="1434">
        <f t="shared" si="49"/>
        <v>4</v>
      </c>
      <c r="Q207" s="1434">
        <f>SUM(Q200:Q206)</f>
        <v>2</v>
      </c>
      <c r="R207" s="1434">
        <f t="shared" si="47"/>
        <v>3.6</v>
      </c>
      <c r="S207" s="1439">
        <f t="shared" si="46"/>
        <v>3.5842293906810036E-3</v>
      </c>
      <c r="T207" s="1440"/>
    </row>
    <row r="208" spans="1:20" x14ac:dyDescent="0.25">
      <c r="A208" s="1478" t="s">
        <v>213</v>
      </c>
      <c r="B208" s="1425" t="s">
        <v>908</v>
      </c>
      <c r="C208" s="1425" t="s">
        <v>617</v>
      </c>
      <c r="D208" s="1425" t="s">
        <v>1360</v>
      </c>
      <c r="E208" s="1426" t="s">
        <v>592</v>
      </c>
      <c r="F208" s="1425" t="s">
        <v>921</v>
      </c>
      <c r="G208" s="1426" t="s">
        <v>676</v>
      </c>
      <c r="H208" s="1427" t="s">
        <v>777</v>
      </c>
      <c r="I208" s="1428" t="s">
        <v>969</v>
      </c>
      <c r="J208" s="1428" t="s">
        <v>1419</v>
      </c>
      <c r="K208" s="1428" t="s">
        <v>1443</v>
      </c>
      <c r="L208" s="1480" t="s">
        <v>1444</v>
      </c>
      <c r="M208" s="1477" t="s">
        <v>1445</v>
      </c>
      <c r="N208" s="1477" t="s">
        <v>1566</v>
      </c>
      <c r="O208" s="1477" t="s">
        <v>1613</v>
      </c>
      <c r="P208" s="1477" t="s">
        <v>1660</v>
      </c>
      <c r="Q208" s="1477" t="s">
        <v>1749</v>
      </c>
      <c r="R208" s="1481" t="s">
        <v>31</v>
      </c>
      <c r="S208" s="1481" t="s">
        <v>32</v>
      </c>
      <c r="T208" s="1440"/>
    </row>
    <row r="209" spans="1:20" x14ac:dyDescent="0.25">
      <c r="A209" s="1445" t="s">
        <v>214</v>
      </c>
      <c r="B209" s="1430">
        <v>7</v>
      </c>
      <c r="C209" s="1430">
        <v>4</v>
      </c>
      <c r="D209" s="1430">
        <v>4</v>
      </c>
      <c r="E209" s="1431">
        <v>2</v>
      </c>
      <c r="F209" s="1430">
        <v>1</v>
      </c>
      <c r="G209" s="1431">
        <v>3</v>
      </c>
      <c r="H209" s="1432">
        <v>0</v>
      </c>
      <c r="I209" s="1432">
        <v>3</v>
      </c>
      <c r="J209" s="1432">
        <v>3</v>
      </c>
      <c r="K209" s="1432">
        <v>2</v>
      </c>
      <c r="L209" s="1432">
        <v>2</v>
      </c>
      <c r="M209" s="1433">
        <v>5</v>
      </c>
      <c r="N209" s="1433">
        <v>3</v>
      </c>
      <c r="O209" s="1433">
        <v>3</v>
      </c>
      <c r="P209" s="1433">
        <v>2</v>
      </c>
      <c r="Q209" s="1433">
        <v>0</v>
      </c>
      <c r="R209" s="1434">
        <f t="shared" ref="R209:R237" si="50">IF(Q209+P209+O209+N209+M209=0," ",AVERAGEIF(M209:Q209,"&lt;&gt;0"))</f>
        <v>3.25</v>
      </c>
      <c r="S209" s="1435">
        <f t="shared" ref="S209:S237" si="51">+Q209/$Q$466</f>
        <v>0</v>
      </c>
      <c r="T209" s="1440"/>
    </row>
    <row r="210" spans="1:20" x14ac:dyDescent="0.25">
      <c r="A210" s="1445" t="s">
        <v>215</v>
      </c>
      <c r="B210" s="1430">
        <v>2</v>
      </c>
      <c r="C210" s="1430">
        <v>1</v>
      </c>
      <c r="D210" s="1430">
        <v>0</v>
      </c>
      <c r="E210" s="1431">
        <v>4</v>
      </c>
      <c r="F210" s="1430">
        <v>4</v>
      </c>
      <c r="G210" s="1431">
        <v>1</v>
      </c>
      <c r="H210" s="1432">
        <v>0</v>
      </c>
      <c r="I210" s="1432">
        <v>1</v>
      </c>
      <c r="J210" s="1432">
        <v>0</v>
      </c>
      <c r="K210" s="1432">
        <v>4</v>
      </c>
      <c r="L210" s="1432">
        <v>1</v>
      </c>
      <c r="M210" s="1433">
        <v>1</v>
      </c>
      <c r="N210" s="1433">
        <v>2</v>
      </c>
      <c r="O210" s="1433">
        <v>3</v>
      </c>
      <c r="P210" s="1433">
        <v>4</v>
      </c>
      <c r="Q210" s="1433">
        <v>0</v>
      </c>
      <c r="R210" s="1434">
        <f t="shared" si="50"/>
        <v>2.5</v>
      </c>
      <c r="S210" s="1435">
        <f t="shared" si="51"/>
        <v>0</v>
      </c>
      <c r="T210" s="1440"/>
    </row>
    <row r="211" spans="1:20" x14ac:dyDescent="0.25">
      <c r="A211" s="1445" t="s">
        <v>216</v>
      </c>
      <c r="B211" s="1430">
        <v>0</v>
      </c>
      <c r="C211" s="1430">
        <v>0</v>
      </c>
      <c r="D211" s="1430">
        <v>0</v>
      </c>
      <c r="E211" s="1431">
        <v>0</v>
      </c>
      <c r="F211" s="1430">
        <v>1</v>
      </c>
      <c r="G211" s="1431">
        <v>0</v>
      </c>
      <c r="H211" s="1432">
        <v>0</v>
      </c>
      <c r="I211" s="1432">
        <v>0</v>
      </c>
      <c r="J211" s="1432">
        <v>0</v>
      </c>
      <c r="K211" s="1432">
        <v>1</v>
      </c>
      <c r="L211" s="1432">
        <v>0</v>
      </c>
      <c r="M211" s="1433">
        <v>0</v>
      </c>
      <c r="N211" s="1433">
        <v>0</v>
      </c>
      <c r="O211" s="1433">
        <v>0</v>
      </c>
      <c r="P211" s="1433">
        <v>0</v>
      </c>
      <c r="Q211" s="1433">
        <v>0</v>
      </c>
      <c r="R211" s="1434" t="str">
        <f t="shared" si="50"/>
        <v xml:space="preserve"> </v>
      </c>
      <c r="S211" s="1435">
        <f t="shared" si="51"/>
        <v>0</v>
      </c>
      <c r="T211" s="1440"/>
    </row>
    <row r="212" spans="1:20" x14ac:dyDescent="0.25">
      <c r="A212" s="1445" t="s">
        <v>1481</v>
      </c>
      <c r="B212" s="1430"/>
      <c r="C212" s="1430"/>
      <c r="D212" s="1430"/>
      <c r="E212" s="1431">
        <v>0</v>
      </c>
      <c r="F212" s="1430">
        <v>0</v>
      </c>
      <c r="G212" s="1431">
        <v>0</v>
      </c>
      <c r="H212" s="1432">
        <v>0</v>
      </c>
      <c r="I212" s="1432">
        <v>0</v>
      </c>
      <c r="J212" s="1432">
        <v>0</v>
      </c>
      <c r="K212" s="1432">
        <v>0</v>
      </c>
      <c r="L212" s="1432">
        <v>1</v>
      </c>
      <c r="M212" s="1433">
        <v>0</v>
      </c>
      <c r="N212" s="1433">
        <v>0</v>
      </c>
      <c r="O212" s="1433">
        <v>1</v>
      </c>
      <c r="P212" s="1433">
        <v>2</v>
      </c>
      <c r="Q212" s="1433">
        <v>1</v>
      </c>
      <c r="R212" s="1434">
        <f t="shared" si="50"/>
        <v>1.3333333333333333</v>
      </c>
      <c r="S212" s="1435">
        <f t="shared" si="51"/>
        <v>1.7921146953405018E-3</v>
      </c>
      <c r="T212" s="1440"/>
    </row>
    <row r="213" spans="1:20" x14ac:dyDescent="0.25">
      <c r="A213" s="1445" t="s">
        <v>217</v>
      </c>
      <c r="B213" s="1430">
        <v>5</v>
      </c>
      <c r="C213" s="1430">
        <v>1</v>
      </c>
      <c r="D213" s="1430">
        <v>4</v>
      </c>
      <c r="E213" s="1431">
        <v>0</v>
      </c>
      <c r="F213" s="1430">
        <v>1</v>
      </c>
      <c r="G213" s="1431">
        <v>0</v>
      </c>
      <c r="H213" s="1432">
        <v>3</v>
      </c>
      <c r="I213" s="1432">
        <v>0</v>
      </c>
      <c r="J213" s="1432">
        <v>2</v>
      </c>
      <c r="K213" s="1432">
        <v>0</v>
      </c>
      <c r="L213" s="1432">
        <v>4</v>
      </c>
      <c r="M213" s="1433">
        <v>2</v>
      </c>
      <c r="N213" s="1433">
        <v>0</v>
      </c>
      <c r="O213" s="1433">
        <v>1</v>
      </c>
      <c r="P213" s="1433">
        <v>2</v>
      </c>
      <c r="Q213" s="1433">
        <v>2</v>
      </c>
      <c r="R213" s="1434">
        <f t="shared" si="50"/>
        <v>1.75</v>
      </c>
      <c r="S213" s="1435">
        <f t="shared" si="51"/>
        <v>3.5842293906810036E-3</v>
      </c>
      <c r="T213" s="1440"/>
    </row>
    <row r="214" spans="1:20" x14ac:dyDescent="0.25">
      <c r="A214" s="1445" t="s">
        <v>1656</v>
      </c>
      <c r="B214" s="1430">
        <v>0</v>
      </c>
      <c r="C214" s="1430">
        <v>0</v>
      </c>
      <c r="D214" s="1430">
        <v>0</v>
      </c>
      <c r="E214" s="1431">
        <v>0</v>
      </c>
      <c r="F214" s="1430">
        <v>0</v>
      </c>
      <c r="G214" s="1431">
        <v>0</v>
      </c>
      <c r="H214" s="1432">
        <v>0</v>
      </c>
      <c r="I214" s="1432">
        <v>0</v>
      </c>
      <c r="J214" s="1432">
        <v>0</v>
      </c>
      <c r="K214" s="1432">
        <v>1</v>
      </c>
      <c r="L214" s="1432">
        <v>0</v>
      </c>
      <c r="M214" s="1433">
        <v>0</v>
      </c>
      <c r="N214" s="1433">
        <v>0</v>
      </c>
      <c r="O214" s="1433">
        <v>0</v>
      </c>
      <c r="P214" s="1433">
        <v>0</v>
      </c>
      <c r="Q214" s="1433">
        <v>0</v>
      </c>
      <c r="R214" s="1434" t="str">
        <f t="shared" si="50"/>
        <v xml:space="preserve"> </v>
      </c>
      <c r="S214" s="1435">
        <f t="shared" si="51"/>
        <v>0</v>
      </c>
      <c r="T214" s="1440"/>
    </row>
    <row r="215" spans="1:20" x14ac:dyDescent="0.25">
      <c r="A215" s="1445" t="s">
        <v>218</v>
      </c>
      <c r="B215" s="1430">
        <v>2</v>
      </c>
      <c r="C215" s="1430">
        <v>1</v>
      </c>
      <c r="D215" s="1430">
        <v>5</v>
      </c>
      <c r="E215" s="1431">
        <v>4</v>
      </c>
      <c r="F215" s="1430">
        <v>4</v>
      </c>
      <c r="G215" s="1431">
        <v>7</v>
      </c>
      <c r="H215" s="1432">
        <v>9</v>
      </c>
      <c r="I215" s="1432">
        <v>4</v>
      </c>
      <c r="J215" s="1432">
        <v>1</v>
      </c>
      <c r="K215" s="1432">
        <v>1</v>
      </c>
      <c r="L215" s="1432">
        <v>7</v>
      </c>
      <c r="M215" s="1433">
        <v>2</v>
      </c>
      <c r="N215" s="1433">
        <v>12</v>
      </c>
      <c r="O215" s="1433">
        <v>2</v>
      </c>
      <c r="P215" s="1433">
        <v>1</v>
      </c>
      <c r="Q215" s="1433">
        <v>1</v>
      </c>
      <c r="R215" s="1434">
        <f t="shared" si="50"/>
        <v>3.6</v>
      </c>
      <c r="S215" s="1435">
        <f t="shared" si="51"/>
        <v>1.7921146953405018E-3</v>
      </c>
      <c r="T215" s="1440"/>
    </row>
    <row r="216" spans="1:20" x14ac:dyDescent="0.25">
      <c r="A216" s="1445" t="s">
        <v>219</v>
      </c>
      <c r="B216" s="1430">
        <v>2</v>
      </c>
      <c r="C216" s="1430">
        <v>0</v>
      </c>
      <c r="D216" s="1430">
        <v>2</v>
      </c>
      <c r="E216" s="1431">
        <v>8</v>
      </c>
      <c r="F216" s="1430">
        <v>10</v>
      </c>
      <c r="G216" s="1431">
        <v>5</v>
      </c>
      <c r="H216" s="1432">
        <v>1</v>
      </c>
      <c r="I216" s="1432">
        <v>1</v>
      </c>
      <c r="J216" s="1432">
        <v>2</v>
      </c>
      <c r="K216" s="1432">
        <v>0</v>
      </c>
      <c r="L216" s="1432">
        <v>8</v>
      </c>
      <c r="M216" s="1433">
        <v>0</v>
      </c>
      <c r="N216" s="1433">
        <v>7</v>
      </c>
      <c r="O216" s="1433">
        <v>4</v>
      </c>
      <c r="P216" s="1433">
        <v>3</v>
      </c>
      <c r="Q216" s="1433">
        <v>4</v>
      </c>
      <c r="R216" s="1434">
        <f t="shared" si="50"/>
        <v>4.5</v>
      </c>
      <c r="S216" s="1435">
        <f t="shared" si="51"/>
        <v>7.1684587813620072E-3</v>
      </c>
      <c r="T216" s="1440"/>
    </row>
    <row r="217" spans="1:20" x14ac:dyDescent="0.25">
      <c r="A217" s="1445" t="s">
        <v>1162</v>
      </c>
      <c r="B217" s="1430">
        <v>0</v>
      </c>
      <c r="C217" s="1430">
        <v>0</v>
      </c>
      <c r="D217" s="1430">
        <v>0</v>
      </c>
      <c r="E217" s="1431">
        <v>1</v>
      </c>
      <c r="F217" s="1430">
        <v>0</v>
      </c>
      <c r="G217" s="1431">
        <v>3</v>
      </c>
      <c r="H217" s="1432">
        <v>2</v>
      </c>
      <c r="I217" s="1432">
        <v>5</v>
      </c>
      <c r="J217" s="1432">
        <v>1</v>
      </c>
      <c r="K217" s="1432">
        <v>2</v>
      </c>
      <c r="L217" s="1432">
        <v>3</v>
      </c>
      <c r="M217" s="1433">
        <v>2</v>
      </c>
      <c r="N217" s="1433">
        <v>2</v>
      </c>
      <c r="O217" s="1433">
        <v>0</v>
      </c>
      <c r="P217" s="1433">
        <v>0</v>
      </c>
      <c r="Q217" s="1433">
        <v>2</v>
      </c>
      <c r="R217" s="1434">
        <f t="shared" si="50"/>
        <v>2</v>
      </c>
      <c r="S217" s="1435">
        <f t="shared" si="51"/>
        <v>3.5842293906810036E-3</v>
      </c>
      <c r="T217" s="1440"/>
    </row>
    <row r="218" spans="1:20" x14ac:dyDescent="0.25">
      <c r="A218" s="1445" t="s">
        <v>220</v>
      </c>
      <c r="B218" s="1430">
        <v>3</v>
      </c>
      <c r="C218" s="1430">
        <v>2</v>
      </c>
      <c r="D218" s="1430">
        <v>2</v>
      </c>
      <c r="E218" s="1431">
        <v>2</v>
      </c>
      <c r="F218" s="1430">
        <v>8</v>
      </c>
      <c r="G218" s="1431">
        <v>5</v>
      </c>
      <c r="H218" s="1432">
        <v>1</v>
      </c>
      <c r="I218" s="1432">
        <v>5</v>
      </c>
      <c r="J218" s="1432">
        <v>0</v>
      </c>
      <c r="K218" s="1432">
        <v>3</v>
      </c>
      <c r="L218" s="1432">
        <v>3</v>
      </c>
      <c r="M218" s="1433">
        <v>2</v>
      </c>
      <c r="N218" s="1433">
        <v>1</v>
      </c>
      <c r="O218" s="1433">
        <v>0</v>
      </c>
      <c r="P218" s="1433">
        <v>4</v>
      </c>
      <c r="Q218" s="1433">
        <v>1</v>
      </c>
      <c r="R218" s="1434">
        <f t="shared" si="50"/>
        <v>2</v>
      </c>
      <c r="S218" s="1435">
        <f t="shared" si="51"/>
        <v>1.7921146953405018E-3</v>
      </c>
      <c r="T218" s="1440"/>
    </row>
    <row r="219" spans="1:20" x14ac:dyDescent="0.25">
      <c r="A219" s="1445" t="s">
        <v>1603</v>
      </c>
      <c r="B219" s="1430"/>
      <c r="C219" s="1430"/>
      <c r="D219" s="1430"/>
      <c r="E219" s="1431"/>
      <c r="F219" s="1430"/>
      <c r="G219" s="1431"/>
      <c r="H219" s="1432"/>
      <c r="I219" s="1432"/>
      <c r="J219" s="1432">
        <v>0</v>
      </c>
      <c r="K219" s="1432">
        <v>0</v>
      </c>
      <c r="L219" s="1432">
        <v>0</v>
      </c>
      <c r="M219" s="1433">
        <v>0</v>
      </c>
      <c r="N219" s="1433">
        <v>1</v>
      </c>
      <c r="O219" s="1433">
        <v>0</v>
      </c>
      <c r="P219" s="1433">
        <v>0</v>
      </c>
      <c r="Q219" s="1433">
        <v>0</v>
      </c>
      <c r="R219" s="1434">
        <f t="shared" si="50"/>
        <v>1</v>
      </c>
      <c r="S219" s="1435">
        <f t="shared" si="51"/>
        <v>0</v>
      </c>
      <c r="T219" s="1440"/>
    </row>
    <row r="220" spans="1:20" x14ac:dyDescent="0.25">
      <c r="A220" s="1445" t="s">
        <v>221</v>
      </c>
      <c r="B220" s="1430">
        <v>0</v>
      </c>
      <c r="C220" s="1430">
        <v>0</v>
      </c>
      <c r="D220" s="1430">
        <v>0</v>
      </c>
      <c r="E220" s="1431">
        <v>0</v>
      </c>
      <c r="F220" s="1430">
        <v>0</v>
      </c>
      <c r="G220" s="1431">
        <v>0</v>
      </c>
      <c r="H220" s="1432">
        <v>0</v>
      </c>
      <c r="I220" s="1432">
        <v>0</v>
      </c>
      <c r="J220" s="1432">
        <v>0</v>
      </c>
      <c r="K220" s="1432">
        <v>0</v>
      </c>
      <c r="L220" s="1432">
        <v>0</v>
      </c>
      <c r="M220" s="1432">
        <v>0</v>
      </c>
      <c r="N220" s="1432">
        <v>0</v>
      </c>
      <c r="O220" s="1432">
        <v>0</v>
      </c>
      <c r="P220" s="1432">
        <v>0</v>
      </c>
      <c r="Q220" s="1432">
        <v>0</v>
      </c>
      <c r="R220" s="1434" t="str">
        <f t="shared" si="50"/>
        <v xml:space="preserve"> </v>
      </c>
      <c r="S220" s="1435">
        <f t="shared" si="51"/>
        <v>0</v>
      </c>
      <c r="T220" s="1440"/>
    </row>
    <row r="221" spans="1:20" x14ac:dyDescent="0.25">
      <c r="A221" s="1445" t="s">
        <v>222</v>
      </c>
      <c r="B221" s="1430">
        <v>17</v>
      </c>
      <c r="C221" s="1430">
        <v>12</v>
      </c>
      <c r="D221" s="1430">
        <v>10</v>
      </c>
      <c r="E221" s="1431">
        <v>8</v>
      </c>
      <c r="F221" s="1430">
        <v>16</v>
      </c>
      <c r="G221" s="1431">
        <v>6</v>
      </c>
      <c r="H221" s="1432">
        <v>19</v>
      </c>
      <c r="I221" s="1432">
        <v>3</v>
      </c>
      <c r="J221" s="1432">
        <v>9</v>
      </c>
      <c r="K221" s="1432">
        <v>12</v>
      </c>
      <c r="L221" s="1432">
        <v>9</v>
      </c>
      <c r="M221" s="1433">
        <v>9</v>
      </c>
      <c r="N221" s="1433">
        <v>3</v>
      </c>
      <c r="O221" s="1433">
        <v>3</v>
      </c>
      <c r="P221" s="1433">
        <v>12</v>
      </c>
      <c r="Q221" s="1433">
        <v>2</v>
      </c>
      <c r="R221" s="1434">
        <f t="shared" si="50"/>
        <v>5.8</v>
      </c>
      <c r="S221" s="1435">
        <f t="shared" si="51"/>
        <v>3.5842293906810036E-3</v>
      </c>
      <c r="T221" s="1440"/>
    </row>
    <row r="222" spans="1:20" x14ac:dyDescent="0.25">
      <c r="A222" s="1445" t="s">
        <v>223</v>
      </c>
      <c r="B222" s="1430">
        <v>5</v>
      </c>
      <c r="C222" s="1430">
        <v>0</v>
      </c>
      <c r="D222" s="1430">
        <v>9</v>
      </c>
      <c r="E222" s="1431">
        <v>6</v>
      </c>
      <c r="F222" s="1430">
        <v>7</v>
      </c>
      <c r="G222" s="1431">
        <v>2</v>
      </c>
      <c r="H222" s="1432">
        <v>3</v>
      </c>
      <c r="I222" s="1432">
        <v>0</v>
      </c>
      <c r="J222" s="1432">
        <v>7</v>
      </c>
      <c r="K222" s="1432">
        <v>6</v>
      </c>
      <c r="L222" s="1432">
        <v>3</v>
      </c>
      <c r="M222" s="1433">
        <v>3</v>
      </c>
      <c r="N222" s="1433">
        <v>2</v>
      </c>
      <c r="O222" s="1433">
        <v>6</v>
      </c>
      <c r="P222" s="1433">
        <v>4</v>
      </c>
      <c r="Q222" s="1433">
        <v>0</v>
      </c>
      <c r="R222" s="1434">
        <f t="shared" si="50"/>
        <v>3.75</v>
      </c>
      <c r="S222" s="1435">
        <f t="shared" si="51"/>
        <v>0</v>
      </c>
      <c r="T222" s="1440"/>
    </row>
    <row r="223" spans="1:20" x14ac:dyDescent="0.25">
      <c r="A223" s="1445" t="s">
        <v>1768</v>
      </c>
      <c r="B223" s="1430"/>
      <c r="C223" s="1430"/>
      <c r="D223" s="1430"/>
      <c r="E223" s="2027"/>
      <c r="F223" s="1430"/>
      <c r="G223" s="2027"/>
      <c r="H223" s="2023"/>
      <c r="I223" s="2023"/>
      <c r="J223" s="2023"/>
      <c r="K223" s="2023"/>
      <c r="L223" s="2023"/>
      <c r="M223" s="2021">
        <v>0</v>
      </c>
      <c r="N223" s="2021">
        <v>0</v>
      </c>
      <c r="O223" s="2021">
        <v>0</v>
      </c>
      <c r="P223" s="2021">
        <v>0</v>
      </c>
      <c r="Q223" s="2021">
        <v>0</v>
      </c>
      <c r="R223" s="1434" t="str">
        <f t="shared" si="50"/>
        <v xml:space="preserve"> </v>
      </c>
      <c r="S223" s="2028">
        <f t="shared" si="51"/>
        <v>0</v>
      </c>
      <c r="T223" s="1440"/>
    </row>
    <row r="224" spans="1:20" x14ac:dyDescent="0.25">
      <c r="A224" s="1445" t="s">
        <v>224</v>
      </c>
      <c r="B224" s="1430">
        <v>10</v>
      </c>
      <c r="C224" s="1430">
        <v>4</v>
      </c>
      <c r="D224" s="1430">
        <v>8</v>
      </c>
      <c r="E224" s="1431">
        <v>7</v>
      </c>
      <c r="F224" s="1430">
        <v>5</v>
      </c>
      <c r="G224" s="1431">
        <v>7</v>
      </c>
      <c r="H224" s="1432">
        <v>7</v>
      </c>
      <c r="I224" s="1432">
        <v>6</v>
      </c>
      <c r="J224" s="1432">
        <v>10</v>
      </c>
      <c r="K224" s="1432">
        <v>7</v>
      </c>
      <c r="L224" s="1432">
        <v>4</v>
      </c>
      <c r="M224" s="1433">
        <v>9</v>
      </c>
      <c r="N224" s="1433">
        <v>4</v>
      </c>
      <c r="O224" s="1433">
        <v>5</v>
      </c>
      <c r="P224" s="1433">
        <v>9</v>
      </c>
      <c r="Q224" s="1433">
        <v>9</v>
      </c>
      <c r="R224" s="1434">
        <f t="shared" si="50"/>
        <v>7.2</v>
      </c>
      <c r="S224" s="1435">
        <f t="shared" si="51"/>
        <v>1.6129032258064516E-2</v>
      </c>
      <c r="T224" s="1440"/>
    </row>
    <row r="225" spans="1:20" x14ac:dyDescent="0.25">
      <c r="A225" s="1445" t="s">
        <v>225</v>
      </c>
      <c r="B225" s="1430">
        <v>3</v>
      </c>
      <c r="C225" s="1430">
        <v>1</v>
      </c>
      <c r="D225" s="1430">
        <v>3</v>
      </c>
      <c r="E225" s="1431">
        <v>3</v>
      </c>
      <c r="F225" s="1430">
        <v>5</v>
      </c>
      <c r="G225" s="1431">
        <v>3</v>
      </c>
      <c r="H225" s="1432">
        <v>1</v>
      </c>
      <c r="I225" s="1432">
        <v>4</v>
      </c>
      <c r="J225" s="1432">
        <v>3</v>
      </c>
      <c r="K225" s="1432">
        <v>3</v>
      </c>
      <c r="L225" s="1432">
        <v>2</v>
      </c>
      <c r="M225" s="1433">
        <v>4</v>
      </c>
      <c r="N225" s="1433">
        <v>2</v>
      </c>
      <c r="O225" s="1433">
        <v>1</v>
      </c>
      <c r="P225" s="1433">
        <v>3</v>
      </c>
      <c r="Q225" s="1433">
        <v>4</v>
      </c>
      <c r="R225" s="1434">
        <f t="shared" si="50"/>
        <v>2.8</v>
      </c>
      <c r="S225" s="1435">
        <f t="shared" si="51"/>
        <v>7.1684587813620072E-3</v>
      </c>
      <c r="T225" s="1440"/>
    </row>
    <row r="226" spans="1:20" x14ac:dyDescent="0.25">
      <c r="A226" s="1445" t="s">
        <v>226</v>
      </c>
      <c r="B226" s="1430">
        <v>0</v>
      </c>
      <c r="C226" s="1430">
        <v>0</v>
      </c>
      <c r="D226" s="1430">
        <v>0</v>
      </c>
      <c r="E226" s="1431">
        <v>0</v>
      </c>
      <c r="F226" s="1430">
        <v>0</v>
      </c>
      <c r="G226" s="1431">
        <v>0</v>
      </c>
      <c r="H226" s="1432">
        <v>0</v>
      </c>
      <c r="I226" s="1432">
        <v>0</v>
      </c>
      <c r="J226" s="1432">
        <v>0</v>
      </c>
      <c r="K226" s="1432">
        <v>0</v>
      </c>
      <c r="L226" s="1432">
        <v>0</v>
      </c>
      <c r="M226" s="1433">
        <v>1</v>
      </c>
      <c r="N226" s="1433">
        <v>0</v>
      </c>
      <c r="O226" s="1433">
        <v>0</v>
      </c>
      <c r="P226" s="1433">
        <v>1</v>
      </c>
      <c r="Q226" s="1433">
        <v>0</v>
      </c>
      <c r="R226" s="1434">
        <f t="shared" si="50"/>
        <v>1</v>
      </c>
      <c r="S226" s="1435">
        <f t="shared" si="51"/>
        <v>0</v>
      </c>
      <c r="T226" s="1440"/>
    </row>
    <row r="227" spans="1:20" x14ac:dyDescent="0.25">
      <c r="A227" s="1445" t="s">
        <v>1163</v>
      </c>
      <c r="B227" s="1430">
        <v>0</v>
      </c>
      <c r="C227" s="1430">
        <v>0</v>
      </c>
      <c r="D227" s="1430">
        <v>0</v>
      </c>
      <c r="E227" s="1431">
        <v>1</v>
      </c>
      <c r="F227" s="1430">
        <v>0</v>
      </c>
      <c r="G227" s="1431">
        <v>0</v>
      </c>
      <c r="H227" s="1432">
        <v>1</v>
      </c>
      <c r="I227" s="1432">
        <v>1</v>
      </c>
      <c r="J227" s="1432">
        <v>0</v>
      </c>
      <c r="K227" s="1432">
        <v>0</v>
      </c>
      <c r="L227" s="1432">
        <v>0</v>
      </c>
      <c r="M227" s="1433">
        <v>0</v>
      </c>
      <c r="N227" s="1433">
        <v>0</v>
      </c>
      <c r="O227" s="1433">
        <v>2</v>
      </c>
      <c r="P227" s="1433">
        <v>0</v>
      </c>
      <c r="Q227" s="1433">
        <v>0</v>
      </c>
      <c r="R227" s="1434">
        <f t="shared" si="50"/>
        <v>2</v>
      </c>
      <c r="S227" s="1435">
        <f t="shared" si="51"/>
        <v>0</v>
      </c>
      <c r="T227" s="1440"/>
    </row>
    <row r="228" spans="1:20" x14ac:dyDescent="0.25">
      <c r="A228" s="1445" t="s">
        <v>227</v>
      </c>
      <c r="B228" s="1430">
        <v>0</v>
      </c>
      <c r="C228" s="1430">
        <v>0</v>
      </c>
      <c r="D228" s="1430">
        <v>0</v>
      </c>
      <c r="E228" s="1431">
        <v>0</v>
      </c>
      <c r="F228" s="1430">
        <v>2</v>
      </c>
      <c r="G228" s="1431">
        <v>1</v>
      </c>
      <c r="H228" s="1432">
        <v>0</v>
      </c>
      <c r="I228" s="1432">
        <v>1</v>
      </c>
      <c r="J228" s="1432">
        <v>0</v>
      </c>
      <c r="K228" s="1432">
        <v>0</v>
      </c>
      <c r="L228" s="1432">
        <v>0</v>
      </c>
      <c r="M228" s="1433">
        <v>0</v>
      </c>
      <c r="N228" s="1433">
        <v>0</v>
      </c>
      <c r="O228" s="1433">
        <v>0</v>
      </c>
      <c r="P228" s="1433">
        <v>0</v>
      </c>
      <c r="Q228" s="1433">
        <v>0</v>
      </c>
      <c r="R228" s="1434" t="str">
        <f t="shared" si="50"/>
        <v xml:space="preserve"> </v>
      </c>
      <c r="S228" s="1435">
        <f t="shared" si="51"/>
        <v>0</v>
      </c>
      <c r="T228" s="1440"/>
    </row>
    <row r="229" spans="1:20" x14ac:dyDescent="0.25">
      <c r="A229" s="1445" t="s">
        <v>228</v>
      </c>
      <c r="B229" s="1430">
        <v>1</v>
      </c>
      <c r="C229" s="1430">
        <v>3</v>
      </c>
      <c r="D229" s="1430">
        <v>0</v>
      </c>
      <c r="E229" s="1431">
        <v>1</v>
      </c>
      <c r="F229" s="1430">
        <v>1</v>
      </c>
      <c r="G229" s="1431">
        <v>0</v>
      </c>
      <c r="H229" s="1432">
        <v>4</v>
      </c>
      <c r="I229" s="1432">
        <v>0</v>
      </c>
      <c r="J229" s="1432">
        <v>4</v>
      </c>
      <c r="K229" s="1432">
        <v>1</v>
      </c>
      <c r="L229" s="1432">
        <v>0</v>
      </c>
      <c r="M229" s="1433">
        <v>6</v>
      </c>
      <c r="N229" s="1433">
        <v>0</v>
      </c>
      <c r="O229" s="1433">
        <v>1</v>
      </c>
      <c r="P229" s="1433">
        <v>0</v>
      </c>
      <c r="Q229" s="1433">
        <v>0</v>
      </c>
      <c r="R229" s="1434">
        <f t="shared" si="50"/>
        <v>3.5</v>
      </c>
      <c r="S229" s="1435">
        <f t="shared" si="51"/>
        <v>0</v>
      </c>
      <c r="T229" s="1440"/>
    </row>
    <row r="230" spans="1:20" x14ac:dyDescent="0.25">
      <c r="A230" s="1445" t="s">
        <v>229</v>
      </c>
      <c r="B230" s="1430">
        <v>0</v>
      </c>
      <c r="C230" s="1430">
        <v>1</v>
      </c>
      <c r="D230" s="1430">
        <v>0</v>
      </c>
      <c r="E230" s="1431">
        <v>0</v>
      </c>
      <c r="F230" s="1430">
        <v>1</v>
      </c>
      <c r="G230" s="1431">
        <v>0</v>
      </c>
      <c r="H230" s="1432">
        <v>2</v>
      </c>
      <c r="I230" s="1432">
        <v>0</v>
      </c>
      <c r="J230" s="1432">
        <v>0</v>
      </c>
      <c r="K230" s="1432">
        <v>0</v>
      </c>
      <c r="L230" s="1432">
        <v>0</v>
      </c>
      <c r="M230" s="1433">
        <v>0</v>
      </c>
      <c r="N230" s="1433">
        <v>0</v>
      </c>
      <c r="O230" s="1433">
        <v>0</v>
      </c>
      <c r="P230" s="1433">
        <v>0</v>
      </c>
      <c r="Q230" s="1433">
        <v>0</v>
      </c>
      <c r="R230" s="1434" t="str">
        <f t="shared" si="50"/>
        <v xml:space="preserve"> </v>
      </c>
      <c r="S230" s="1435">
        <f t="shared" si="51"/>
        <v>0</v>
      </c>
      <c r="T230" s="1440"/>
    </row>
    <row r="231" spans="1:20" x14ac:dyDescent="0.25">
      <c r="A231" s="1445" t="s">
        <v>1482</v>
      </c>
      <c r="B231" s="1430"/>
      <c r="C231" s="1430"/>
      <c r="D231" s="1430"/>
      <c r="E231" s="1431">
        <v>0</v>
      </c>
      <c r="F231" s="1430">
        <v>0</v>
      </c>
      <c r="G231" s="1431">
        <v>0</v>
      </c>
      <c r="H231" s="1432">
        <v>0</v>
      </c>
      <c r="I231" s="1432">
        <v>0</v>
      </c>
      <c r="J231" s="1432">
        <v>0</v>
      </c>
      <c r="K231" s="1432">
        <v>0</v>
      </c>
      <c r="L231" s="1432">
        <v>0</v>
      </c>
      <c r="M231" s="1433">
        <v>1</v>
      </c>
      <c r="N231" s="1433">
        <v>0</v>
      </c>
      <c r="O231" s="1433">
        <v>0</v>
      </c>
      <c r="P231" s="1433">
        <v>0</v>
      </c>
      <c r="Q231" s="1433">
        <v>0</v>
      </c>
      <c r="R231" s="1434">
        <f t="shared" si="50"/>
        <v>1</v>
      </c>
      <c r="S231" s="1435">
        <f t="shared" si="51"/>
        <v>0</v>
      </c>
      <c r="T231" s="1440"/>
    </row>
    <row r="232" spans="1:20" x14ac:dyDescent="0.25">
      <c r="A232" s="1445" t="s">
        <v>230</v>
      </c>
      <c r="B232" s="1430">
        <v>3</v>
      </c>
      <c r="C232" s="1430">
        <v>3</v>
      </c>
      <c r="D232" s="1430">
        <v>10</v>
      </c>
      <c r="E232" s="1431">
        <v>5</v>
      </c>
      <c r="F232" s="1430">
        <v>1</v>
      </c>
      <c r="G232" s="1431">
        <v>7</v>
      </c>
      <c r="H232" s="1432">
        <v>0</v>
      </c>
      <c r="I232" s="1432">
        <v>1</v>
      </c>
      <c r="J232" s="1432">
        <v>2</v>
      </c>
      <c r="K232" s="1432">
        <v>2</v>
      </c>
      <c r="L232" s="1432">
        <v>4</v>
      </c>
      <c r="M232" s="1433">
        <v>2</v>
      </c>
      <c r="N232" s="1433">
        <v>1</v>
      </c>
      <c r="O232" s="1433">
        <v>0</v>
      </c>
      <c r="P232" s="1433">
        <v>7</v>
      </c>
      <c r="Q232" s="1433">
        <v>1</v>
      </c>
      <c r="R232" s="1434">
        <f t="shared" si="50"/>
        <v>2.75</v>
      </c>
      <c r="S232" s="1435">
        <f t="shared" si="51"/>
        <v>1.7921146953405018E-3</v>
      </c>
      <c r="T232" s="1440"/>
    </row>
    <row r="233" spans="1:20" x14ac:dyDescent="0.25">
      <c r="A233" s="1445" t="s">
        <v>231</v>
      </c>
      <c r="B233" s="1430">
        <v>2</v>
      </c>
      <c r="C233" s="1430">
        <v>6</v>
      </c>
      <c r="D233" s="1430">
        <v>2</v>
      </c>
      <c r="E233" s="1431">
        <v>6</v>
      </c>
      <c r="F233" s="1430">
        <v>5</v>
      </c>
      <c r="G233" s="1431">
        <v>6</v>
      </c>
      <c r="H233" s="1432">
        <v>5</v>
      </c>
      <c r="I233" s="1432">
        <v>1</v>
      </c>
      <c r="J233" s="1432">
        <v>1</v>
      </c>
      <c r="K233" s="1432">
        <v>6</v>
      </c>
      <c r="L233" s="1432">
        <v>12</v>
      </c>
      <c r="M233" s="1433">
        <v>9</v>
      </c>
      <c r="N233" s="1433">
        <v>2</v>
      </c>
      <c r="O233" s="1433">
        <v>1</v>
      </c>
      <c r="P233" s="1433">
        <v>7</v>
      </c>
      <c r="Q233" s="1433">
        <v>4</v>
      </c>
      <c r="R233" s="1434">
        <f t="shared" si="50"/>
        <v>4.5999999999999996</v>
      </c>
      <c r="S233" s="1435">
        <f t="shared" si="51"/>
        <v>7.1684587813620072E-3</v>
      </c>
      <c r="T233" s="1440"/>
    </row>
    <row r="234" spans="1:20" x14ac:dyDescent="0.25">
      <c r="A234" s="1445" t="s">
        <v>232</v>
      </c>
      <c r="B234" s="1430">
        <v>0</v>
      </c>
      <c r="C234" s="1430">
        <v>0</v>
      </c>
      <c r="D234" s="1430">
        <v>0</v>
      </c>
      <c r="E234" s="1431">
        <v>0</v>
      </c>
      <c r="F234" s="1430">
        <v>0</v>
      </c>
      <c r="G234" s="1431">
        <v>0</v>
      </c>
      <c r="H234" s="1432">
        <v>0</v>
      </c>
      <c r="I234" s="1432">
        <v>0</v>
      </c>
      <c r="J234" s="1432">
        <v>0</v>
      </c>
      <c r="K234" s="1432">
        <v>0</v>
      </c>
      <c r="L234" s="1432">
        <v>0</v>
      </c>
      <c r="M234" s="1433">
        <v>0</v>
      </c>
      <c r="N234" s="1433">
        <v>0</v>
      </c>
      <c r="O234" s="1433">
        <v>0</v>
      </c>
      <c r="P234" s="1433">
        <v>0</v>
      </c>
      <c r="Q234" s="1433">
        <v>0</v>
      </c>
      <c r="R234" s="1434" t="str">
        <f t="shared" si="50"/>
        <v xml:space="preserve"> </v>
      </c>
      <c r="S234" s="1435">
        <f t="shared" si="51"/>
        <v>0</v>
      </c>
      <c r="T234" s="1440"/>
    </row>
    <row r="235" spans="1:20" x14ac:dyDescent="0.25">
      <c r="A235" s="1445" t="s">
        <v>233</v>
      </c>
      <c r="B235" s="1430">
        <v>2</v>
      </c>
      <c r="C235" s="1430">
        <v>8</v>
      </c>
      <c r="D235" s="1430">
        <v>0</v>
      </c>
      <c r="E235" s="1431">
        <v>4</v>
      </c>
      <c r="F235" s="1430">
        <v>7</v>
      </c>
      <c r="G235" s="1431">
        <v>11</v>
      </c>
      <c r="H235" s="1432">
        <v>8</v>
      </c>
      <c r="I235" s="1432">
        <v>4</v>
      </c>
      <c r="J235" s="1432">
        <v>5</v>
      </c>
      <c r="K235" s="1432">
        <v>3</v>
      </c>
      <c r="L235" s="1432">
        <v>1</v>
      </c>
      <c r="M235" s="1433">
        <v>6</v>
      </c>
      <c r="N235" s="1433">
        <v>9</v>
      </c>
      <c r="O235" s="1433">
        <v>2</v>
      </c>
      <c r="P235" s="1433">
        <v>2</v>
      </c>
      <c r="Q235" s="1433">
        <v>6</v>
      </c>
      <c r="R235" s="1434">
        <f t="shared" si="50"/>
        <v>5</v>
      </c>
      <c r="S235" s="1435">
        <f t="shared" si="51"/>
        <v>1.0752688172043012E-2</v>
      </c>
      <c r="T235" s="1440"/>
    </row>
    <row r="236" spans="1:20" x14ac:dyDescent="0.25">
      <c r="A236" s="1445" t="s">
        <v>234</v>
      </c>
      <c r="B236" s="1430">
        <v>2</v>
      </c>
      <c r="C236" s="1430">
        <v>3</v>
      </c>
      <c r="D236" s="1430">
        <v>3</v>
      </c>
      <c r="E236" s="1431">
        <v>9</v>
      </c>
      <c r="F236" s="1430">
        <v>3</v>
      </c>
      <c r="G236" s="1431">
        <v>7</v>
      </c>
      <c r="H236" s="1432">
        <v>11</v>
      </c>
      <c r="I236" s="1432">
        <v>6</v>
      </c>
      <c r="J236" s="1432">
        <v>4</v>
      </c>
      <c r="K236" s="1432">
        <v>9</v>
      </c>
      <c r="L236" s="1432">
        <v>10</v>
      </c>
      <c r="M236" s="1433">
        <v>2</v>
      </c>
      <c r="N236" s="1433">
        <v>2</v>
      </c>
      <c r="O236" s="1433">
        <v>1</v>
      </c>
      <c r="P236" s="1433">
        <v>0</v>
      </c>
      <c r="Q236" s="1433">
        <v>0</v>
      </c>
      <c r="R236" s="1434">
        <f t="shared" si="50"/>
        <v>1.6666666666666667</v>
      </c>
      <c r="S236" s="1435">
        <f t="shared" si="51"/>
        <v>0</v>
      </c>
      <c r="T236" s="1440"/>
    </row>
    <row r="237" spans="1:20" x14ac:dyDescent="0.25">
      <c r="A237" s="1449" t="s">
        <v>36</v>
      </c>
      <c r="B237" s="1437">
        <f>SUM(B209:B236)</f>
        <v>66</v>
      </c>
      <c r="C237" s="1437">
        <f t="shared" ref="C237:J237" si="52">SUM(C209:C236)</f>
        <v>50</v>
      </c>
      <c r="D237" s="1437">
        <f t="shared" si="52"/>
        <v>62</v>
      </c>
      <c r="E237" s="1438">
        <f t="shared" si="52"/>
        <v>71</v>
      </c>
      <c r="F237" s="1437">
        <f t="shared" si="52"/>
        <v>82</v>
      </c>
      <c r="G237" s="1438">
        <f t="shared" si="52"/>
        <v>74</v>
      </c>
      <c r="H237" s="1434">
        <f t="shared" si="52"/>
        <v>77</v>
      </c>
      <c r="I237" s="1434">
        <f t="shared" si="52"/>
        <v>46</v>
      </c>
      <c r="J237" s="1434">
        <f t="shared" si="52"/>
        <v>54</v>
      </c>
      <c r="K237" s="1434">
        <f t="shared" ref="K237:P237" si="53">SUM(K209:K236)</f>
        <v>63</v>
      </c>
      <c r="L237" s="1434">
        <f t="shared" si="53"/>
        <v>74</v>
      </c>
      <c r="M237" s="1434">
        <f t="shared" si="53"/>
        <v>66</v>
      </c>
      <c r="N237" s="1434">
        <f t="shared" si="53"/>
        <v>53</v>
      </c>
      <c r="O237" s="1434">
        <f t="shared" si="53"/>
        <v>36</v>
      </c>
      <c r="P237" s="1434">
        <f t="shared" si="53"/>
        <v>63</v>
      </c>
      <c r="Q237" s="1434">
        <f>SUM(Q209:Q236)</f>
        <v>37</v>
      </c>
      <c r="R237" s="1434">
        <f t="shared" si="50"/>
        <v>51</v>
      </c>
      <c r="S237" s="1439">
        <f t="shared" si="51"/>
        <v>6.6308243727598568E-2</v>
      </c>
      <c r="T237" s="1440"/>
    </row>
    <row r="238" spans="1:20" x14ac:dyDescent="0.25">
      <c r="A238" s="1478" t="s">
        <v>235</v>
      </c>
      <c r="B238" s="1425" t="s">
        <v>908</v>
      </c>
      <c r="C238" s="1425" t="s">
        <v>617</v>
      </c>
      <c r="D238" s="1425" t="s">
        <v>1360</v>
      </c>
      <c r="E238" s="1426" t="s">
        <v>592</v>
      </c>
      <c r="F238" s="1425" t="s">
        <v>921</v>
      </c>
      <c r="G238" s="1426" t="s">
        <v>676</v>
      </c>
      <c r="H238" s="1427" t="s">
        <v>777</v>
      </c>
      <c r="I238" s="1428" t="s">
        <v>969</v>
      </c>
      <c r="J238" s="1428" t="s">
        <v>1419</v>
      </c>
      <c r="K238" s="1428" t="s">
        <v>1443</v>
      </c>
      <c r="L238" s="1480" t="s">
        <v>1444</v>
      </c>
      <c r="M238" s="1477" t="s">
        <v>1445</v>
      </c>
      <c r="N238" s="1477" t="s">
        <v>1566</v>
      </c>
      <c r="O238" s="1477" t="s">
        <v>1613</v>
      </c>
      <c r="P238" s="1477" t="s">
        <v>1660</v>
      </c>
      <c r="Q238" s="1477" t="s">
        <v>1749</v>
      </c>
      <c r="R238" s="1481" t="s">
        <v>31</v>
      </c>
      <c r="S238" s="1481" t="s">
        <v>32</v>
      </c>
      <c r="T238" s="1440"/>
    </row>
    <row r="239" spans="1:20" x14ac:dyDescent="0.25">
      <c r="A239" s="1445" t="s">
        <v>236</v>
      </c>
      <c r="B239" s="1430">
        <v>2</v>
      </c>
      <c r="C239" s="1430">
        <v>7</v>
      </c>
      <c r="D239" s="1430">
        <v>1</v>
      </c>
      <c r="E239" s="1431">
        <v>3</v>
      </c>
      <c r="F239" s="1430">
        <v>0</v>
      </c>
      <c r="G239" s="1431">
        <v>0</v>
      </c>
      <c r="H239" s="1432">
        <v>0</v>
      </c>
      <c r="I239" s="1432">
        <v>0</v>
      </c>
      <c r="J239" s="1432">
        <v>0</v>
      </c>
      <c r="K239" s="1432">
        <v>0</v>
      </c>
      <c r="L239" s="1432">
        <v>0</v>
      </c>
      <c r="M239" s="1432">
        <v>0</v>
      </c>
      <c r="N239" s="1432">
        <v>0</v>
      </c>
      <c r="O239" s="1432">
        <v>0</v>
      </c>
      <c r="P239" s="1432">
        <v>0</v>
      </c>
      <c r="Q239" s="1432">
        <v>1</v>
      </c>
      <c r="R239" s="1434">
        <f t="shared" ref="R239:R249" si="54">IF(Q239+P239+O239+N239+M239=0," ",AVERAGEIF(M239:Q239,"&lt;&gt;0"))</f>
        <v>1</v>
      </c>
      <c r="S239" s="1435">
        <f t="shared" ref="S239:S249" si="55">+Q239/$Q$466</f>
        <v>1.7921146953405018E-3</v>
      </c>
      <c r="T239" s="1440"/>
    </row>
    <row r="240" spans="1:20" x14ac:dyDescent="0.25">
      <c r="A240" s="1445" t="s">
        <v>237</v>
      </c>
      <c r="B240" s="1430">
        <v>0</v>
      </c>
      <c r="C240" s="1430">
        <v>0</v>
      </c>
      <c r="D240" s="1430">
        <v>2</v>
      </c>
      <c r="E240" s="1431">
        <v>0</v>
      </c>
      <c r="F240" s="1430">
        <v>0</v>
      </c>
      <c r="G240" s="1431">
        <v>0</v>
      </c>
      <c r="H240" s="1432">
        <v>0</v>
      </c>
      <c r="I240" s="1432">
        <v>0</v>
      </c>
      <c r="J240" s="1432">
        <v>0</v>
      </c>
      <c r="K240" s="1432">
        <v>0</v>
      </c>
      <c r="L240" s="1432">
        <v>0</v>
      </c>
      <c r="M240" s="1432">
        <v>0</v>
      </c>
      <c r="N240" s="1432">
        <v>0</v>
      </c>
      <c r="O240" s="1432">
        <v>0</v>
      </c>
      <c r="P240" s="1432">
        <v>0</v>
      </c>
      <c r="Q240" s="1432">
        <v>0</v>
      </c>
      <c r="R240" s="1434" t="str">
        <f t="shared" si="54"/>
        <v xml:space="preserve"> </v>
      </c>
      <c r="S240" s="1435">
        <f t="shared" si="55"/>
        <v>0</v>
      </c>
      <c r="T240" s="1440"/>
    </row>
    <row r="241" spans="1:20" x14ac:dyDescent="0.25">
      <c r="A241" s="1445" t="s">
        <v>238</v>
      </c>
      <c r="B241" s="1430">
        <v>0</v>
      </c>
      <c r="C241" s="1430">
        <v>1</v>
      </c>
      <c r="D241" s="1430">
        <v>0</v>
      </c>
      <c r="E241" s="1431">
        <v>0</v>
      </c>
      <c r="F241" s="1430">
        <v>0</v>
      </c>
      <c r="G241" s="1431">
        <v>0</v>
      </c>
      <c r="H241" s="1432">
        <v>0</v>
      </c>
      <c r="I241" s="1432">
        <v>0</v>
      </c>
      <c r="J241" s="1432">
        <v>0</v>
      </c>
      <c r="K241" s="1432">
        <v>0</v>
      </c>
      <c r="L241" s="1432">
        <v>0</v>
      </c>
      <c r="M241" s="1432">
        <v>0</v>
      </c>
      <c r="N241" s="1432">
        <v>0</v>
      </c>
      <c r="O241" s="1432">
        <v>0</v>
      </c>
      <c r="P241" s="1432">
        <v>0</v>
      </c>
      <c r="Q241" s="1432">
        <v>0</v>
      </c>
      <c r="R241" s="1434" t="str">
        <f t="shared" si="54"/>
        <v xml:space="preserve"> </v>
      </c>
      <c r="S241" s="1435">
        <f t="shared" si="55"/>
        <v>0</v>
      </c>
      <c r="T241" s="1440"/>
    </row>
    <row r="242" spans="1:20" x14ac:dyDescent="0.25">
      <c r="A242" s="1445" t="s">
        <v>239</v>
      </c>
      <c r="B242" s="1430">
        <v>16</v>
      </c>
      <c r="C242" s="1430">
        <v>15</v>
      </c>
      <c r="D242" s="1430">
        <v>19</v>
      </c>
      <c r="E242" s="1431">
        <v>26</v>
      </c>
      <c r="F242" s="1430">
        <v>19</v>
      </c>
      <c r="G242" s="1431">
        <v>26</v>
      </c>
      <c r="H242" s="1432">
        <v>20</v>
      </c>
      <c r="I242" s="1432">
        <v>14</v>
      </c>
      <c r="J242" s="1432">
        <v>28</v>
      </c>
      <c r="K242" s="1432">
        <v>38</v>
      </c>
      <c r="L242" s="1432">
        <v>22</v>
      </c>
      <c r="M242" s="1433">
        <v>17</v>
      </c>
      <c r="N242" s="1433">
        <v>19</v>
      </c>
      <c r="O242" s="1433">
        <v>20</v>
      </c>
      <c r="P242" s="1433">
        <v>14</v>
      </c>
      <c r="Q242" s="1433">
        <v>21</v>
      </c>
      <c r="R242" s="1434">
        <f t="shared" si="54"/>
        <v>18.2</v>
      </c>
      <c r="S242" s="1435">
        <f t="shared" si="55"/>
        <v>3.7634408602150539E-2</v>
      </c>
      <c r="T242" s="1440"/>
    </row>
    <row r="243" spans="1:20" x14ac:dyDescent="0.25">
      <c r="A243" s="1445" t="s">
        <v>240</v>
      </c>
      <c r="B243" s="1430">
        <v>2</v>
      </c>
      <c r="C243" s="1430">
        <v>11</v>
      </c>
      <c r="D243" s="1430">
        <v>6</v>
      </c>
      <c r="E243" s="1431">
        <v>10</v>
      </c>
      <c r="F243" s="1430">
        <v>9</v>
      </c>
      <c r="G243" s="1431">
        <v>3</v>
      </c>
      <c r="H243" s="1432">
        <v>3</v>
      </c>
      <c r="I243" s="1432">
        <v>7</v>
      </c>
      <c r="J243" s="1432">
        <v>6</v>
      </c>
      <c r="K243" s="1432">
        <v>4</v>
      </c>
      <c r="L243" s="1432">
        <v>5</v>
      </c>
      <c r="M243" s="1433">
        <v>2</v>
      </c>
      <c r="N243" s="1433">
        <v>3</v>
      </c>
      <c r="O243" s="1433">
        <v>5</v>
      </c>
      <c r="P243" s="1433">
        <v>5</v>
      </c>
      <c r="Q243" s="1433">
        <v>2</v>
      </c>
      <c r="R243" s="1434">
        <f t="shared" si="54"/>
        <v>3.4</v>
      </c>
      <c r="S243" s="1435">
        <f t="shared" si="55"/>
        <v>3.5842293906810036E-3</v>
      </c>
      <c r="T243" s="1440"/>
    </row>
    <row r="244" spans="1:20" x14ac:dyDescent="0.25">
      <c r="A244" s="1445" t="s">
        <v>241</v>
      </c>
      <c r="B244" s="1430">
        <v>37</v>
      </c>
      <c r="C244" s="1430">
        <v>22</v>
      </c>
      <c r="D244" s="1430">
        <v>32</v>
      </c>
      <c r="E244" s="1431">
        <v>26</v>
      </c>
      <c r="F244" s="1430">
        <v>45</v>
      </c>
      <c r="G244" s="1431">
        <v>52</v>
      </c>
      <c r="H244" s="1432">
        <v>55</v>
      </c>
      <c r="I244" s="1432">
        <v>39</v>
      </c>
      <c r="J244" s="1432">
        <v>44</v>
      </c>
      <c r="K244" s="1432">
        <v>30</v>
      </c>
      <c r="L244" s="1432">
        <v>44</v>
      </c>
      <c r="M244" s="1433">
        <v>25</v>
      </c>
      <c r="N244" s="1433">
        <v>20</v>
      </c>
      <c r="O244" s="1433">
        <v>20</v>
      </c>
      <c r="P244" s="1433">
        <v>17</v>
      </c>
      <c r="Q244" s="1433">
        <v>25</v>
      </c>
      <c r="R244" s="1434">
        <f t="shared" si="54"/>
        <v>21.4</v>
      </c>
      <c r="S244" s="1435">
        <f t="shared" si="55"/>
        <v>4.4802867383512544E-2</v>
      </c>
      <c r="T244" s="1440"/>
    </row>
    <row r="245" spans="1:20" x14ac:dyDescent="0.25">
      <c r="A245" s="1445" t="s">
        <v>786</v>
      </c>
      <c r="B245" s="1430"/>
      <c r="C245" s="1430">
        <v>0</v>
      </c>
      <c r="D245" s="1430">
        <v>0</v>
      </c>
      <c r="E245" s="1431">
        <v>0</v>
      </c>
      <c r="F245" s="1430">
        <v>0</v>
      </c>
      <c r="G245" s="1431">
        <v>0</v>
      </c>
      <c r="H245" s="1432">
        <v>1</v>
      </c>
      <c r="I245" s="1432">
        <v>0</v>
      </c>
      <c r="J245" s="1432">
        <v>2</v>
      </c>
      <c r="K245" s="1432">
        <v>0</v>
      </c>
      <c r="L245" s="1432">
        <v>0</v>
      </c>
      <c r="M245" s="1433">
        <v>0</v>
      </c>
      <c r="N245" s="1433">
        <v>0</v>
      </c>
      <c r="O245" s="1433">
        <v>0</v>
      </c>
      <c r="P245" s="1433">
        <v>0</v>
      </c>
      <c r="Q245" s="1433">
        <v>1</v>
      </c>
      <c r="R245" s="1434">
        <f t="shared" si="54"/>
        <v>1</v>
      </c>
      <c r="S245" s="1435">
        <f t="shared" si="55"/>
        <v>1.7921146953405018E-3</v>
      </c>
      <c r="T245" s="1440"/>
    </row>
    <row r="246" spans="1:20" x14ac:dyDescent="0.25">
      <c r="A246" s="1445" t="s">
        <v>242</v>
      </c>
      <c r="B246" s="1430">
        <v>15</v>
      </c>
      <c r="C246" s="1430">
        <v>8</v>
      </c>
      <c r="D246" s="1430">
        <v>14</v>
      </c>
      <c r="E246" s="1431">
        <v>16</v>
      </c>
      <c r="F246" s="1430">
        <v>16</v>
      </c>
      <c r="G246" s="1431">
        <v>10</v>
      </c>
      <c r="H246" s="1432">
        <v>11</v>
      </c>
      <c r="I246" s="1432">
        <v>12</v>
      </c>
      <c r="J246" s="1432">
        <v>15</v>
      </c>
      <c r="K246" s="1432">
        <v>17</v>
      </c>
      <c r="L246" s="1432">
        <v>12</v>
      </c>
      <c r="M246" s="1433">
        <v>8</v>
      </c>
      <c r="N246" s="1433">
        <v>11</v>
      </c>
      <c r="O246" s="1433">
        <v>12</v>
      </c>
      <c r="P246" s="1433">
        <v>10</v>
      </c>
      <c r="Q246" s="1433">
        <v>4</v>
      </c>
      <c r="R246" s="1434">
        <f t="shared" si="54"/>
        <v>9</v>
      </c>
      <c r="S246" s="1435">
        <f t="shared" si="55"/>
        <v>7.1684587813620072E-3</v>
      </c>
      <c r="T246" s="1440"/>
    </row>
    <row r="247" spans="1:20" x14ac:dyDescent="0.25">
      <c r="A247" s="1457" t="s">
        <v>1483</v>
      </c>
      <c r="B247" s="1430">
        <v>0</v>
      </c>
      <c r="C247" s="1430">
        <v>0</v>
      </c>
      <c r="D247" s="1430">
        <v>0</v>
      </c>
      <c r="E247" s="1431">
        <v>0</v>
      </c>
      <c r="F247" s="1430">
        <v>0</v>
      </c>
      <c r="G247" s="1431">
        <v>0</v>
      </c>
      <c r="H247" s="1432">
        <v>0</v>
      </c>
      <c r="I247" s="1432">
        <v>0</v>
      </c>
      <c r="J247" s="1432">
        <v>0</v>
      </c>
      <c r="K247" s="1432">
        <v>0</v>
      </c>
      <c r="L247" s="1432">
        <v>0</v>
      </c>
      <c r="M247" s="1433">
        <v>1</v>
      </c>
      <c r="N247" s="1433">
        <v>0</v>
      </c>
      <c r="O247" s="1433">
        <v>0</v>
      </c>
      <c r="P247" s="1433">
        <v>0</v>
      </c>
      <c r="Q247" s="1433">
        <v>0</v>
      </c>
      <c r="R247" s="1434">
        <f t="shared" si="54"/>
        <v>1</v>
      </c>
      <c r="S247" s="1435">
        <f t="shared" si="55"/>
        <v>0</v>
      </c>
      <c r="T247" s="1440"/>
    </row>
    <row r="248" spans="1:20" x14ac:dyDescent="0.25">
      <c r="A248" s="1445" t="s">
        <v>243</v>
      </c>
      <c r="B248" s="1430">
        <v>5</v>
      </c>
      <c r="C248" s="1430">
        <v>7</v>
      </c>
      <c r="D248" s="1430">
        <v>4</v>
      </c>
      <c r="E248" s="1431">
        <v>6</v>
      </c>
      <c r="F248" s="1430">
        <v>5</v>
      </c>
      <c r="G248" s="1431">
        <v>6</v>
      </c>
      <c r="H248" s="1432">
        <v>10</v>
      </c>
      <c r="I248" s="1432">
        <v>6</v>
      </c>
      <c r="J248" s="1432">
        <v>7</v>
      </c>
      <c r="K248" s="1432">
        <v>7</v>
      </c>
      <c r="L248" s="1432">
        <v>12</v>
      </c>
      <c r="M248" s="1433">
        <v>10</v>
      </c>
      <c r="N248" s="1433">
        <v>5</v>
      </c>
      <c r="O248" s="1433">
        <v>3</v>
      </c>
      <c r="P248" s="1433">
        <v>7</v>
      </c>
      <c r="Q248" s="1433">
        <v>1</v>
      </c>
      <c r="R248" s="1434">
        <f t="shared" si="54"/>
        <v>5.2</v>
      </c>
      <c r="S248" s="1435">
        <f t="shared" si="55"/>
        <v>1.7921146953405018E-3</v>
      </c>
      <c r="T248" s="1440"/>
    </row>
    <row r="249" spans="1:20" x14ac:dyDescent="0.25">
      <c r="A249" s="1449" t="s">
        <v>36</v>
      </c>
      <c r="B249" s="1437">
        <f t="shared" ref="B249:J249" si="56">SUM(B239:B248)</f>
        <v>77</v>
      </c>
      <c r="C249" s="1437">
        <f t="shared" si="56"/>
        <v>71</v>
      </c>
      <c r="D249" s="1437">
        <f t="shared" si="56"/>
        <v>78</v>
      </c>
      <c r="E249" s="1438">
        <f t="shared" si="56"/>
        <v>87</v>
      </c>
      <c r="F249" s="1437">
        <f t="shared" si="56"/>
        <v>94</v>
      </c>
      <c r="G249" s="1438">
        <f t="shared" si="56"/>
        <v>97</v>
      </c>
      <c r="H249" s="1434">
        <f t="shared" si="56"/>
        <v>100</v>
      </c>
      <c r="I249" s="1434">
        <f t="shared" si="56"/>
        <v>78</v>
      </c>
      <c r="J249" s="1434">
        <f t="shared" si="56"/>
        <v>102</v>
      </c>
      <c r="K249" s="1434">
        <f t="shared" ref="K249:P249" si="57">SUM(K239:K248)</f>
        <v>96</v>
      </c>
      <c r="L249" s="1434">
        <f t="shared" si="57"/>
        <v>95</v>
      </c>
      <c r="M249" s="1434">
        <f t="shared" si="57"/>
        <v>63</v>
      </c>
      <c r="N249" s="1434">
        <f t="shared" si="57"/>
        <v>58</v>
      </c>
      <c r="O249" s="1434">
        <f t="shared" si="57"/>
        <v>60</v>
      </c>
      <c r="P249" s="1434">
        <f t="shared" si="57"/>
        <v>53</v>
      </c>
      <c r="Q249" s="1434">
        <f>SUM(Q239:Q248)</f>
        <v>55</v>
      </c>
      <c r="R249" s="1434">
        <f t="shared" si="54"/>
        <v>57.8</v>
      </c>
      <c r="S249" s="1439">
        <f t="shared" si="55"/>
        <v>9.8566308243727599E-2</v>
      </c>
      <c r="T249" s="1440"/>
    </row>
    <row r="250" spans="1:20" x14ac:dyDescent="0.25">
      <c r="A250" s="1478" t="s">
        <v>244</v>
      </c>
      <c r="B250" s="1425" t="s">
        <v>908</v>
      </c>
      <c r="C250" s="1425" t="s">
        <v>617</v>
      </c>
      <c r="D250" s="1425" t="s">
        <v>1360</v>
      </c>
      <c r="E250" s="1426" t="s">
        <v>592</v>
      </c>
      <c r="F250" s="1425" t="s">
        <v>921</v>
      </c>
      <c r="G250" s="1426" t="s">
        <v>676</v>
      </c>
      <c r="H250" s="1427" t="s">
        <v>777</v>
      </c>
      <c r="I250" s="1428" t="s">
        <v>969</v>
      </c>
      <c r="J250" s="1428" t="s">
        <v>1419</v>
      </c>
      <c r="K250" s="1428" t="s">
        <v>1443</v>
      </c>
      <c r="L250" s="1480" t="s">
        <v>1444</v>
      </c>
      <c r="M250" s="1477" t="s">
        <v>1445</v>
      </c>
      <c r="N250" s="1477" t="s">
        <v>1566</v>
      </c>
      <c r="O250" s="1477" t="s">
        <v>1613</v>
      </c>
      <c r="P250" s="1477" t="s">
        <v>1660</v>
      </c>
      <c r="Q250" s="1477" t="s">
        <v>1749</v>
      </c>
      <c r="R250" s="1481" t="s">
        <v>31</v>
      </c>
      <c r="S250" s="1481" t="s">
        <v>32</v>
      </c>
      <c r="T250" s="1440"/>
    </row>
    <row r="251" spans="1:20" x14ac:dyDescent="0.25">
      <c r="A251" s="1445" t="s">
        <v>246</v>
      </c>
      <c r="B251" s="1430">
        <v>0</v>
      </c>
      <c r="C251" s="1430">
        <v>0</v>
      </c>
      <c r="D251" s="1430">
        <v>1</v>
      </c>
      <c r="E251" s="1431">
        <v>0</v>
      </c>
      <c r="F251" s="1430">
        <v>0</v>
      </c>
      <c r="G251" s="1431">
        <v>0</v>
      </c>
      <c r="H251" s="1432">
        <v>0</v>
      </c>
      <c r="I251" s="1432">
        <v>0</v>
      </c>
      <c r="J251" s="1432">
        <v>0</v>
      </c>
      <c r="K251" s="1432">
        <v>2</v>
      </c>
      <c r="L251" s="1432">
        <v>0</v>
      </c>
      <c r="M251" s="1433">
        <v>1</v>
      </c>
      <c r="N251" s="1433">
        <v>0</v>
      </c>
      <c r="O251" s="1433">
        <v>0</v>
      </c>
      <c r="P251" s="1433">
        <v>1</v>
      </c>
      <c r="Q251" s="1433">
        <v>0</v>
      </c>
      <c r="R251" s="1434">
        <f>IF(Q251+P251+O251+N251+M251=0," ",AVERAGEIF(M251:Q251,"&lt;&gt;0"))</f>
        <v>1</v>
      </c>
      <c r="S251" s="1435">
        <f>+Q251/$Q$466</f>
        <v>0</v>
      </c>
      <c r="T251" s="1440"/>
    </row>
    <row r="252" spans="1:20" x14ac:dyDescent="0.25">
      <c r="A252" s="1445" t="s">
        <v>249</v>
      </c>
      <c r="B252" s="1430">
        <v>0</v>
      </c>
      <c r="C252" s="1430">
        <v>0</v>
      </c>
      <c r="D252" s="1430">
        <v>0</v>
      </c>
      <c r="E252" s="1431">
        <v>0</v>
      </c>
      <c r="F252" s="1430">
        <v>0</v>
      </c>
      <c r="G252" s="1431">
        <v>0</v>
      </c>
      <c r="H252" s="1432">
        <v>1</v>
      </c>
      <c r="I252" s="1432">
        <v>1</v>
      </c>
      <c r="J252" s="1432">
        <v>0</v>
      </c>
      <c r="K252" s="1432">
        <v>0</v>
      </c>
      <c r="L252" s="1432">
        <v>0</v>
      </c>
      <c r="M252" s="1433">
        <v>0</v>
      </c>
      <c r="N252" s="1433">
        <v>0</v>
      </c>
      <c r="O252" s="1433">
        <v>0</v>
      </c>
      <c r="P252" s="1433">
        <v>0</v>
      </c>
      <c r="Q252" s="1433">
        <v>0</v>
      </c>
      <c r="R252" s="1434" t="str">
        <f>IF(Q252+P252+O252+N252+M252=0," ",AVERAGEIF(M252:Q252,"&lt;&gt;0"))</f>
        <v xml:space="preserve"> </v>
      </c>
      <c r="S252" s="1435">
        <f>+Q252/$Q$466</f>
        <v>0</v>
      </c>
      <c r="T252" s="1440"/>
    </row>
    <row r="253" spans="1:20" x14ac:dyDescent="0.25">
      <c r="A253" s="1445" t="s">
        <v>231</v>
      </c>
      <c r="B253" s="1430">
        <v>0</v>
      </c>
      <c r="C253" s="1430">
        <v>0</v>
      </c>
      <c r="D253" s="1430">
        <v>0</v>
      </c>
      <c r="E253" s="1431">
        <v>4</v>
      </c>
      <c r="F253" s="1430">
        <v>0</v>
      </c>
      <c r="G253" s="1431">
        <v>0</v>
      </c>
      <c r="H253" s="1432">
        <v>1</v>
      </c>
      <c r="I253" s="1432">
        <v>1</v>
      </c>
      <c r="J253" s="1432">
        <v>0</v>
      </c>
      <c r="K253" s="1432">
        <v>0</v>
      </c>
      <c r="L253" s="1432">
        <v>0</v>
      </c>
      <c r="M253" s="1433">
        <v>1</v>
      </c>
      <c r="N253" s="1433">
        <v>0</v>
      </c>
      <c r="O253" s="1433">
        <v>0</v>
      </c>
      <c r="P253" s="1433">
        <v>0</v>
      </c>
      <c r="Q253" s="1433">
        <v>0</v>
      </c>
      <c r="R253" s="1434">
        <f>IF(Q253+P253+O253+N253+M253=0," ",AVERAGEIF(M253:Q253,"&lt;&gt;0"))</f>
        <v>1</v>
      </c>
      <c r="S253" s="1435">
        <f>+Q253/$Q$466</f>
        <v>0</v>
      </c>
      <c r="T253" s="1440"/>
    </row>
    <row r="254" spans="1:20" x14ac:dyDescent="0.25">
      <c r="A254" s="1449" t="s">
        <v>36</v>
      </c>
      <c r="B254" s="1437">
        <f>SUM(B41:B253)</f>
        <v>443</v>
      </c>
      <c r="C254" s="1437">
        <f>SUM(C41:C253)</f>
        <v>388</v>
      </c>
      <c r="D254" s="1437">
        <f>SUM(D41:D253)</f>
        <v>435</v>
      </c>
      <c r="E254" s="1438">
        <f>SUM(E251:E253)</f>
        <v>4</v>
      </c>
      <c r="F254" s="1438">
        <f>SUM(F251:F253)</f>
        <v>0</v>
      </c>
      <c r="G254" s="1438">
        <f t="shared" ref="G254:N254" si="58">SUM(G251:G253)</f>
        <v>0</v>
      </c>
      <c r="H254" s="1438">
        <f t="shared" si="58"/>
        <v>2</v>
      </c>
      <c r="I254" s="1438">
        <f t="shared" si="58"/>
        <v>2</v>
      </c>
      <c r="J254" s="1438">
        <f t="shared" si="58"/>
        <v>0</v>
      </c>
      <c r="K254" s="1438">
        <f t="shared" si="58"/>
        <v>2</v>
      </c>
      <c r="L254" s="1438">
        <f t="shared" si="58"/>
        <v>0</v>
      </c>
      <c r="M254" s="1438">
        <f t="shared" si="58"/>
        <v>2</v>
      </c>
      <c r="N254" s="1438">
        <f t="shared" si="58"/>
        <v>0</v>
      </c>
      <c r="O254" s="1433">
        <f>SUM(O251:O253)</f>
        <v>0</v>
      </c>
      <c r="P254" s="1433">
        <f>SUM(P251:P253)</f>
        <v>1</v>
      </c>
      <c r="Q254" s="1433">
        <f>SUM(Q251:Q253)</f>
        <v>0</v>
      </c>
      <c r="R254" s="1434">
        <f>IF(Q254+P254+O254+N254+M254=0," ",AVERAGEIF(M254:Q254,"&lt;&gt;0"))</f>
        <v>1.5</v>
      </c>
      <c r="S254" s="1439">
        <f>+Q254/$Q$466</f>
        <v>0</v>
      </c>
      <c r="T254" s="1440"/>
    </row>
    <row r="255" spans="1:20" x14ac:dyDescent="0.25">
      <c r="A255" s="1478" t="s">
        <v>250</v>
      </c>
      <c r="B255" s="1425" t="s">
        <v>908</v>
      </c>
      <c r="C255" s="1425" t="s">
        <v>617</v>
      </c>
      <c r="D255" s="1425" t="s">
        <v>1360</v>
      </c>
      <c r="E255" s="1426" t="s">
        <v>592</v>
      </c>
      <c r="F255" s="1425" t="s">
        <v>921</v>
      </c>
      <c r="G255" s="1426" t="s">
        <v>676</v>
      </c>
      <c r="H255" s="1427" t="s">
        <v>777</v>
      </c>
      <c r="I255" s="1428" t="s">
        <v>969</v>
      </c>
      <c r="J255" s="1428" t="s">
        <v>1419</v>
      </c>
      <c r="K255" s="1428" t="s">
        <v>1443</v>
      </c>
      <c r="L255" s="1480" t="s">
        <v>1444</v>
      </c>
      <c r="M255" s="1477" t="s">
        <v>1445</v>
      </c>
      <c r="N255" s="1477" t="s">
        <v>1566</v>
      </c>
      <c r="O255" s="1477" t="s">
        <v>1613</v>
      </c>
      <c r="P255" s="1477" t="s">
        <v>1660</v>
      </c>
      <c r="Q255" s="1477" t="s">
        <v>1749</v>
      </c>
      <c r="R255" s="1481" t="s">
        <v>31</v>
      </c>
      <c r="S255" s="1481" t="s">
        <v>32</v>
      </c>
      <c r="T255" s="1440"/>
    </row>
    <row r="256" spans="1:20" x14ac:dyDescent="0.25">
      <c r="A256" s="1445" t="s">
        <v>1769</v>
      </c>
      <c r="B256" s="1430"/>
      <c r="C256" s="1430"/>
      <c r="D256" s="1430"/>
      <c r="E256" s="1431"/>
      <c r="F256" s="1430"/>
      <c r="G256" s="1431"/>
      <c r="H256" s="1432"/>
      <c r="I256" s="1432"/>
      <c r="J256" s="1432"/>
      <c r="K256" s="1432"/>
      <c r="L256" s="1432"/>
      <c r="M256" s="1432">
        <v>0</v>
      </c>
      <c r="N256" s="1432">
        <v>0</v>
      </c>
      <c r="O256" s="1432">
        <v>0</v>
      </c>
      <c r="P256" s="1432">
        <v>0</v>
      </c>
      <c r="Q256" s="1432">
        <v>1</v>
      </c>
      <c r="R256" s="1434">
        <f t="shared" ref="R256:R267" si="59">IF(Q256+P256+O256+N256+M256=0," ",AVERAGEIF(M256:Q256,"&lt;&gt;0"))</f>
        <v>1</v>
      </c>
      <c r="S256" s="1435">
        <f t="shared" ref="S256:S267" si="60">+Q256/$Q$466</f>
        <v>1.7921146953405018E-3</v>
      </c>
      <c r="T256" s="1440"/>
    </row>
    <row r="257" spans="1:20" x14ac:dyDescent="0.25">
      <c r="A257" s="1445" t="s">
        <v>1770</v>
      </c>
      <c r="B257" s="1430"/>
      <c r="C257" s="1430"/>
      <c r="D257" s="1430"/>
      <c r="E257" s="1431"/>
      <c r="F257" s="1430"/>
      <c r="G257" s="1431"/>
      <c r="H257" s="1432"/>
      <c r="I257" s="1432"/>
      <c r="J257" s="1432"/>
      <c r="K257" s="1432"/>
      <c r="L257" s="1432"/>
      <c r="M257" s="1432">
        <v>0</v>
      </c>
      <c r="N257" s="1432">
        <v>0</v>
      </c>
      <c r="O257" s="1432">
        <v>0</v>
      </c>
      <c r="P257" s="1432">
        <v>0</v>
      </c>
      <c r="Q257" s="1432">
        <v>1</v>
      </c>
      <c r="R257" s="1434">
        <f t="shared" si="59"/>
        <v>1</v>
      </c>
      <c r="S257" s="1435">
        <f t="shared" si="60"/>
        <v>1.7921146953405018E-3</v>
      </c>
      <c r="T257" s="1440"/>
    </row>
    <row r="258" spans="1:20" x14ac:dyDescent="0.25">
      <c r="A258" s="1445" t="s">
        <v>251</v>
      </c>
      <c r="B258" s="1430">
        <v>0</v>
      </c>
      <c r="C258" s="1430">
        <v>0</v>
      </c>
      <c r="D258" s="1430">
        <v>0</v>
      </c>
      <c r="E258" s="1431">
        <v>1</v>
      </c>
      <c r="F258" s="1430">
        <v>0</v>
      </c>
      <c r="G258" s="1431">
        <v>0</v>
      </c>
      <c r="H258" s="1432">
        <v>0</v>
      </c>
      <c r="I258" s="1432">
        <v>0</v>
      </c>
      <c r="J258" s="1432">
        <v>0</v>
      </c>
      <c r="K258" s="1432">
        <v>0</v>
      </c>
      <c r="L258" s="1432">
        <v>2</v>
      </c>
      <c r="M258" s="1432">
        <v>0</v>
      </c>
      <c r="N258" s="1432">
        <v>0</v>
      </c>
      <c r="O258" s="1432">
        <v>0</v>
      </c>
      <c r="P258" s="1432">
        <v>1</v>
      </c>
      <c r="Q258" s="1432">
        <v>1</v>
      </c>
      <c r="R258" s="1434">
        <f t="shared" si="59"/>
        <v>1</v>
      </c>
      <c r="S258" s="1435">
        <f t="shared" si="60"/>
        <v>1.7921146953405018E-3</v>
      </c>
      <c r="T258" s="1440"/>
    </row>
    <row r="259" spans="1:20" x14ac:dyDescent="0.25">
      <c r="A259" s="1445" t="s">
        <v>252</v>
      </c>
      <c r="B259" s="1430">
        <v>0</v>
      </c>
      <c r="C259" s="1430">
        <v>1</v>
      </c>
      <c r="D259" s="1430">
        <v>0</v>
      </c>
      <c r="E259" s="1431">
        <v>1</v>
      </c>
      <c r="F259" s="1430">
        <v>1</v>
      </c>
      <c r="G259" s="1431">
        <v>1</v>
      </c>
      <c r="H259" s="1432">
        <v>1</v>
      </c>
      <c r="I259" s="1432">
        <v>1</v>
      </c>
      <c r="J259" s="1432">
        <v>0</v>
      </c>
      <c r="K259" s="1432">
        <v>0</v>
      </c>
      <c r="L259" s="1432">
        <v>0</v>
      </c>
      <c r="M259" s="1432">
        <v>0</v>
      </c>
      <c r="N259" s="1432">
        <v>2</v>
      </c>
      <c r="O259" s="1432">
        <v>1</v>
      </c>
      <c r="P259" s="1432">
        <v>0</v>
      </c>
      <c r="Q259" s="1432">
        <v>2</v>
      </c>
      <c r="R259" s="1434">
        <f t="shared" si="59"/>
        <v>1.6666666666666667</v>
      </c>
      <c r="S259" s="1435">
        <f t="shared" si="60"/>
        <v>3.5842293906810036E-3</v>
      </c>
      <c r="T259" s="1440"/>
    </row>
    <row r="260" spans="1:20" x14ac:dyDescent="0.25">
      <c r="A260" s="1445" t="s">
        <v>253</v>
      </c>
      <c r="B260" s="1430">
        <v>0</v>
      </c>
      <c r="C260" s="1430">
        <v>1</v>
      </c>
      <c r="D260" s="1430">
        <v>0</v>
      </c>
      <c r="E260" s="1431">
        <v>0</v>
      </c>
      <c r="F260" s="1430">
        <v>0</v>
      </c>
      <c r="G260" s="1431">
        <v>0</v>
      </c>
      <c r="H260" s="1432">
        <v>0</v>
      </c>
      <c r="I260" s="1432">
        <v>0</v>
      </c>
      <c r="J260" s="1432">
        <v>0</v>
      </c>
      <c r="K260" s="1432">
        <v>0</v>
      </c>
      <c r="L260" s="1432">
        <v>0</v>
      </c>
      <c r="M260" s="1432">
        <v>0</v>
      </c>
      <c r="N260" s="1432">
        <v>0</v>
      </c>
      <c r="O260" s="1432">
        <v>0</v>
      </c>
      <c r="P260" s="1432">
        <v>0</v>
      </c>
      <c r="Q260" s="1432">
        <v>0</v>
      </c>
      <c r="R260" s="1434" t="str">
        <f t="shared" si="59"/>
        <v xml:space="preserve"> </v>
      </c>
      <c r="S260" s="1435">
        <f t="shared" si="60"/>
        <v>0</v>
      </c>
      <c r="T260" s="1440"/>
    </row>
    <row r="261" spans="1:20" x14ac:dyDescent="0.25">
      <c r="A261" s="1445" t="s">
        <v>254</v>
      </c>
      <c r="B261" s="1430">
        <v>1</v>
      </c>
      <c r="C261" s="1430">
        <v>0</v>
      </c>
      <c r="D261" s="1430">
        <v>0</v>
      </c>
      <c r="E261" s="1431">
        <v>0</v>
      </c>
      <c r="F261" s="1430">
        <v>0</v>
      </c>
      <c r="G261" s="1431">
        <v>1</v>
      </c>
      <c r="H261" s="1432">
        <v>0</v>
      </c>
      <c r="I261" s="1432">
        <v>1</v>
      </c>
      <c r="J261" s="1432">
        <v>1</v>
      </c>
      <c r="K261" s="1432">
        <v>2</v>
      </c>
      <c r="L261" s="1432">
        <v>1</v>
      </c>
      <c r="M261" s="1433">
        <v>1</v>
      </c>
      <c r="N261" s="1433">
        <v>0</v>
      </c>
      <c r="O261" s="1433">
        <v>1</v>
      </c>
      <c r="P261" s="1432">
        <v>0</v>
      </c>
      <c r="Q261" s="1432">
        <v>0</v>
      </c>
      <c r="R261" s="1434">
        <f t="shared" si="59"/>
        <v>1</v>
      </c>
      <c r="S261" s="1435">
        <f t="shared" si="60"/>
        <v>0</v>
      </c>
      <c r="T261" s="1440"/>
    </row>
    <row r="262" spans="1:20" x14ac:dyDescent="0.25">
      <c r="A262" s="1445" t="s">
        <v>255</v>
      </c>
      <c r="B262" s="1430">
        <v>0</v>
      </c>
      <c r="C262" s="1430">
        <v>0</v>
      </c>
      <c r="D262" s="1430">
        <v>0</v>
      </c>
      <c r="E262" s="1431">
        <v>0</v>
      </c>
      <c r="F262" s="1430">
        <v>0</v>
      </c>
      <c r="G262" s="1431">
        <v>0</v>
      </c>
      <c r="H262" s="1432">
        <v>0</v>
      </c>
      <c r="I262" s="1432">
        <v>0</v>
      </c>
      <c r="J262" s="1432">
        <v>0</v>
      </c>
      <c r="K262" s="1432">
        <v>0</v>
      </c>
      <c r="L262" s="1432">
        <v>0</v>
      </c>
      <c r="M262" s="1433">
        <v>0</v>
      </c>
      <c r="N262" s="1433">
        <v>0</v>
      </c>
      <c r="O262" s="1433">
        <v>0</v>
      </c>
      <c r="P262" s="1432">
        <v>0</v>
      </c>
      <c r="Q262" s="1432">
        <v>0</v>
      </c>
      <c r="R262" s="1434" t="str">
        <f t="shared" si="59"/>
        <v xml:space="preserve"> </v>
      </c>
      <c r="S262" s="1435">
        <f t="shared" si="60"/>
        <v>0</v>
      </c>
      <c r="T262" s="1440"/>
    </row>
    <row r="263" spans="1:20" x14ac:dyDescent="0.25">
      <c r="A263" s="1445" t="s">
        <v>256</v>
      </c>
      <c r="B263" s="1430">
        <v>3</v>
      </c>
      <c r="C263" s="1430">
        <v>1</v>
      </c>
      <c r="D263" s="1430">
        <v>0</v>
      </c>
      <c r="E263" s="1431">
        <v>0</v>
      </c>
      <c r="F263" s="1430">
        <v>0</v>
      </c>
      <c r="G263" s="1431">
        <v>0</v>
      </c>
      <c r="H263" s="1432">
        <v>0</v>
      </c>
      <c r="I263" s="1432">
        <v>0</v>
      </c>
      <c r="J263" s="1432">
        <v>1</v>
      </c>
      <c r="K263" s="1432">
        <v>3</v>
      </c>
      <c r="L263" s="1432">
        <v>3</v>
      </c>
      <c r="M263" s="1433">
        <v>0</v>
      </c>
      <c r="N263" s="1433">
        <v>0</v>
      </c>
      <c r="O263" s="1433">
        <v>1</v>
      </c>
      <c r="P263" s="1432">
        <v>0</v>
      </c>
      <c r="Q263" s="1432">
        <v>0</v>
      </c>
      <c r="R263" s="1434">
        <f t="shared" si="59"/>
        <v>1</v>
      </c>
      <c r="S263" s="1435">
        <f t="shared" si="60"/>
        <v>0</v>
      </c>
      <c r="T263" s="1440"/>
    </row>
    <row r="264" spans="1:20" x14ac:dyDescent="0.25">
      <c r="A264" s="1445" t="s">
        <v>259</v>
      </c>
      <c r="B264" s="1430">
        <v>0</v>
      </c>
      <c r="C264" s="1430">
        <v>1</v>
      </c>
      <c r="D264" s="1430">
        <v>1</v>
      </c>
      <c r="E264" s="1431">
        <v>0</v>
      </c>
      <c r="F264" s="1430">
        <v>1</v>
      </c>
      <c r="G264" s="1431">
        <v>0</v>
      </c>
      <c r="H264" s="1432">
        <v>2</v>
      </c>
      <c r="I264" s="1432">
        <v>1</v>
      </c>
      <c r="J264" s="1432">
        <v>2</v>
      </c>
      <c r="K264" s="1432">
        <v>0</v>
      </c>
      <c r="L264" s="1432">
        <v>1</v>
      </c>
      <c r="M264" s="1433">
        <v>1</v>
      </c>
      <c r="N264" s="1433">
        <v>0</v>
      </c>
      <c r="O264" s="1433">
        <v>0</v>
      </c>
      <c r="P264" s="1432">
        <v>0</v>
      </c>
      <c r="Q264" s="1432">
        <v>1</v>
      </c>
      <c r="R264" s="1434">
        <f t="shared" si="59"/>
        <v>1</v>
      </c>
      <c r="S264" s="1435">
        <f t="shared" si="60"/>
        <v>1.7921146953405018E-3</v>
      </c>
      <c r="T264" s="1440"/>
    </row>
    <row r="265" spans="1:20" x14ac:dyDescent="0.25">
      <c r="A265" s="1445" t="s">
        <v>260</v>
      </c>
      <c r="B265" s="1430">
        <v>0</v>
      </c>
      <c r="C265" s="1430">
        <v>1</v>
      </c>
      <c r="D265" s="1430">
        <v>0</v>
      </c>
      <c r="E265" s="1431">
        <v>0</v>
      </c>
      <c r="F265" s="1430">
        <v>2</v>
      </c>
      <c r="G265" s="1431">
        <v>0</v>
      </c>
      <c r="H265" s="1432">
        <v>0</v>
      </c>
      <c r="I265" s="1432">
        <v>0</v>
      </c>
      <c r="J265" s="1432">
        <v>0</v>
      </c>
      <c r="K265" s="1432">
        <v>1</v>
      </c>
      <c r="L265" s="1432">
        <v>3</v>
      </c>
      <c r="M265" s="1433">
        <v>0</v>
      </c>
      <c r="N265" s="1433">
        <v>0</v>
      </c>
      <c r="O265" s="1433">
        <v>0</v>
      </c>
      <c r="P265" s="1432">
        <v>0</v>
      </c>
      <c r="Q265" s="1432">
        <v>0</v>
      </c>
      <c r="R265" s="1434" t="str">
        <f t="shared" si="59"/>
        <v xml:space="preserve"> </v>
      </c>
      <c r="S265" s="1435">
        <f t="shared" si="60"/>
        <v>0</v>
      </c>
      <c r="T265" s="1440"/>
    </row>
    <row r="266" spans="1:20" x14ac:dyDescent="0.25">
      <c r="A266" s="1445" t="s">
        <v>261</v>
      </c>
      <c r="B266" s="1430">
        <v>0</v>
      </c>
      <c r="C266" s="1430">
        <v>1</v>
      </c>
      <c r="D266" s="1430">
        <v>0</v>
      </c>
      <c r="E266" s="1431">
        <v>1</v>
      </c>
      <c r="F266" s="1430">
        <v>1</v>
      </c>
      <c r="G266" s="1431">
        <v>3</v>
      </c>
      <c r="H266" s="1432">
        <v>0</v>
      </c>
      <c r="I266" s="1432">
        <v>0</v>
      </c>
      <c r="J266" s="1432">
        <v>0</v>
      </c>
      <c r="K266" s="1432">
        <v>1</v>
      </c>
      <c r="L266" s="1432">
        <v>1</v>
      </c>
      <c r="M266" s="1433">
        <v>1</v>
      </c>
      <c r="N266" s="1433">
        <v>0</v>
      </c>
      <c r="O266" s="1433">
        <v>0</v>
      </c>
      <c r="P266" s="1432">
        <v>0</v>
      </c>
      <c r="Q266" s="1432">
        <v>3</v>
      </c>
      <c r="R266" s="1434">
        <f t="shared" si="59"/>
        <v>2</v>
      </c>
      <c r="S266" s="1435">
        <f t="shared" si="60"/>
        <v>5.3763440860215058E-3</v>
      </c>
      <c r="T266" s="1440"/>
    </row>
    <row r="267" spans="1:20" x14ac:dyDescent="0.25">
      <c r="A267" s="1449" t="s">
        <v>36</v>
      </c>
      <c r="B267" s="1437">
        <f>SUM(B256:B266)</f>
        <v>4</v>
      </c>
      <c r="C267" s="1437">
        <f t="shared" ref="C267:Q267" si="61">SUM(C256:C266)</f>
        <v>6</v>
      </c>
      <c r="D267" s="1437">
        <f t="shared" si="61"/>
        <v>1</v>
      </c>
      <c r="E267" s="1437">
        <f t="shared" si="61"/>
        <v>3</v>
      </c>
      <c r="F267" s="1437">
        <f t="shared" si="61"/>
        <v>5</v>
      </c>
      <c r="G267" s="1437">
        <f t="shared" si="61"/>
        <v>5</v>
      </c>
      <c r="H267" s="1437">
        <f t="shared" si="61"/>
        <v>3</v>
      </c>
      <c r="I267" s="1437">
        <f t="shared" si="61"/>
        <v>3</v>
      </c>
      <c r="J267" s="1437">
        <f t="shared" si="61"/>
        <v>4</v>
      </c>
      <c r="K267" s="1437">
        <f t="shared" si="61"/>
        <v>7</v>
      </c>
      <c r="L267" s="1437">
        <f t="shared" si="61"/>
        <v>11</v>
      </c>
      <c r="M267" s="1437">
        <f t="shared" si="61"/>
        <v>3</v>
      </c>
      <c r="N267" s="1437">
        <f t="shared" si="61"/>
        <v>2</v>
      </c>
      <c r="O267" s="1437">
        <f t="shared" si="61"/>
        <v>3</v>
      </c>
      <c r="P267" s="1437">
        <f t="shared" si="61"/>
        <v>1</v>
      </c>
      <c r="Q267" s="1437">
        <f t="shared" si="61"/>
        <v>9</v>
      </c>
      <c r="R267" s="1434">
        <f t="shared" si="59"/>
        <v>3.6</v>
      </c>
      <c r="S267" s="1439">
        <f t="shared" si="60"/>
        <v>1.6129032258064516E-2</v>
      </c>
      <c r="T267" s="1440"/>
    </row>
    <row r="268" spans="1:20" x14ac:dyDescent="0.25">
      <c r="A268" s="1478" t="s">
        <v>262</v>
      </c>
      <c r="B268" s="1425" t="s">
        <v>908</v>
      </c>
      <c r="C268" s="1425" t="s">
        <v>617</v>
      </c>
      <c r="D268" s="1425" t="s">
        <v>1360</v>
      </c>
      <c r="E268" s="1426" t="s">
        <v>592</v>
      </c>
      <c r="F268" s="1425" t="s">
        <v>921</v>
      </c>
      <c r="G268" s="1426" t="s">
        <v>676</v>
      </c>
      <c r="H268" s="1427" t="s">
        <v>777</v>
      </c>
      <c r="I268" s="1428" t="s">
        <v>969</v>
      </c>
      <c r="J268" s="1428" t="s">
        <v>1419</v>
      </c>
      <c r="K268" s="1428" t="s">
        <v>1443</v>
      </c>
      <c r="L268" s="1480" t="s">
        <v>1444</v>
      </c>
      <c r="M268" s="1477" t="s">
        <v>1445</v>
      </c>
      <c r="N268" s="1477" t="s">
        <v>1566</v>
      </c>
      <c r="O268" s="1477" t="s">
        <v>1613</v>
      </c>
      <c r="P268" s="1477" t="s">
        <v>1660</v>
      </c>
      <c r="Q268" s="1477" t="s">
        <v>1749</v>
      </c>
      <c r="R268" s="1481" t="s">
        <v>31</v>
      </c>
      <c r="S268" s="1481" t="s">
        <v>32</v>
      </c>
      <c r="T268" s="1440"/>
    </row>
    <row r="269" spans="1:20" x14ac:dyDescent="0.25">
      <c r="A269" s="1457" t="s">
        <v>1484</v>
      </c>
      <c r="B269" s="1430">
        <v>0</v>
      </c>
      <c r="C269" s="1430">
        <v>0</v>
      </c>
      <c r="D269" s="1430">
        <v>0</v>
      </c>
      <c r="E269" s="1431">
        <v>0</v>
      </c>
      <c r="F269" s="1430">
        <v>0</v>
      </c>
      <c r="G269" s="1431">
        <v>0</v>
      </c>
      <c r="H269" s="1432">
        <v>0</v>
      </c>
      <c r="I269" s="1432">
        <v>0</v>
      </c>
      <c r="J269" s="1432">
        <v>0</v>
      </c>
      <c r="K269" s="1432">
        <v>0</v>
      </c>
      <c r="L269" s="1432">
        <v>0</v>
      </c>
      <c r="M269" s="1433">
        <v>1</v>
      </c>
      <c r="N269" s="1433">
        <v>0</v>
      </c>
      <c r="O269" s="1433">
        <v>0</v>
      </c>
      <c r="P269" s="1433">
        <v>0</v>
      </c>
      <c r="Q269" s="1433">
        <v>0</v>
      </c>
      <c r="R269" s="1434">
        <f>IF(Q269+P269+O269+N269+M269=0," ",AVERAGEIF(M269:Q269,"&lt;&gt;0"))</f>
        <v>1</v>
      </c>
      <c r="S269" s="1435">
        <f>+Q269/$Q$466</f>
        <v>0</v>
      </c>
      <c r="T269" s="1440"/>
    </row>
    <row r="270" spans="1:20" x14ac:dyDescent="0.25">
      <c r="A270" s="1445" t="s">
        <v>263</v>
      </c>
      <c r="B270" s="1430">
        <v>0</v>
      </c>
      <c r="C270" s="1430">
        <v>0</v>
      </c>
      <c r="D270" s="1430">
        <v>0</v>
      </c>
      <c r="E270" s="1431">
        <v>0</v>
      </c>
      <c r="F270" s="1430">
        <v>0</v>
      </c>
      <c r="G270" s="1431">
        <v>0</v>
      </c>
      <c r="H270" s="1432">
        <v>0</v>
      </c>
      <c r="I270" s="1432">
        <v>0</v>
      </c>
      <c r="J270" s="1432">
        <v>0</v>
      </c>
      <c r="K270" s="1432">
        <v>0</v>
      </c>
      <c r="L270" s="1432">
        <v>0</v>
      </c>
      <c r="M270" s="1433">
        <v>0</v>
      </c>
      <c r="N270" s="1433">
        <v>0</v>
      </c>
      <c r="O270" s="1433">
        <v>0</v>
      </c>
      <c r="P270" s="1433">
        <v>0</v>
      </c>
      <c r="Q270" s="1433">
        <v>0</v>
      </c>
      <c r="R270" s="1434" t="str">
        <f>IF(Q270+P270+O270+N270+M270=0," ",AVERAGEIF(M270:Q270,"&lt;&gt;0"))</f>
        <v xml:space="preserve"> </v>
      </c>
      <c r="S270" s="1435">
        <f>+Q270/$Q$466</f>
        <v>0</v>
      </c>
      <c r="T270" s="1440"/>
    </row>
    <row r="271" spans="1:20" x14ac:dyDescent="0.25">
      <c r="A271" s="1457" t="s">
        <v>1485</v>
      </c>
      <c r="B271" s="1430"/>
      <c r="C271" s="1430"/>
      <c r="D271" s="1430"/>
      <c r="E271" s="1431">
        <v>0</v>
      </c>
      <c r="F271" s="1430">
        <v>0</v>
      </c>
      <c r="G271" s="1431">
        <v>0</v>
      </c>
      <c r="H271" s="1432">
        <v>0</v>
      </c>
      <c r="I271" s="1432">
        <v>0</v>
      </c>
      <c r="J271" s="1432">
        <v>1</v>
      </c>
      <c r="K271" s="1432">
        <v>0</v>
      </c>
      <c r="L271" s="1432">
        <v>0</v>
      </c>
      <c r="M271" s="1433">
        <v>2</v>
      </c>
      <c r="N271" s="1433">
        <v>1</v>
      </c>
      <c r="O271" s="1433">
        <v>0</v>
      </c>
      <c r="P271" s="1433">
        <v>0</v>
      </c>
      <c r="Q271" s="1433">
        <v>0</v>
      </c>
      <c r="R271" s="1434">
        <f>IF(Q271+P271+O271+N271+M271=0," ",AVERAGEIF(M271:Q271,"&lt;&gt;0"))</f>
        <v>1.5</v>
      </c>
      <c r="S271" s="1435">
        <f>+Q271/$Q$466</f>
        <v>0</v>
      </c>
      <c r="T271" s="1440"/>
    </row>
    <row r="272" spans="1:20" x14ac:dyDescent="0.25">
      <c r="A272" s="1445" t="s">
        <v>264</v>
      </c>
      <c r="B272" s="1430">
        <v>0</v>
      </c>
      <c r="C272" s="1430">
        <v>0</v>
      </c>
      <c r="D272" s="1430">
        <v>0</v>
      </c>
      <c r="E272" s="1431">
        <v>1</v>
      </c>
      <c r="F272" s="1430">
        <v>0</v>
      </c>
      <c r="G272" s="1431">
        <v>0</v>
      </c>
      <c r="H272" s="1432">
        <v>0</v>
      </c>
      <c r="I272" s="1432">
        <v>0</v>
      </c>
      <c r="J272" s="1432">
        <v>0</v>
      </c>
      <c r="K272" s="1432">
        <v>0</v>
      </c>
      <c r="L272" s="1432">
        <v>1</v>
      </c>
      <c r="M272" s="1433">
        <v>0</v>
      </c>
      <c r="N272" s="1433">
        <v>0</v>
      </c>
      <c r="O272" s="1433">
        <v>0</v>
      </c>
      <c r="P272" s="1433">
        <v>0</v>
      </c>
      <c r="Q272" s="1433">
        <v>1</v>
      </c>
      <c r="R272" s="1434">
        <f>IF(Q272+P272+O272+N272+M272=0," ",AVERAGEIF(M272:Q272,"&lt;&gt;0"))</f>
        <v>1</v>
      </c>
      <c r="S272" s="1435">
        <f>+Q272/$Q$466</f>
        <v>1.7921146953405018E-3</v>
      </c>
      <c r="T272" s="1440"/>
    </row>
    <row r="273" spans="1:20" x14ac:dyDescent="0.25">
      <c r="A273" s="1449" t="s">
        <v>36</v>
      </c>
      <c r="B273" s="1437">
        <f t="shared" ref="B273:J273" si="62">SUM(B269:B272)</f>
        <v>0</v>
      </c>
      <c r="C273" s="1437">
        <f t="shared" si="62"/>
        <v>0</v>
      </c>
      <c r="D273" s="1437">
        <f t="shared" si="62"/>
        <v>0</v>
      </c>
      <c r="E273" s="1438">
        <f t="shared" si="62"/>
        <v>1</v>
      </c>
      <c r="F273" s="1437">
        <f t="shared" si="62"/>
        <v>0</v>
      </c>
      <c r="G273" s="1438">
        <f t="shared" si="62"/>
        <v>0</v>
      </c>
      <c r="H273" s="1434">
        <f t="shared" si="62"/>
        <v>0</v>
      </c>
      <c r="I273" s="1434">
        <f t="shared" si="62"/>
        <v>0</v>
      </c>
      <c r="J273" s="1434">
        <f t="shared" si="62"/>
        <v>1</v>
      </c>
      <c r="K273" s="1434">
        <f t="shared" ref="K273:P273" si="63">SUM(K269:K272)</f>
        <v>0</v>
      </c>
      <c r="L273" s="1434">
        <f t="shared" si="63"/>
        <v>1</v>
      </c>
      <c r="M273" s="1434">
        <f t="shared" si="63"/>
        <v>3</v>
      </c>
      <c r="N273" s="1434">
        <f t="shared" si="63"/>
        <v>1</v>
      </c>
      <c r="O273" s="1434">
        <f t="shared" si="63"/>
        <v>0</v>
      </c>
      <c r="P273" s="1434">
        <f t="shared" si="63"/>
        <v>0</v>
      </c>
      <c r="Q273" s="1434">
        <f>SUM(Q269:Q272)</f>
        <v>1</v>
      </c>
      <c r="R273" s="1434">
        <f>IF(Q273+P273+O273+N273+M273=0," ",AVERAGEIF(M273:Q273,"&lt;&gt;0"))</f>
        <v>1.6666666666666667</v>
      </c>
      <c r="S273" s="1439">
        <f>+Q273/$Q$466</f>
        <v>1.7921146953405018E-3</v>
      </c>
      <c r="T273" s="1440"/>
    </row>
    <row r="274" spans="1:20" x14ac:dyDescent="0.25">
      <c r="A274" s="1478" t="s">
        <v>265</v>
      </c>
      <c r="B274" s="1425" t="s">
        <v>908</v>
      </c>
      <c r="C274" s="1425" t="s">
        <v>617</v>
      </c>
      <c r="D274" s="1425" t="s">
        <v>1360</v>
      </c>
      <c r="E274" s="1426" t="s">
        <v>592</v>
      </c>
      <c r="F274" s="1425" t="s">
        <v>921</v>
      </c>
      <c r="G274" s="1426" t="s">
        <v>676</v>
      </c>
      <c r="H274" s="1427" t="s">
        <v>777</v>
      </c>
      <c r="I274" s="1428" t="s">
        <v>969</v>
      </c>
      <c r="J274" s="1428" t="s">
        <v>1419</v>
      </c>
      <c r="K274" s="1428" t="s">
        <v>1443</v>
      </c>
      <c r="L274" s="1480" t="s">
        <v>1444</v>
      </c>
      <c r="M274" s="1477" t="s">
        <v>1445</v>
      </c>
      <c r="N274" s="1477" t="s">
        <v>1566</v>
      </c>
      <c r="O274" s="1477" t="s">
        <v>1613</v>
      </c>
      <c r="P274" s="1477" t="s">
        <v>1660</v>
      </c>
      <c r="Q274" s="1477" t="s">
        <v>1749</v>
      </c>
      <c r="R274" s="1481" t="s">
        <v>31</v>
      </c>
      <c r="S274" s="1481" t="s">
        <v>32</v>
      </c>
      <c r="T274" s="1440"/>
    </row>
    <row r="275" spans="1:20" x14ac:dyDescent="0.25">
      <c r="A275" s="1445" t="s">
        <v>266</v>
      </c>
      <c r="B275" s="1430">
        <v>0</v>
      </c>
      <c r="C275" s="1430">
        <v>0</v>
      </c>
      <c r="D275" s="1430">
        <v>0</v>
      </c>
      <c r="E275" s="1431">
        <v>0</v>
      </c>
      <c r="F275" s="1430">
        <v>0</v>
      </c>
      <c r="G275" s="1431">
        <v>0</v>
      </c>
      <c r="H275" s="1432">
        <v>0</v>
      </c>
      <c r="I275" s="1432">
        <v>0</v>
      </c>
      <c r="J275" s="1432">
        <v>0</v>
      </c>
      <c r="K275" s="1432">
        <v>2</v>
      </c>
      <c r="L275" s="1432">
        <v>0</v>
      </c>
      <c r="M275" s="1432">
        <v>0</v>
      </c>
      <c r="N275" s="1432">
        <v>0</v>
      </c>
      <c r="O275" s="1432">
        <v>0</v>
      </c>
      <c r="P275" s="1432">
        <v>0</v>
      </c>
      <c r="Q275" s="1432">
        <v>0</v>
      </c>
      <c r="R275" s="1434" t="str">
        <f t="shared" ref="R275:R280" si="64">IF(Q275+P275+O275+N275+M275=0," ",AVERAGEIF(M275:Q275,"&lt;&gt;0"))</f>
        <v xml:space="preserve"> </v>
      </c>
      <c r="S275" s="1435">
        <f t="shared" ref="S275:S280" si="65">+Q275/$Q$466</f>
        <v>0</v>
      </c>
      <c r="T275" s="1440"/>
    </row>
    <row r="276" spans="1:20" x14ac:dyDescent="0.25">
      <c r="A276" s="1445" t="s">
        <v>269</v>
      </c>
      <c r="B276" s="1430">
        <v>6</v>
      </c>
      <c r="C276" s="1430">
        <v>2</v>
      </c>
      <c r="D276" s="1430">
        <v>1</v>
      </c>
      <c r="E276" s="1431">
        <v>4</v>
      </c>
      <c r="F276" s="1430">
        <v>2</v>
      </c>
      <c r="G276" s="1431">
        <v>2</v>
      </c>
      <c r="H276" s="1432">
        <v>0</v>
      </c>
      <c r="I276" s="1432">
        <v>0</v>
      </c>
      <c r="J276" s="1432">
        <v>1</v>
      </c>
      <c r="K276" s="1432">
        <v>2</v>
      </c>
      <c r="L276" s="1432">
        <v>4</v>
      </c>
      <c r="M276" s="1433">
        <v>4</v>
      </c>
      <c r="N276" s="1433">
        <v>2</v>
      </c>
      <c r="O276" s="1433">
        <v>2</v>
      </c>
      <c r="P276" s="1433">
        <v>1</v>
      </c>
      <c r="Q276" s="1433">
        <v>3</v>
      </c>
      <c r="R276" s="1434">
        <f t="shared" si="64"/>
        <v>2.4</v>
      </c>
      <c r="S276" s="1435">
        <f t="shared" si="65"/>
        <v>5.3763440860215058E-3</v>
      </c>
      <c r="T276" s="1440"/>
    </row>
    <row r="277" spans="1:20" x14ac:dyDescent="0.25">
      <c r="A277" s="1445" t="s">
        <v>270</v>
      </c>
      <c r="B277" s="1430">
        <v>0</v>
      </c>
      <c r="C277" s="1430">
        <v>0</v>
      </c>
      <c r="D277" s="1430">
        <v>1</v>
      </c>
      <c r="E277" s="1431">
        <v>0</v>
      </c>
      <c r="F277" s="1430">
        <v>0</v>
      </c>
      <c r="G277" s="1431">
        <v>0</v>
      </c>
      <c r="H277" s="1432">
        <v>2</v>
      </c>
      <c r="I277" s="1432">
        <v>0</v>
      </c>
      <c r="J277" s="1432">
        <v>0</v>
      </c>
      <c r="K277" s="1432">
        <v>0</v>
      </c>
      <c r="L277" s="1432">
        <v>0</v>
      </c>
      <c r="M277" s="1433">
        <v>0</v>
      </c>
      <c r="N277" s="1433">
        <v>1</v>
      </c>
      <c r="O277" s="1433">
        <v>0</v>
      </c>
      <c r="P277" s="1433">
        <v>1</v>
      </c>
      <c r="Q277" s="1433">
        <v>0</v>
      </c>
      <c r="R277" s="1434">
        <f t="shared" si="64"/>
        <v>1</v>
      </c>
      <c r="S277" s="1435">
        <f t="shared" si="65"/>
        <v>0</v>
      </c>
      <c r="T277" s="1440"/>
    </row>
    <row r="278" spans="1:20" x14ac:dyDescent="0.25">
      <c r="A278" s="1445" t="s">
        <v>274</v>
      </c>
      <c r="B278" s="1430">
        <v>2</v>
      </c>
      <c r="C278" s="1430">
        <v>4</v>
      </c>
      <c r="D278" s="1430">
        <v>5</v>
      </c>
      <c r="E278" s="1431">
        <v>2</v>
      </c>
      <c r="F278" s="1430">
        <v>3</v>
      </c>
      <c r="G278" s="1431">
        <v>3</v>
      </c>
      <c r="H278" s="1432">
        <v>4</v>
      </c>
      <c r="I278" s="1432">
        <v>3</v>
      </c>
      <c r="J278" s="1432">
        <v>4</v>
      </c>
      <c r="K278" s="1432">
        <v>2</v>
      </c>
      <c r="L278" s="1432">
        <v>6</v>
      </c>
      <c r="M278" s="1433">
        <v>4</v>
      </c>
      <c r="N278" s="1433">
        <v>3</v>
      </c>
      <c r="O278" s="1433">
        <v>5</v>
      </c>
      <c r="P278" s="1433">
        <v>3</v>
      </c>
      <c r="Q278" s="1433">
        <v>4</v>
      </c>
      <c r="R278" s="1434">
        <f t="shared" si="64"/>
        <v>3.8</v>
      </c>
      <c r="S278" s="1435">
        <f t="shared" si="65"/>
        <v>7.1684587813620072E-3</v>
      </c>
      <c r="T278" s="1440"/>
    </row>
    <row r="279" spans="1:20" x14ac:dyDescent="0.25">
      <c r="A279" s="1445" t="s">
        <v>275</v>
      </c>
      <c r="B279" s="1430">
        <v>0</v>
      </c>
      <c r="C279" s="1430">
        <v>0</v>
      </c>
      <c r="D279" s="1430">
        <v>2</v>
      </c>
      <c r="E279" s="1431">
        <v>2</v>
      </c>
      <c r="F279" s="1430">
        <v>1</v>
      </c>
      <c r="G279" s="1431">
        <v>0</v>
      </c>
      <c r="H279" s="1432">
        <v>0</v>
      </c>
      <c r="I279" s="1432">
        <v>0</v>
      </c>
      <c r="J279" s="1432">
        <v>0</v>
      </c>
      <c r="K279" s="1432">
        <v>0</v>
      </c>
      <c r="L279" s="1432">
        <v>1</v>
      </c>
      <c r="M279" s="1433">
        <v>4</v>
      </c>
      <c r="N279" s="1433">
        <v>0</v>
      </c>
      <c r="O279" s="1433">
        <v>0</v>
      </c>
      <c r="P279" s="1433">
        <v>0</v>
      </c>
      <c r="Q279" s="1433">
        <v>2</v>
      </c>
      <c r="R279" s="1434">
        <f t="shared" si="64"/>
        <v>3</v>
      </c>
      <c r="S279" s="1435">
        <f t="shared" si="65"/>
        <v>3.5842293906810036E-3</v>
      </c>
      <c r="T279" s="1440"/>
    </row>
    <row r="280" spans="1:20" x14ac:dyDescent="0.25">
      <c r="A280" s="1449" t="s">
        <v>36</v>
      </c>
      <c r="B280" s="1437">
        <f t="shared" ref="B280:J280" si="66">SUM(B275:B279)</f>
        <v>8</v>
      </c>
      <c r="C280" s="1437">
        <f t="shared" si="66"/>
        <v>6</v>
      </c>
      <c r="D280" s="1437">
        <f t="shared" si="66"/>
        <v>9</v>
      </c>
      <c r="E280" s="1438">
        <f t="shared" si="66"/>
        <v>8</v>
      </c>
      <c r="F280" s="1437">
        <f t="shared" si="66"/>
        <v>6</v>
      </c>
      <c r="G280" s="1438">
        <f t="shared" si="66"/>
        <v>5</v>
      </c>
      <c r="H280" s="1434">
        <f t="shared" si="66"/>
        <v>6</v>
      </c>
      <c r="I280" s="1434">
        <f t="shared" si="66"/>
        <v>3</v>
      </c>
      <c r="J280" s="1434">
        <f t="shared" si="66"/>
        <v>5</v>
      </c>
      <c r="K280" s="1434">
        <f t="shared" ref="K280:P280" si="67">SUM(K275:K279)</f>
        <v>6</v>
      </c>
      <c r="L280" s="1434">
        <f t="shared" si="67"/>
        <v>11</v>
      </c>
      <c r="M280" s="1434">
        <f t="shared" si="67"/>
        <v>12</v>
      </c>
      <c r="N280" s="1434">
        <f t="shared" si="67"/>
        <v>6</v>
      </c>
      <c r="O280" s="1434">
        <f t="shared" si="67"/>
        <v>7</v>
      </c>
      <c r="P280" s="1434">
        <f t="shared" si="67"/>
        <v>5</v>
      </c>
      <c r="Q280" s="1434">
        <f>SUM(Q275:Q279)</f>
        <v>9</v>
      </c>
      <c r="R280" s="1434">
        <f t="shared" si="64"/>
        <v>7.8</v>
      </c>
      <c r="S280" s="1439">
        <f t="shared" si="65"/>
        <v>1.6129032258064516E-2</v>
      </c>
      <c r="T280" s="1440"/>
    </row>
    <row r="281" spans="1:20" x14ac:dyDescent="0.25">
      <c r="A281" s="1478" t="s">
        <v>276</v>
      </c>
      <c r="B281" s="1425" t="s">
        <v>908</v>
      </c>
      <c r="C281" s="1425" t="s">
        <v>617</v>
      </c>
      <c r="D281" s="1425" t="s">
        <v>1360</v>
      </c>
      <c r="E281" s="1426" t="s">
        <v>592</v>
      </c>
      <c r="F281" s="1425" t="s">
        <v>921</v>
      </c>
      <c r="G281" s="1426" t="s">
        <v>676</v>
      </c>
      <c r="H281" s="1427" t="s">
        <v>777</v>
      </c>
      <c r="I281" s="1428" t="s">
        <v>969</v>
      </c>
      <c r="J281" s="1428" t="s">
        <v>1419</v>
      </c>
      <c r="K281" s="1428" t="s">
        <v>1443</v>
      </c>
      <c r="L281" s="1480" t="s">
        <v>1444</v>
      </c>
      <c r="M281" s="1477" t="s">
        <v>1445</v>
      </c>
      <c r="N281" s="1477" t="s">
        <v>1566</v>
      </c>
      <c r="O281" s="1477" t="s">
        <v>1613</v>
      </c>
      <c r="P281" s="1477" t="s">
        <v>1660</v>
      </c>
      <c r="Q281" s="1477" t="s">
        <v>1749</v>
      </c>
      <c r="R281" s="1481" t="s">
        <v>31</v>
      </c>
      <c r="S281" s="1481" t="s">
        <v>32</v>
      </c>
      <c r="T281" s="1440"/>
    </row>
    <row r="282" spans="1:20" x14ac:dyDescent="0.25">
      <c r="A282" s="1445" t="s">
        <v>277</v>
      </c>
      <c r="B282" s="1430">
        <v>1</v>
      </c>
      <c r="C282" s="1430">
        <v>0</v>
      </c>
      <c r="D282" s="1430">
        <v>0</v>
      </c>
      <c r="E282" s="1431">
        <v>2</v>
      </c>
      <c r="F282" s="1430">
        <v>0</v>
      </c>
      <c r="G282" s="1431">
        <v>0</v>
      </c>
      <c r="H282" s="1432">
        <v>0</v>
      </c>
      <c r="I282" s="1432">
        <v>1</v>
      </c>
      <c r="J282" s="1432">
        <v>2</v>
      </c>
      <c r="K282" s="1432">
        <v>0</v>
      </c>
      <c r="L282" s="1432">
        <v>0</v>
      </c>
      <c r="M282" s="1433">
        <v>1</v>
      </c>
      <c r="N282" s="1433">
        <v>3</v>
      </c>
      <c r="O282" s="1433">
        <v>3</v>
      </c>
      <c r="P282" s="1433">
        <v>2</v>
      </c>
      <c r="Q282" s="1433">
        <v>0</v>
      </c>
      <c r="R282" s="1434">
        <f>IF(Q282+P282+O282+N282+M282=0," ",AVERAGEIF(M282:Q282,"&lt;&gt;0"))</f>
        <v>2.25</v>
      </c>
      <c r="S282" s="1435">
        <f>+Q282/$Q$466</f>
        <v>0</v>
      </c>
      <c r="T282" s="1440"/>
    </row>
    <row r="283" spans="1:20" x14ac:dyDescent="0.25">
      <c r="A283" s="1445" t="s">
        <v>278</v>
      </c>
      <c r="B283" s="1430">
        <v>0</v>
      </c>
      <c r="C283" s="1430">
        <v>0</v>
      </c>
      <c r="D283" s="1430">
        <v>0</v>
      </c>
      <c r="E283" s="1431">
        <v>0</v>
      </c>
      <c r="F283" s="1430">
        <v>0</v>
      </c>
      <c r="G283" s="1431">
        <v>0</v>
      </c>
      <c r="H283" s="1432">
        <v>1</v>
      </c>
      <c r="I283" s="1432">
        <v>1</v>
      </c>
      <c r="J283" s="1432">
        <v>0</v>
      </c>
      <c r="K283" s="1432">
        <v>0</v>
      </c>
      <c r="L283" s="1432">
        <v>0</v>
      </c>
      <c r="M283" s="1433">
        <v>2</v>
      </c>
      <c r="N283" s="1433">
        <v>1</v>
      </c>
      <c r="O283" s="1433">
        <v>2</v>
      </c>
      <c r="P283" s="1433">
        <v>0</v>
      </c>
      <c r="Q283" s="1433">
        <v>1</v>
      </c>
      <c r="R283" s="1434">
        <f>IF(Q283+P283+O283+N283+M283=0," ",AVERAGEIF(M283:Q283,"&lt;&gt;0"))</f>
        <v>1.5</v>
      </c>
      <c r="S283" s="1435">
        <f>+Q283/$Q$466</f>
        <v>1.7921146953405018E-3</v>
      </c>
      <c r="T283" s="1440"/>
    </row>
    <row r="284" spans="1:20" x14ac:dyDescent="0.25">
      <c r="A284" s="1445" t="s">
        <v>279</v>
      </c>
      <c r="B284" s="1430">
        <v>5</v>
      </c>
      <c r="C284" s="1430">
        <v>1</v>
      </c>
      <c r="D284" s="1430">
        <v>2</v>
      </c>
      <c r="E284" s="1431">
        <v>2</v>
      </c>
      <c r="F284" s="1430">
        <v>0</v>
      </c>
      <c r="G284" s="1431">
        <v>0</v>
      </c>
      <c r="H284" s="1432">
        <v>2</v>
      </c>
      <c r="I284" s="1432">
        <v>1</v>
      </c>
      <c r="J284" s="1432">
        <v>0</v>
      </c>
      <c r="K284" s="1432">
        <v>2</v>
      </c>
      <c r="L284" s="1432">
        <v>1</v>
      </c>
      <c r="M284" s="1433">
        <v>0</v>
      </c>
      <c r="N284" s="1433">
        <v>1</v>
      </c>
      <c r="O284" s="1433">
        <v>1</v>
      </c>
      <c r="P284" s="1433">
        <v>0</v>
      </c>
      <c r="Q284" s="1433">
        <v>0</v>
      </c>
      <c r="R284" s="1434">
        <f>IF(Q284+P284+O284+N284+M284=0," ",AVERAGEIF(M284:Q284,"&lt;&gt;0"))</f>
        <v>1</v>
      </c>
      <c r="S284" s="1435">
        <f>+Q284/$Q$466</f>
        <v>0</v>
      </c>
      <c r="T284" s="1440"/>
    </row>
    <row r="285" spans="1:20" x14ac:dyDescent="0.25">
      <c r="A285" s="1445" t="s">
        <v>280</v>
      </c>
      <c r="B285" s="1430">
        <v>1</v>
      </c>
      <c r="C285" s="1430">
        <v>0</v>
      </c>
      <c r="D285" s="1430">
        <v>0</v>
      </c>
      <c r="E285" s="1431">
        <v>0</v>
      </c>
      <c r="F285" s="1430">
        <v>0</v>
      </c>
      <c r="G285" s="1431">
        <v>0</v>
      </c>
      <c r="H285" s="1432">
        <v>0</v>
      </c>
      <c r="I285" s="1432">
        <v>1</v>
      </c>
      <c r="J285" s="1432">
        <v>0</v>
      </c>
      <c r="K285" s="1432">
        <v>1</v>
      </c>
      <c r="L285" s="1432">
        <v>1</v>
      </c>
      <c r="M285" s="1433">
        <v>3</v>
      </c>
      <c r="N285" s="1433">
        <v>0</v>
      </c>
      <c r="O285" s="1433">
        <v>3</v>
      </c>
      <c r="P285" s="1433">
        <v>2</v>
      </c>
      <c r="Q285" s="1433">
        <v>0</v>
      </c>
      <c r="R285" s="1434">
        <f>IF(Q285+P285+O285+N285+M285=0," ",AVERAGEIF(M285:Q285,"&lt;&gt;0"))</f>
        <v>2.6666666666666665</v>
      </c>
      <c r="S285" s="1435">
        <f>+Q285/$Q$466</f>
        <v>0</v>
      </c>
      <c r="T285" s="1440"/>
    </row>
    <row r="286" spans="1:20" x14ac:dyDescent="0.25">
      <c r="A286" s="1449" t="s">
        <v>36</v>
      </c>
      <c r="B286" s="1437">
        <f t="shared" ref="B286:N286" si="68">SUM(B282:B285)</f>
        <v>7</v>
      </c>
      <c r="C286" s="1437">
        <f t="shared" si="68"/>
        <v>1</v>
      </c>
      <c r="D286" s="1437">
        <f t="shared" si="68"/>
        <v>2</v>
      </c>
      <c r="E286" s="1438">
        <f t="shared" si="68"/>
        <v>4</v>
      </c>
      <c r="F286" s="1437">
        <f t="shared" si="68"/>
        <v>0</v>
      </c>
      <c r="G286" s="1438">
        <f t="shared" si="68"/>
        <v>0</v>
      </c>
      <c r="H286" s="1434">
        <f t="shared" si="68"/>
        <v>3</v>
      </c>
      <c r="I286" s="1434">
        <f t="shared" si="68"/>
        <v>4</v>
      </c>
      <c r="J286" s="1434">
        <f t="shared" si="68"/>
        <v>2</v>
      </c>
      <c r="K286" s="1434">
        <f t="shared" si="68"/>
        <v>3</v>
      </c>
      <c r="L286" s="1434">
        <f t="shared" si="68"/>
        <v>2</v>
      </c>
      <c r="M286" s="1434">
        <f t="shared" si="68"/>
        <v>6</v>
      </c>
      <c r="N286" s="1434">
        <f t="shared" si="68"/>
        <v>5</v>
      </c>
      <c r="O286" s="1434">
        <f>SUM(O282:O285)</f>
        <v>9</v>
      </c>
      <c r="P286" s="1434">
        <f>SUM(P282:P285)</f>
        <v>4</v>
      </c>
      <c r="Q286" s="1434">
        <f>SUM(Q282:Q285)</f>
        <v>1</v>
      </c>
      <c r="R286" s="1434">
        <f>IF(Q286+P286+O286+N286+M286=0," ",AVERAGEIF(M286:Q286,"&lt;&gt;0"))</f>
        <v>5</v>
      </c>
      <c r="S286" s="1439">
        <f>+Q286/$Q$466</f>
        <v>1.7921146953405018E-3</v>
      </c>
      <c r="T286" s="1440"/>
    </row>
    <row r="287" spans="1:20" x14ac:dyDescent="0.25">
      <c r="A287" s="1478" t="s">
        <v>281</v>
      </c>
      <c r="B287" s="1425" t="s">
        <v>908</v>
      </c>
      <c r="C287" s="1425" t="s">
        <v>617</v>
      </c>
      <c r="D287" s="1425" t="s">
        <v>1360</v>
      </c>
      <c r="E287" s="1426" t="s">
        <v>592</v>
      </c>
      <c r="F287" s="1425" t="s">
        <v>921</v>
      </c>
      <c r="G287" s="1426" t="s">
        <v>676</v>
      </c>
      <c r="H287" s="1427" t="s">
        <v>777</v>
      </c>
      <c r="I287" s="1428" t="s">
        <v>969</v>
      </c>
      <c r="J287" s="1428" t="s">
        <v>1419</v>
      </c>
      <c r="K287" s="1428" t="s">
        <v>1443</v>
      </c>
      <c r="L287" s="1480" t="s">
        <v>1444</v>
      </c>
      <c r="M287" s="1477" t="s">
        <v>1445</v>
      </c>
      <c r="N287" s="1477" t="s">
        <v>1566</v>
      </c>
      <c r="O287" s="1477" t="s">
        <v>1613</v>
      </c>
      <c r="P287" s="1477" t="s">
        <v>1660</v>
      </c>
      <c r="Q287" s="1477" t="s">
        <v>1749</v>
      </c>
      <c r="R287" s="1481" t="s">
        <v>31</v>
      </c>
      <c r="S287" s="1481" t="s">
        <v>32</v>
      </c>
      <c r="T287" s="1440"/>
    </row>
    <row r="288" spans="1:20" x14ac:dyDescent="0.25">
      <c r="A288" s="1445" t="s">
        <v>282</v>
      </c>
      <c r="B288" s="1430">
        <v>11</v>
      </c>
      <c r="C288" s="1430">
        <v>12</v>
      </c>
      <c r="D288" s="1430">
        <v>9</v>
      </c>
      <c r="E288" s="1431">
        <v>2</v>
      </c>
      <c r="F288" s="1430">
        <v>7</v>
      </c>
      <c r="G288" s="1431">
        <v>8</v>
      </c>
      <c r="H288" s="1432">
        <v>10</v>
      </c>
      <c r="I288" s="1432">
        <v>8</v>
      </c>
      <c r="J288" s="1432">
        <v>13</v>
      </c>
      <c r="K288" s="1432">
        <v>10</v>
      </c>
      <c r="L288" s="1432">
        <v>6</v>
      </c>
      <c r="M288" s="1433">
        <v>18</v>
      </c>
      <c r="N288" s="1433">
        <v>10</v>
      </c>
      <c r="O288" s="1433">
        <v>9</v>
      </c>
      <c r="P288" s="1433">
        <v>7</v>
      </c>
      <c r="Q288" s="1433">
        <v>5</v>
      </c>
      <c r="R288" s="1434">
        <f>IF(Q288+P288+O288+N288+M288=0," ",AVERAGEIF(M288:Q288,"&lt;&gt;0"))</f>
        <v>9.8000000000000007</v>
      </c>
      <c r="S288" s="1435">
        <f>+Q288/$Q$466</f>
        <v>8.9605734767025085E-3</v>
      </c>
      <c r="T288" s="1440"/>
    </row>
    <row r="289" spans="1:20" x14ac:dyDescent="0.25">
      <c r="A289" s="1445" t="s">
        <v>1164</v>
      </c>
      <c r="B289" s="1430">
        <v>0</v>
      </c>
      <c r="C289" s="1430">
        <v>0</v>
      </c>
      <c r="D289" s="1430">
        <v>0</v>
      </c>
      <c r="E289" s="1431">
        <v>2</v>
      </c>
      <c r="F289" s="1430">
        <v>7</v>
      </c>
      <c r="G289" s="1431">
        <v>3</v>
      </c>
      <c r="H289" s="1432">
        <v>0</v>
      </c>
      <c r="I289" s="1432">
        <v>0</v>
      </c>
      <c r="J289" s="1432">
        <v>0</v>
      </c>
      <c r="K289" s="1432">
        <v>0</v>
      </c>
      <c r="L289" s="1432">
        <v>0</v>
      </c>
      <c r="M289" s="1433">
        <v>2</v>
      </c>
      <c r="N289" s="1433">
        <v>0</v>
      </c>
      <c r="O289" s="1433">
        <v>0</v>
      </c>
      <c r="P289" s="1433">
        <v>0</v>
      </c>
      <c r="Q289" s="1433">
        <v>2</v>
      </c>
      <c r="R289" s="1434">
        <f>IF(Q289+P289+O289+N289+M289=0," ",AVERAGEIF(M289:Q289,"&lt;&gt;0"))</f>
        <v>2</v>
      </c>
      <c r="S289" s="1435">
        <f>+Q289/$Q$466</f>
        <v>3.5842293906810036E-3</v>
      </c>
      <c r="T289" s="1440"/>
    </row>
    <row r="290" spans="1:20" x14ac:dyDescent="0.25">
      <c r="A290" s="1445" t="s">
        <v>284</v>
      </c>
      <c r="B290" s="1430">
        <v>13</v>
      </c>
      <c r="C290" s="1430">
        <v>8</v>
      </c>
      <c r="D290" s="1430">
        <v>18</v>
      </c>
      <c r="E290" s="1431">
        <v>13</v>
      </c>
      <c r="F290" s="1430">
        <v>19</v>
      </c>
      <c r="G290" s="1431">
        <v>22</v>
      </c>
      <c r="H290" s="1432">
        <v>14</v>
      </c>
      <c r="I290" s="1432">
        <v>16</v>
      </c>
      <c r="J290" s="1432">
        <v>19</v>
      </c>
      <c r="K290" s="1432">
        <v>9</v>
      </c>
      <c r="L290" s="1432">
        <v>26</v>
      </c>
      <c r="M290" s="1433">
        <v>14</v>
      </c>
      <c r="N290" s="1433">
        <v>19</v>
      </c>
      <c r="O290" s="1433">
        <v>8</v>
      </c>
      <c r="P290" s="1433">
        <v>9</v>
      </c>
      <c r="Q290" s="1433">
        <v>12</v>
      </c>
      <c r="R290" s="1434">
        <f>IF(Q290+P290+O290+N290+M290=0," ",AVERAGEIF(M290:Q290,"&lt;&gt;0"))</f>
        <v>12.4</v>
      </c>
      <c r="S290" s="1435">
        <f>+Q290/$Q$466</f>
        <v>2.1505376344086023E-2</v>
      </c>
      <c r="T290" s="1440"/>
    </row>
    <row r="291" spans="1:20" x14ac:dyDescent="0.25">
      <c r="A291" s="1445" t="s">
        <v>285</v>
      </c>
      <c r="B291" s="1430">
        <v>0</v>
      </c>
      <c r="C291" s="1430">
        <v>1</v>
      </c>
      <c r="D291" s="1430">
        <v>2</v>
      </c>
      <c r="E291" s="1431">
        <v>4</v>
      </c>
      <c r="F291" s="1430">
        <v>1</v>
      </c>
      <c r="G291" s="1431">
        <v>0</v>
      </c>
      <c r="H291" s="1432">
        <v>2</v>
      </c>
      <c r="I291" s="1432">
        <v>0</v>
      </c>
      <c r="J291" s="1432">
        <v>0</v>
      </c>
      <c r="K291" s="1432">
        <v>0</v>
      </c>
      <c r="L291" s="1432">
        <v>0</v>
      </c>
      <c r="M291" s="1432">
        <v>0</v>
      </c>
      <c r="N291" s="1432">
        <v>0</v>
      </c>
      <c r="O291" s="1432">
        <v>0</v>
      </c>
      <c r="P291" s="1432">
        <v>0</v>
      </c>
      <c r="Q291" s="1432">
        <v>0</v>
      </c>
      <c r="R291" s="1434" t="str">
        <f>IF(Q291+P291+O291+N291+M291=0," ",AVERAGEIF(M291:Q291,"&lt;&gt;0"))</f>
        <v xml:space="preserve"> </v>
      </c>
      <c r="S291" s="1435">
        <f>+Q291/$Q$466</f>
        <v>0</v>
      </c>
      <c r="T291" s="1440"/>
    </row>
    <row r="292" spans="1:20" x14ac:dyDescent="0.25">
      <c r="A292" s="1449" t="s">
        <v>36</v>
      </c>
      <c r="B292" s="1437">
        <f t="shared" ref="B292:J292" si="69">SUM(B288:B291)</f>
        <v>24</v>
      </c>
      <c r="C292" s="1437">
        <f t="shared" si="69"/>
        <v>21</v>
      </c>
      <c r="D292" s="1437">
        <f t="shared" si="69"/>
        <v>29</v>
      </c>
      <c r="E292" s="1438">
        <f t="shared" si="69"/>
        <v>21</v>
      </c>
      <c r="F292" s="1437">
        <f t="shared" si="69"/>
        <v>34</v>
      </c>
      <c r="G292" s="1438">
        <f t="shared" si="69"/>
        <v>33</v>
      </c>
      <c r="H292" s="1434">
        <f t="shared" si="69"/>
        <v>26</v>
      </c>
      <c r="I292" s="1434">
        <f t="shared" si="69"/>
        <v>24</v>
      </c>
      <c r="J292" s="1434">
        <f t="shared" si="69"/>
        <v>32</v>
      </c>
      <c r="K292" s="1434">
        <f t="shared" ref="K292:P292" si="70">SUM(K288:K291)</f>
        <v>19</v>
      </c>
      <c r="L292" s="1434">
        <f t="shared" si="70"/>
        <v>32</v>
      </c>
      <c r="M292" s="1434">
        <f t="shared" si="70"/>
        <v>34</v>
      </c>
      <c r="N292" s="1434">
        <f t="shared" si="70"/>
        <v>29</v>
      </c>
      <c r="O292" s="1434">
        <f t="shared" si="70"/>
        <v>17</v>
      </c>
      <c r="P292" s="1434">
        <f t="shared" si="70"/>
        <v>16</v>
      </c>
      <c r="Q292" s="1434">
        <f>SUM(Q288:Q291)</f>
        <v>19</v>
      </c>
      <c r="R292" s="1434">
        <f>IF(Q292+P292+O292+N292+M292=0," ",AVERAGEIF(M292:Q292,"&lt;&gt;0"))</f>
        <v>23</v>
      </c>
      <c r="S292" s="1439">
        <f>+Q292/$Q$466</f>
        <v>3.4050179211469536E-2</v>
      </c>
      <c r="T292" s="1440"/>
    </row>
    <row r="293" spans="1:20" x14ac:dyDescent="0.25">
      <c r="A293" s="1478" t="s">
        <v>286</v>
      </c>
      <c r="B293" s="1425" t="s">
        <v>908</v>
      </c>
      <c r="C293" s="1425" t="s">
        <v>617</v>
      </c>
      <c r="D293" s="1425" t="s">
        <v>1360</v>
      </c>
      <c r="E293" s="1426" t="s">
        <v>592</v>
      </c>
      <c r="F293" s="1425" t="s">
        <v>921</v>
      </c>
      <c r="G293" s="1426" t="s">
        <v>676</v>
      </c>
      <c r="H293" s="1427" t="s">
        <v>777</v>
      </c>
      <c r="I293" s="1428" t="s">
        <v>969</v>
      </c>
      <c r="J293" s="1428" t="s">
        <v>1419</v>
      </c>
      <c r="K293" s="1428" t="s">
        <v>1443</v>
      </c>
      <c r="L293" s="1480" t="s">
        <v>1444</v>
      </c>
      <c r="M293" s="1477" t="s">
        <v>1445</v>
      </c>
      <c r="N293" s="1477" t="s">
        <v>1566</v>
      </c>
      <c r="O293" s="1477" t="s">
        <v>1613</v>
      </c>
      <c r="P293" s="1477" t="s">
        <v>1660</v>
      </c>
      <c r="Q293" s="1477" t="s">
        <v>1749</v>
      </c>
      <c r="R293" s="1481" t="s">
        <v>31</v>
      </c>
      <c r="S293" s="1481" t="s">
        <v>32</v>
      </c>
      <c r="T293" s="1440"/>
    </row>
    <row r="294" spans="1:20" x14ac:dyDescent="0.25">
      <c r="A294" s="1455" t="s">
        <v>287</v>
      </c>
      <c r="B294" s="1451">
        <v>0</v>
      </c>
      <c r="C294" s="1451">
        <v>0</v>
      </c>
      <c r="D294" s="1451">
        <v>0</v>
      </c>
      <c r="E294" s="1452">
        <v>0</v>
      </c>
      <c r="F294" s="1451">
        <v>0</v>
      </c>
      <c r="G294" s="1452">
        <v>0</v>
      </c>
      <c r="H294" s="1453">
        <v>0</v>
      </c>
      <c r="I294" s="1453">
        <v>0</v>
      </c>
      <c r="J294" s="1453">
        <v>0</v>
      </c>
      <c r="K294" s="1453">
        <v>0</v>
      </c>
      <c r="L294" s="1453">
        <v>0</v>
      </c>
      <c r="M294" s="1453">
        <v>0</v>
      </c>
      <c r="N294" s="1453">
        <v>0</v>
      </c>
      <c r="O294" s="1453">
        <v>0</v>
      </c>
      <c r="P294" s="1453">
        <v>0</v>
      </c>
      <c r="Q294" s="1453">
        <v>0</v>
      </c>
      <c r="R294" s="1434" t="str">
        <f t="shared" ref="R294:R299" si="71">IF(Q294+P294+O294+N294+M294=0," ",AVERAGEIF(M294:Q294,"&lt;&gt;0"))</f>
        <v xml:space="preserve"> </v>
      </c>
      <c r="S294" s="1435">
        <f t="shared" ref="S294:S299" si="72">+Q294/$Q$466</f>
        <v>0</v>
      </c>
      <c r="T294" s="1440"/>
    </row>
    <row r="295" spans="1:20" x14ac:dyDescent="0.25">
      <c r="A295" s="1455" t="s">
        <v>288</v>
      </c>
      <c r="B295" s="1451">
        <v>0</v>
      </c>
      <c r="C295" s="1451">
        <v>0</v>
      </c>
      <c r="D295" s="1451">
        <v>0</v>
      </c>
      <c r="E295" s="1452">
        <v>0</v>
      </c>
      <c r="F295" s="1451">
        <v>0</v>
      </c>
      <c r="G295" s="1452">
        <v>0</v>
      </c>
      <c r="H295" s="1453">
        <v>0</v>
      </c>
      <c r="I295" s="1453">
        <v>0</v>
      </c>
      <c r="J295" s="1453">
        <v>0</v>
      </c>
      <c r="K295" s="1453">
        <v>0</v>
      </c>
      <c r="L295" s="1453">
        <v>0</v>
      </c>
      <c r="M295" s="1453">
        <v>0</v>
      </c>
      <c r="N295" s="1453">
        <v>0</v>
      </c>
      <c r="O295" s="1453">
        <v>0</v>
      </c>
      <c r="P295" s="1453">
        <v>0</v>
      </c>
      <c r="Q295" s="1453">
        <v>0</v>
      </c>
      <c r="R295" s="1434" t="str">
        <f t="shared" si="71"/>
        <v xml:space="preserve"> </v>
      </c>
      <c r="S295" s="1435">
        <f t="shared" si="72"/>
        <v>0</v>
      </c>
      <c r="T295" s="1440"/>
    </row>
    <row r="296" spans="1:20" x14ac:dyDescent="0.25">
      <c r="A296" s="1455" t="s">
        <v>1486</v>
      </c>
      <c r="B296" s="1451"/>
      <c r="C296" s="1451"/>
      <c r="D296" s="1451"/>
      <c r="E296" s="1452">
        <v>0</v>
      </c>
      <c r="F296" s="1451">
        <v>0</v>
      </c>
      <c r="G296" s="1452">
        <v>0</v>
      </c>
      <c r="H296" s="1453">
        <v>0</v>
      </c>
      <c r="I296" s="1453">
        <v>0</v>
      </c>
      <c r="J296" s="1453">
        <v>0</v>
      </c>
      <c r="K296" s="1453">
        <v>0</v>
      </c>
      <c r="L296" s="1453">
        <v>2</v>
      </c>
      <c r="M296" s="1433">
        <v>2</v>
      </c>
      <c r="N296" s="1433">
        <v>0</v>
      </c>
      <c r="O296" s="1433">
        <v>0</v>
      </c>
      <c r="P296" s="1433">
        <v>0</v>
      </c>
      <c r="Q296" s="1433">
        <v>0</v>
      </c>
      <c r="R296" s="1434">
        <f t="shared" si="71"/>
        <v>2</v>
      </c>
      <c r="S296" s="1435">
        <f t="shared" si="72"/>
        <v>0</v>
      </c>
      <c r="T296" s="1440"/>
    </row>
    <row r="297" spans="1:20" x14ac:dyDescent="0.25">
      <c r="A297" s="1445" t="s">
        <v>289</v>
      </c>
      <c r="B297" s="1430">
        <v>0</v>
      </c>
      <c r="C297" s="1430">
        <v>0</v>
      </c>
      <c r="D297" s="1430">
        <v>0</v>
      </c>
      <c r="E297" s="1431">
        <v>0</v>
      </c>
      <c r="F297" s="1430">
        <v>0</v>
      </c>
      <c r="G297" s="1431">
        <v>0</v>
      </c>
      <c r="H297" s="1432">
        <v>0</v>
      </c>
      <c r="I297" s="1432">
        <v>0</v>
      </c>
      <c r="J297" s="1432">
        <v>0</v>
      </c>
      <c r="K297" s="1432">
        <v>0</v>
      </c>
      <c r="L297" s="1432">
        <v>0</v>
      </c>
      <c r="M297" s="1433">
        <v>0</v>
      </c>
      <c r="N297" s="1433">
        <v>0</v>
      </c>
      <c r="O297" s="1433">
        <v>0</v>
      </c>
      <c r="P297" s="1433">
        <v>0</v>
      </c>
      <c r="Q297" s="1433">
        <v>0</v>
      </c>
      <c r="R297" s="1434" t="str">
        <f t="shared" si="71"/>
        <v xml:space="preserve"> </v>
      </c>
      <c r="S297" s="1435">
        <f t="shared" si="72"/>
        <v>0</v>
      </c>
      <c r="T297" s="1440"/>
    </row>
    <row r="298" spans="1:20" x14ac:dyDescent="0.25">
      <c r="A298" s="1445" t="s">
        <v>290</v>
      </c>
      <c r="B298" s="1430">
        <v>0</v>
      </c>
      <c r="C298" s="1430">
        <v>2</v>
      </c>
      <c r="D298" s="1430">
        <v>2</v>
      </c>
      <c r="E298" s="1431">
        <v>0</v>
      </c>
      <c r="F298" s="1430">
        <v>0</v>
      </c>
      <c r="G298" s="1431">
        <v>0</v>
      </c>
      <c r="H298" s="1432">
        <v>0</v>
      </c>
      <c r="I298" s="1432">
        <v>0</v>
      </c>
      <c r="J298" s="1432">
        <v>0</v>
      </c>
      <c r="K298" s="1432">
        <v>0</v>
      </c>
      <c r="L298" s="1432">
        <v>1</v>
      </c>
      <c r="M298" s="1433">
        <v>1</v>
      </c>
      <c r="N298" s="1433">
        <v>3</v>
      </c>
      <c r="O298" s="1433">
        <v>0</v>
      </c>
      <c r="P298" s="1433">
        <v>0</v>
      </c>
      <c r="Q298" s="1433">
        <v>0</v>
      </c>
      <c r="R298" s="1434">
        <f t="shared" si="71"/>
        <v>2</v>
      </c>
      <c r="S298" s="1435">
        <f t="shared" si="72"/>
        <v>0</v>
      </c>
      <c r="T298" s="1440"/>
    </row>
    <row r="299" spans="1:20" x14ac:dyDescent="0.25">
      <c r="A299" s="1449" t="s">
        <v>36</v>
      </c>
      <c r="B299" s="1437">
        <f t="shared" ref="B299:J299" si="73">SUM(B294:B298)</f>
        <v>0</v>
      </c>
      <c r="C299" s="1437">
        <f t="shared" si="73"/>
        <v>2</v>
      </c>
      <c r="D299" s="1437">
        <f t="shared" si="73"/>
        <v>2</v>
      </c>
      <c r="E299" s="1438">
        <f t="shared" si="73"/>
        <v>0</v>
      </c>
      <c r="F299" s="1437">
        <f t="shared" si="73"/>
        <v>0</v>
      </c>
      <c r="G299" s="1438">
        <f t="shared" si="73"/>
        <v>0</v>
      </c>
      <c r="H299" s="1434">
        <f t="shared" si="73"/>
        <v>0</v>
      </c>
      <c r="I299" s="1434">
        <f t="shared" si="73"/>
        <v>0</v>
      </c>
      <c r="J299" s="1434">
        <f t="shared" si="73"/>
        <v>0</v>
      </c>
      <c r="K299" s="1434">
        <f t="shared" ref="K299:P299" si="74">SUM(K294:K298)</f>
        <v>0</v>
      </c>
      <c r="L299" s="1434">
        <f t="shared" si="74"/>
        <v>3</v>
      </c>
      <c r="M299" s="1434">
        <f t="shared" si="74"/>
        <v>3</v>
      </c>
      <c r="N299" s="1434">
        <f t="shared" si="74"/>
        <v>3</v>
      </c>
      <c r="O299" s="1434">
        <f t="shared" si="74"/>
        <v>0</v>
      </c>
      <c r="P299" s="1434">
        <f t="shared" si="74"/>
        <v>0</v>
      </c>
      <c r="Q299" s="1434">
        <f>SUM(Q294:Q298)</f>
        <v>0</v>
      </c>
      <c r="R299" s="1434">
        <f t="shared" si="71"/>
        <v>3</v>
      </c>
      <c r="S299" s="1439">
        <f t="shared" si="72"/>
        <v>0</v>
      </c>
      <c r="T299" s="1440"/>
    </row>
    <row r="300" spans="1:20" x14ac:dyDescent="0.25">
      <c r="A300" s="1478" t="s">
        <v>291</v>
      </c>
      <c r="B300" s="1425" t="s">
        <v>908</v>
      </c>
      <c r="C300" s="1425" t="s">
        <v>617</v>
      </c>
      <c r="D300" s="1425" t="s">
        <v>1360</v>
      </c>
      <c r="E300" s="1426" t="s">
        <v>592</v>
      </c>
      <c r="F300" s="1425" t="s">
        <v>921</v>
      </c>
      <c r="G300" s="1426" t="s">
        <v>676</v>
      </c>
      <c r="H300" s="1427" t="s">
        <v>777</v>
      </c>
      <c r="I300" s="1428" t="s">
        <v>969</v>
      </c>
      <c r="J300" s="1428" t="s">
        <v>1419</v>
      </c>
      <c r="K300" s="1428" t="s">
        <v>1443</v>
      </c>
      <c r="L300" s="1480" t="s">
        <v>1444</v>
      </c>
      <c r="M300" s="1477" t="s">
        <v>1445</v>
      </c>
      <c r="N300" s="1477" t="s">
        <v>1566</v>
      </c>
      <c r="O300" s="1477" t="s">
        <v>1613</v>
      </c>
      <c r="P300" s="1477" t="s">
        <v>1660</v>
      </c>
      <c r="Q300" s="1477" t="s">
        <v>1749</v>
      </c>
      <c r="R300" s="1481" t="s">
        <v>31</v>
      </c>
      <c r="S300" s="1481" t="s">
        <v>32</v>
      </c>
      <c r="T300" s="1440"/>
    </row>
    <row r="301" spans="1:20" x14ac:dyDescent="0.25">
      <c r="A301" s="1445" t="s">
        <v>292</v>
      </c>
      <c r="B301" s="1430">
        <v>8</v>
      </c>
      <c r="C301" s="1430">
        <v>1</v>
      </c>
      <c r="D301" s="1430">
        <v>1</v>
      </c>
      <c r="E301" s="1431">
        <v>3</v>
      </c>
      <c r="F301" s="1430">
        <v>0</v>
      </c>
      <c r="G301" s="1431">
        <v>4</v>
      </c>
      <c r="H301" s="1432">
        <v>4</v>
      </c>
      <c r="I301" s="1432">
        <v>1</v>
      </c>
      <c r="J301" s="1432">
        <v>4</v>
      </c>
      <c r="K301" s="1432">
        <v>3</v>
      </c>
      <c r="L301" s="1432">
        <v>6</v>
      </c>
      <c r="M301" s="1433">
        <v>3</v>
      </c>
      <c r="N301" s="1433">
        <v>4</v>
      </c>
      <c r="O301" s="1433">
        <v>3</v>
      </c>
      <c r="P301" s="1433">
        <v>5</v>
      </c>
      <c r="Q301" s="1433">
        <v>4</v>
      </c>
      <c r="R301" s="1434">
        <f t="shared" ref="R301:R320" si="75">IF(Q301+P301+O301+N301+M301=0," ",AVERAGEIF(M301:Q301,"&lt;&gt;0"))</f>
        <v>3.8</v>
      </c>
      <c r="S301" s="1435">
        <f t="shared" ref="S301:S320" si="76">+Q301/$Q$466</f>
        <v>7.1684587813620072E-3</v>
      </c>
      <c r="T301" s="1440"/>
    </row>
    <row r="302" spans="1:20" x14ac:dyDescent="0.25">
      <c r="A302" s="1445" t="s">
        <v>293</v>
      </c>
      <c r="B302" s="1430">
        <v>1</v>
      </c>
      <c r="C302" s="1430">
        <v>1</v>
      </c>
      <c r="D302" s="1430">
        <v>2</v>
      </c>
      <c r="E302" s="1431">
        <v>4</v>
      </c>
      <c r="F302" s="1430">
        <v>4</v>
      </c>
      <c r="G302" s="1431">
        <v>3</v>
      </c>
      <c r="H302" s="1432">
        <v>2</v>
      </c>
      <c r="I302" s="1432">
        <v>3</v>
      </c>
      <c r="J302" s="1432">
        <v>0</v>
      </c>
      <c r="K302" s="1432">
        <v>0</v>
      </c>
      <c r="L302" s="1432">
        <v>2</v>
      </c>
      <c r="M302" s="1433">
        <v>1</v>
      </c>
      <c r="N302" s="1433">
        <v>2</v>
      </c>
      <c r="O302" s="1433">
        <v>1</v>
      </c>
      <c r="P302" s="1433">
        <v>3</v>
      </c>
      <c r="Q302" s="1433">
        <v>1</v>
      </c>
      <c r="R302" s="1434">
        <f t="shared" si="75"/>
        <v>1.6</v>
      </c>
      <c r="S302" s="1435">
        <f t="shared" si="76"/>
        <v>1.7921146953405018E-3</v>
      </c>
      <c r="T302" s="1440"/>
    </row>
    <row r="303" spans="1:20" x14ac:dyDescent="0.25">
      <c r="A303" s="1445" t="s">
        <v>294</v>
      </c>
      <c r="B303" s="1430">
        <v>2</v>
      </c>
      <c r="C303" s="1430">
        <v>5</v>
      </c>
      <c r="D303" s="1430">
        <v>2</v>
      </c>
      <c r="E303" s="1431">
        <v>3</v>
      </c>
      <c r="F303" s="1430">
        <v>2</v>
      </c>
      <c r="G303" s="1431">
        <v>3</v>
      </c>
      <c r="H303" s="1432">
        <v>7</v>
      </c>
      <c r="I303" s="1432">
        <v>4</v>
      </c>
      <c r="J303" s="1432">
        <v>1</v>
      </c>
      <c r="K303" s="1432">
        <v>3</v>
      </c>
      <c r="L303" s="1432">
        <v>7</v>
      </c>
      <c r="M303" s="1433">
        <v>1</v>
      </c>
      <c r="N303" s="1433">
        <v>3</v>
      </c>
      <c r="O303" s="1433">
        <v>5</v>
      </c>
      <c r="P303" s="1433">
        <v>3</v>
      </c>
      <c r="Q303" s="1433">
        <v>2</v>
      </c>
      <c r="R303" s="1434">
        <f t="shared" si="75"/>
        <v>2.8</v>
      </c>
      <c r="S303" s="1435">
        <f t="shared" si="76"/>
        <v>3.5842293906810036E-3</v>
      </c>
      <c r="T303" s="1440"/>
    </row>
    <row r="304" spans="1:20" x14ac:dyDescent="0.25">
      <c r="A304" s="1445" t="s">
        <v>1487</v>
      </c>
      <c r="B304" s="1430"/>
      <c r="C304" s="1430"/>
      <c r="D304" s="1430"/>
      <c r="E304" s="1431">
        <v>0</v>
      </c>
      <c r="F304" s="1430">
        <v>0</v>
      </c>
      <c r="G304" s="1431">
        <v>0</v>
      </c>
      <c r="H304" s="1432">
        <v>0</v>
      </c>
      <c r="I304" s="1432">
        <v>0</v>
      </c>
      <c r="J304" s="1432">
        <v>0</v>
      </c>
      <c r="K304" s="1432">
        <v>0</v>
      </c>
      <c r="L304" s="1432">
        <v>1</v>
      </c>
      <c r="M304" s="1433">
        <v>0</v>
      </c>
      <c r="N304" s="1433">
        <v>0</v>
      </c>
      <c r="O304" s="1433">
        <v>0</v>
      </c>
      <c r="P304" s="1433">
        <v>0</v>
      </c>
      <c r="Q304" s="1433">
        <v>0</v>
      </c>
      <c r="R304" s="1434" t="str">
        <f t="shared" si="75"/>
        <v xml:space="preserve"> </v>
      </c>
      <c r="S304" s="1435">
        <f t="shared" si="76"/>
        <v>0</v>
      </c>
      <c r="T304" s="1440"/>
    </row>
    <row r="305" spans="1:20" x14ac:dyDescent="0.25">
      <c r="A305" s="1445" t="s">
        <v>295</v>
      </c>
      <c r="B305" s="1430">
        <v>6</v>
      </c>
      <c r="C305" s="1430">
        <v>2</v>
      </c>
      <c r="D305" s="1430">
        <v>6</v>
      </c>
      <c r="E305" s="1431">
        <v>9</v>
      </c>
      <c r="F305" s="1430">
        <v>12</v>
      </c>
      <c r="G305" s="1431">
        <v>4</v>
      </c>
      <c r="H305" s="1432">
        <v>3</v>
      </c>
      <c r="I305" s="1432">
        <v>10</v>
      </c>
      <c r="J305" s="1432">
        <v>6</v>
      </c>
      <c r="K305" s="1432">
        <v>5</v>
      </c>
      <c r="L305" s="1432">
        <v>2</v>
      </c>
      <c r="M305" s="1433">
        <v>4</v>
      </c>
      <c r="N305" s="1433">
        <v>3</v>
      </c>
      <c r="O305" s="1433">
        <v>8</v>
      </c>
      <c r="P305" s="1433">
        <v>13</v>
      </c>
      <c r="Q305" s="1433">
        <v>7</v>
      </c>
      <c r="R305" s="1434">
        <f t="shared" si="75"/>
        <v>7</v>
      </c>
      <c r="S305" s="1435">
        <f t="shared" si="76"/>
        <v>1.2544802867383513E-2</v>
      </c>
      <c r="T305" s="1440"/>
    </row>
    <row r="306" spans="1:20" x14ac:dyDescent="0.25">
      <c r="A306" s="1445" t="s">
        <v>296</v>
      </c>
      <c r="B306" s="1430">
        <v>0</v>
      </c>
      <c r="C306" s="1430">
        <v>1</v>
      </c>
      <c r="D306" s="1430">
        <v>1</v>
      </c>
      <c r="E306" s="1431">
        <v>0</v>
      </c>
      <c r="F306" s="1430">
        <v>0</v>
      </c>
      <c r="G306" s="1431">
        <v>0</v>
      </c>
      <c r="H306" s="1432">
        <v>0</v>
      </c>
      <c r="I306" s="1432">
        <v>0</v>
      </c>
      <c r="J306" s="1432">
        <v>0</v>
      </c>
      <c r="K306" s="1432">
        <v>0</v>
      </c>
      <c r="L306" s="1432">
        <v>0</v>
      </c>
      <c r="M306" s="1433">
        <v>0</v>
      </c>
      <c r="N306" s="1433">
        <v>0</v>
      </c>
      <c r="O306" s="1433">
        <v>0</v>
      </c>
      <c r="P306" s="1433">
        <v>0</v>
      </c>
      <c r="Q306" s="1433">
        <v>0</v>
      </c>
      <c r="R306" s="1434" t="str">
        <f t="shared" si="75"/>
        <v xml:space="preserve"> </v>
      </c>
      <c r="S306" s="1435">
        <f t="shared" si="76"/>
        <v>0</v>
      </c>
      <c r="T306" s="1440"/>
    </row>
    <row r="307" spans="1:20" x14ac:dyDescent="0.25">
      <c r="A307" s="1445" t="s">
        <v>297</v>
      </c>
      <c r="B307" s="1430">
        <v>0</v>
      </c>
      <c r="C307" s="1430">
        <v>3</v>
      </c>
      <c r="D307" s="1430">
        <v>8</v>
      </c>
      <c r="E307" s="1431">
        <v>6</v>
      </c>
      <c r="F307" s="1430">
        <v>4</v>
      </c>
      <c r="G307" s="1431">
        <v>0</v>
      </c>
      <c r="H307" s="1432">
        <v>1</v>
      </c>
      <c r="I307" s="1432">
        <v>2</v>
      </c>
      <c r="J307" s="1432">
        <v>2</v>
      </c>
      <c r="K307" s="1432">
        <v>1</v>
      </c>
      <c r="L307" s="1432">
        <v>4</v>
      </c>
      <c r="M307" s="1433">
        <v>9</v>
      </c>
      <c r="N307" s="1433">
        <v>3</v>
      </c>
      <c r="O307" s="1433">
        <v>3</v>
      </c>
      <c r="P307" s="1433">
        <v>6</v>
      </c>
      <c r="Q307" s="1433">
        <v>3</v>
      </c>
      <c r="R307" s="1434">
        <f t="shared" si="75"/>
        <v>4.8</v>
      </c>
      <c r="S307" s="1435">
        <f t="shared" si="76"/>
        <v>5.3763440860215058E-3</v>
      </c>
      <c r="T307" s="1440"/>
    </row>
    <row r="308" spans="1:20" x14ac:dyDescent="0.25">
      <c r="A308" s="1445" t="s">
        <v>352</v>
      </c>
      <c r="B308" s="1430">
        <v>0</v>
      </c>
      <c r="C308" s="1430">
        <v>0</v>
      </c>
      <c r="D308" s="1430">
        <v>0</v>
      </c>
      <c r="E308" s="1431">
        <v>0</v>
      </c>
      <c r="F308" s="1430">
        <v>0</v>
      </c>
      <c r="G308" s="1431">
        <v>1</v>
      </c>
      <c r="H308" s="1432">
        <v>0</v>
      </c>
      <c r="I308" s="1432">
        <v>0</v>
      </c>
      <c r="J308" s="1432">
        <v>0</v>
      </c>
      <c r="K308" s="1432">
        <v>0</v>
      </c>
      <c r="L308" s="1432">
        <v>1</v>
      </c>
      <c r="M308" s="1433">
        <v>0</v>
      </c>
      <c r="N308" s="1433">
        <v>0</v>
      </c>
      <c r="O308" s="1433">
        <v>0</v>
      </c>
      <c r="P308" s="1433">
        <v>1</v>
      </c>
      <c r="Q308" s="1433">
        <v>0</v>
      </c>
      <c r="R308" s="1434">
        <f t="shared" si="75"/>
        <v>1</v>
      </c>
      <c r="S308" s="1435">
        <f t="shared" si="76"/>
        <v>0</v>
      </c>
      <c r="T308" s="1440"/>
    </row>
    <row r="309" spans="1:20" x14ac:dyDescent="0.25">
      <c r="A309" s="1445" t="s">
        <v>1771</v>
      </c>
      <c r="B309" s="1430"/>
      <c r="C309" s="1430"/>
      <c r="D309" s="1430"/>
      <c r="E309" s="2027"/>
      <c r="F309" s="1430"/>
      <c r="G309" s="2027"/>
      <c r="H309" s="2023"/>
      <c r="I309" s="2023"/>
      <c r="J309" s="2023"/>
      <c r="K309" s="2023"/>
      <c r="L309" s="2023"/>
      <c r="M309" s="1433">
        <v>0</v>
      </c>
      <c r="N309" s="1433">
        <v>0</v>
      </c>
      <c r="O309" s="1433">
        <v>0</v>
      </c>
      <c r="P309" s="1433">
        <v>0</v>
      </c>
      <c r="Q309" s="2021">
        <v>1</v>
      </c>
      <c r="R309" s="1434">
        <f>IF(Q309+P309+O309+N309+M309=0," ",AVERAGEIF(M309:Q309,"&lt;&gt;0"))</f>
        <v>1</v>
      </c>
      <c r="S309" s="1435">
        <f t="shared" si="76"/>
        <v>1.7921146953405018E-3</v>
      </c>
      <c r="T309" s="1440"/>
    </row>
    <row r="310" spans="1:20" x14ac:dyDescent="0.25">
      <c r="A310" s="1445" t="s">
        <v>298</v>
      </c>
      <c r="B310" s="1430">
        <v>6</v>
      </c>
      <c r="C310" s="1430">
        <v>4</v>
      </c>
      <c r="D310" s="1430">
        <v>7</v>
      </c>
      <c r="E310" s="1431">
        <v>9</v>
      </c>
      <c r="F310" s="1430">
        <v>3</v>
      </c>
      <c r="G310" s="1431">
        <v>6</v>
      </c>
      <c r="H310" s="1432">
        <v>2</v>
      </c>
      <c r="I310" s="1432">
        <v>1</v>
      </c>
      <c r="J310" s="1432">
        <v>0</v>
      </c>
      <c r="K310" s="1432">
        <v>3</v>
      </c>
      <c r="L310" s="1432">
        <v>3</v>
      </c>
      <c r="M310" s="1433">
        <v>7</v>
      </c>
      <c r="N310" s="1433">
        <v>5</v>
      </c>
      <c r="O310" s="1433">
        <v>1</v>
      </c>
      <c r="P310" s="1433">
        <v>3</v>
      </c>
      <c r="Q310" s="1433">
        <v>5</v>
      </c>
      <c r="R310" s="1434">
        <f t="shared" si="75"/>
        <v>4.2</v>
      </c>
      <c r="S310" s="1435">
        <f t="shared" si="76"/>
        <v>8.9605734767025085E-3</v>
      </c>
      <c r="T310" s="1440"/>
    </row>
    <row r="311" spans="1:20" x14ac:dyDescent="0.25">
      <c r="A311" s="1445" t="s">
        <v>299</v>
      </c>
      <c r="B311" s="1430">
        <v>8</v>
      </c>
      <c r="C311" s="1430">
        <v>13</v>
      </c>
      <c r="D311" s="1430">
        <v>3</v>
      </c>
      <c r="E311" s="1431">
        <v>2</v>
      </c>
      <c r="F311" s="1430">
        <v>11</v>
      </c>
      <c r="G311" s="1431">
        <v>1</v>
      </c>
      <c r="H311" s="1432">
        <v>4</v>
      </c>
      <c r="I311" s="1432">
        <v>9</v>
      </c>
      <c r="J311" s="1432">
        <v>9</v>
      </c>
      <c r="K311" s="1432">
        <v>12</v>
      </c>
      <c r="L311" s="1432">
        <v>6</v>
      </c>
      <c r="M311" s="1433">
        <v>6</v>
      </c>
      <c r="N311" s="1433">
        <v>6</v>
      </c>
      <c r="O311" s="1433">
        <v>9</v>
      </c>
      <c r="P311" s="1433">
        <v>11</v>
      </c>
      <c r="Q311" s="1433">
        <v>3</v>
      </c>
      <c r="R311" s="1434">
        <f t="shared" si="75"/>
        <v>7</v>
      </c>
      <c r="S311" s="1435">
        <f t="shared" si="76"/>
        <v>5.3763440860215058E-3</v>
      </c>
      <c r="T311" s="1440"/>
    </row>
    <row r="312" spans="1:20" x14ac:dyDescent="0.25">
      <c r="A312" s="1445" t="s">
        <v>1772</v>
      </c>
      <c r="B312" s="1430"/>
      <c r="C312" s="1430"/>
      <c r="D312" s="1430"/>
      <c r="E312" s="2027"/>
      <c r="F312" s="1430"/>
      <c r="G312" s="2027"/>
      <c r="H312" s="2023"/>
      <c r="I312" s="2023"/>
      <c r="J312" s="2023"/>
      <c r="K312" s="2023"/>
      <c r="L312" s="2023"/>
      <c r="M312" s="1433">
        <v>0</v>
      </c>
      <c r="N312" s="1433">
        <v>0</v>
      </c>
      <c r="O312" s="1433">
        <v>0</v>
      </c>
      <c r="P312" s="1433">
        <v>0</v>
      </c>
      <c r="Q312" s="2021">
        <v>1</v>
      </c>
      <c r="R312" s="1434">
        <f>IF(Q312+P312+O312+N312+M312=0," ",AVERAGEIF(M312:Q312,"&lt;&gt;0"))</f>
        <v>1</v>
      </c>
      <c r="S312" s="1435">
        <f t="shared" si="76"/>
        <v>1.7921146953405018E-3</v>
      </c>
      <c r="T312" s="1440"/>
    </row>
    <row r="313" spans="1:20" x14ac:dyDescent="0.25">
      <c r="A313" s="1445" t="s">
        <v>300</v>
      </c>
      <c r="B313" s="1430">
        <v>0</v>
      </c>
      <c r="C313" s="1430">
        <v>0</v>
      </c>
      <c r="D313" s="1430">
        <v>0</v>
      </c>
      <c r="E313" s="1431">
        <v>3</v>
      </c>
      <c r="F313" s="1430">
        <v>0</v>
      </c>
      <c r="G313" s="1431">
        <v>0</v>
      </c>
      <c r="H313" s="1432">
        <v>1</v>
      </c>
      <c r="I313" s="1432">
        <v>0</v>
      </c>
      <c r="J313" s="1432">
        <v>2</v>
      </c>
      <c r="K313" s="1432">
        <v>2</v>
      </c>
      <c r="L313" s="1432">
        <v>1</v>
      </c>
      <c r="M313" s="1433">
        <v>5</v>
      </c>
      <c r="N313" s="1433">
        <v>0</v>
      </c>
      <c r="O313" s="1433">
        <v>0</v>
      </c>
      <c r="P313" s="1433">
        <v>4</v>
      </c>
      <c r="Q313" s="1433">
        <v>2</v>
      </c>
      <c r="R313" s="1434">
        <f t="shared" si="75"/>
        <v>3.6666666666666665</v>
      </c>
      <c r="S313" s="1435">
        <f t="shared" si="76"/>
        <v>3.5842293906810036E-3</v>
      </c>
      <c r="T313" s="1440"/>
    </row>
    <row r="314" spans="1:20" x14ac:dyDescent="0.25">
      <c r="A314" s="1445" t="s">
        <v>1662</v>
      </c>
      <c r="B314" s="1430">
        <v>0</v>
      </c>
      <c r="C314" s="1430">
        <v>0</v>
      </c>
      <c r="D314" s="1430">
        <v>0</v>
      </c>
      <c r="E314" s="1431">
        <v>0</v>
      </c>
      <c r="F314" s="1430">
        <v>0</v>
      </c>
      <c r="G314" s="1431">
        <v>0</v>
      </c>
      <c r="H314" s="1432">
        <v>0</v>
      </c>
      <c r="I314" s="1432">
        <v>0</v>
      </c>
      <c r="J314" s="1432">
        <v>0</v>
      </c>
      <c r="K314" s="1432">
        <v>0</v>
      </c>
      <c r="L314" s="1432">
        <v>0</v>
      </c>
      <c r="M314" s="1433">
        <v>0</v>
      </c>
      <c r="N314" s="1433">
        <v>0</v>
      </c>
      <c r="O314" s="1433">
        <v>0</v>
      </c>
      <c r="P314" s="1433">
        <v>1</v>
      </c>
      <c r="Q314" s="1433">
        <v>7</v>
      </c>
      <c r="R314" s="1434">
        <f t="shared" si="75"/>
        <v>4</v>
      </c>
      <c r="S314" s="1435">
        <f t="shared" si="76"/>
        <v>1.2544802867383513E-2</v>
      </c>
      <c r="T314" s="1440"/>
    </row>
    <row r="315" spans="1:20" x14ac:dyDescent="0.25">
      <c r="A315" s="1445" t="s">
        <v>301</v>
      </c>
      <c r="B315" s="1430">
        <v>0</v>
      </c>
      <c r="C315" s="1430">
        <v>0</v>
      </c>
      <c r="D315" s="1430">
        <v>0</v>
      </c>
      <c r="E315" s="1431">
        <v>0</v>
      </c>
      <c r="F315" s="1430">
        <v>0</v>
      </c>
      <c r="G315" s="1431">
        <v>0</v>
      </c>
      <c r="H315" s="1432">
        <v>0</v>
      </c>
      <c r="I315" s="1432">
        <v>0</v>
      </c>
      <c r="J315" s="1432">
        <v>0</v>
      </c>
      <c r="K315" s="1432">
        <v>0</v>
      </c>
      <c r="L315" s="1432">
        <v>0</v>
      </c>
      <c r="M315" s="1433">
        <v>0</v>
      </c>
      <c r="N315" s="1433">
        <v>0</v>
      </c>
      <c r="O315" s="1433">
        <v>0</v>
      </c>
      <c r="P315" s="1433">
        <v>0</v>
      </c>
      <c r="Q315" s="1433">
        <v>0</v>
      </c>
      <c r="R315" s="1434" t="str">
        <f t="shared" si="75"/>
        <v xml:space="preserve"> </v>
      </c>
      <c r="S315" s="1435">
        <f t="shared" si="76"/>
        <v>0</v>
      </c>
      <c r="T315" s="1440"/>
    </row>
    <row r="316" spans="1:20" x14ac:dyDescent="0.25">
      <c r="A316" s="1445" t="s">
        <v>302</v>
      </c>
      <c r="B316" s="1430">
        <v>0</v>
      </c>
      <c r="C316" s="1430">
        <v>0</v>
      </c>
      <c r="D316" s="1430">
        <v>1</v>
      </c>
      <c r="E316" s="1431">
        <v>2</v>
      </c>
      <c r="F316" s="1430">
        <v>0</v>
      </c>
      <c r="G316" s="1431">
        <v>2</v>
      </c>
      <c r="H316" s="1432">
        <v>2</v>
      </c>
      <c r="I316" s="1432">
        <v>1</v>
      </c>
      <c r="J316" s="1432">
        <v>1</v>
      </c>
      <c r="K316" s="1432">
        <v>5</v>
      </c>
      <c r="L316" s="1432">
        <v>1</v>
      </c>
      <c r="M316" s="1433">
        <v>2</v>
      </c>
      <c r="N316" s="1433">
        <v>1</v>
      </c>
      <c r="O316" s="1433">
        <v>1</v>
      </c>
      <c r="P316" s="1433">
        <v>1</v>
      </c>
      <c r="Q316" s="1433">
        <v>6</v>
      </c>
      <c r="R316" s="1434">
        <f t="shared" si="75"/>
        <v>2.2000000000000002</v>
      </c>
      <c r="S316" s="1435">
        <f t="shared" si="76"/>
        <v>1.0752688172043012E-2</v>
      </c>
      <c r="T316" s="1440"/>
    </row>
    <row r="317" spans="1:20" x14ac:dyDescent="0.25">
      <c r="A317" s="1445" t="s">
        <v>303</v>
      </c>
      <c r="B317" s="1430">
        <v>6</v>
      </c>
      <c r="C317" s="1430">
        <v>1</v>
      </c>
      <c r="D317" s="1430">
        <v>0</v>
      </c>
      <c r="E317" s="1431">
        <v>3</v>
      </c>
      <c r="F317" s="1430">
        <v>2</v>
      </c>
      <c r="G317" s="1431">
        <v>5</v>
      </c>
      <c r="H317" s="1432">
        <v>3</v>
      </c>
      <c r="I317" s="1432">
        <v>2</v>
      </c>
      <c r="J317" s="1432">
        <v>3</v>
      </c>
      <c r="K317" s="1432">
        <v>9</v>
      </c>
      <c r="L317" s="1432">
        <v>4</v>
      </c>
      <c r="M317" s="1433">
        <v>0</v>
      </c>
      <c r="N317" s="1433">
        <v>1</v>
      </c>
      <c r="O317" s="1433">
        <v>0</v>
      </c>
      <c r="P317" s="1433">
        <v>9</v>
      </c>
      <c r="Q317" s="1433">
        <v>0</v>
      </c>
      <c r="R317" s="1434">
        <f t="shared" si="75"/>
        <v>5</v>
      </c>
      <c r="S317" s="1435">
        <f t="shared" si="76"/>
        <v>0</v>
      </c>
      <c r="T317" s="1440"/>
    </row>
    <row r="318" spans="1:20" x14ac:dyDescent="0.25">
      <c r="A318" s="1445" t="s">
        <v>304</v>
      </c>
      <c r="B318" s="1430">
        <v>0</v>
      </c>
      <c r="C318" s="1430">
        <v>0</v>
      </c>
      <c r="D318" s="1430">
        <v>3</v>
      </c>
      <c r="E318" s="1431">
        <v>8</v>
      </c>
      <c r="F318" s="1430">
        <v>4</v>
      </c>
      <c r="G318" s="1431">
        <v>10</v>
      </c>
      <c r="H318" s="1432">
        <v>6</v>
      </c>
      <c r="I318" s="1432">
        <v>4</v>
      </c>
      <c r="J318" s="1432">
        <v>3</v>
      </c>
      <c r="K318" s="1432">
        <v>2</v>
      </c>
      <c r="L318" s="1432">
        <v>6</v>
      </c>
      <c r="M318" s="1433">
        <v>5</v>
      </c>
      <c r="N318" s="1433">
        <v>1</v>
      </c>
      <c r="O318" s="1433">
        <v>2</v>
      </c>
      <c r="P318" s="1433">
        <v>1</v>
      </c>
      <c r="Q318" s="1433">
        <v>16</v>
      </c>
      <c r="R318" s="1434">
        <f t="shared" si="75"/>
        <v>5</v>
      </c>
      <c r="S318" s="1435">
        <f t="shared" si="76"/>
        <v>2.8673835125448029E-2</v>
      </c>
      <c r="T318" s="1440"/>
    </row>
    <row r="319" spans="1:20" x14ac:dyDescent="0.25">
      <c r="A319" s="1445" t="s">
        <v>782</v>
      </c>
      <c r="B319" s="1430"/>
      <c r="C319" s="1430">
        <v>0</v>
      </c>
      <c r="D319" s="1430">
        <v>0</v>
      </c>
      <c r="E319" s="1431">
        <v>0</v>
      </c>
      <c r="F319" s="1430">
        <v>0</v>
      </c>
      <c r="G319" s="1431">
        <v>0</v>
      </c>
      <c r="H319" s="1432">
        <v>0</v>
      </c>
      <c r="I319" s="1432">
        <v>0</v>
      </c>
      <c r="J319" s="1432">
        <v>0</v>
      </c>
      <c r="K319" s="1432">
        <v>0</v>
      </c>
      <c r="L319" s="1432">
        <v>0</v>
      </c>
      <c r="M319" s="1432">
        <v>0</v>
      </c>
      <c r="N319" s="1432">
        <v>0</v>
      </c>
      <c r="O319" s="1432">
        <v>0</v>
      </c>
      <c r="P319" s="1432">
        <v>0</v>
      </c>
      <c r="Q319" s="1432">
        <v>0</v>
      </c>
      <c r="R319" s="1434" t="str">
        <f t="shared" si="75"/>
        <v xml:space="preserve"> </v>
      </c>
      <c r="S319" s="1435">
        <f t="shared" si="76"/>
        <v>0</v>
      </c>
      <c r="T319" s="1440"/>
    </row>
    <row r="320" spans="1:20" x14ac:dyDescent="0.25">
      <c r="A320" s="1449" t="s">
        <v>36</v>
      </c>
      <c r="B320" s="1437">
        <f t="shared" ref="B320:P320" si="77">SUM(B301:B319)</f>
        <v>37</v>
      </c>
      <c r="C320" s="1437">
        <f t="shared" si="77"/>
        <v>31</v>
      </c>
      <c r="D320" s="1437">
        <f t="shared" si="77"/>
        <v>34</v>
      </c>
      <c r="E320" s="1437">
        <f t="shared" si="77"/>
        <v>52</v>
      </c>
      <c r="F320" s="1437">
        <f t="shared" si="77"/>
        <v>42</v>
      </c>
      <c r="G320" s="1437">
        <f t="shared" si="77"/>
        <v>39</v>
      </c>
      <c r="H320" s="1437">
        <f t="shared" si="77"/>
        <v>35</v>
      </c>
      <c r="I320" s="1437">
        <f t="shared" si="77"/>
        <v>37</v>
      </c>
      <c r="J320" s="1437">
        <f t="shared" si="77"/>
        <v>31</v>
      </c>
      <c r="K320" s="1437">
        <f t="shared" si="77"/>
        <v>45</v>
      </c>
      <c r="L320" s="1437">
        <f t="shared" si="77"/>
        <v>44</v>
      </c>
      <c r="M320" s="1437">
        <f t="shared" si="77"/>
        <v>43</v>
      </c>
      <c r="N320" s="1437">
        <f t="shared" si="77"/>
        <v>29</v>
      </c>
      <c r="O320" s="1437">
        <f t="shared" si="77"/>
        <v>33</v>
      </c>
      <c r="P320" s="1437">
        <f t="shared" si="77"/>
        <v>61</v>
      </c>
      <c r="Q320" s="1437">
        <f>SUM(Q301:Q319)</f>
        <v>58</v>
      </c>
      <c r="R320" s="1434">
        <f t="shared" si="75"/>
        <v>44.8</v>
      </c>
      <c r="S320" s="1439">
        <f t="shared" si="76"/>
        <v>0.1039426523297491</v>
      </c>
      <c r="T320" s="1440"/>
    </row>
    <row r="321" spans="1:20" x14ac:dyDescent="0.25">
      <c r="A321" s="1478" t="s">
        <v>305</v>
      </c>
      <c r="B321" s="1425" t="s">
        <v>908</v>
      </c>
      <c r="C321" s="1425" t="s">
        <v>617</v>
      </c>
      <c r="D321" s="1425" t="s">
        <v>1360</v>
      </c>
      <c r="E321" s="1426" t="s">
        <v>592</v>
      </c>
      <c r="F321" s="1425" t="s">
        <v>921</v>
      </c>
      <c r="G321" s="1426" t="s">
        <v>676</v>
      </c>
      <c r="H321" s="1427" t="s">
        <v>777</v>
      </c>
      <c r="I321" s="1428" t="s">
        <v>969</v>
      </c>
      <c r="J321" s="1428" t="s">
        <v>1419</v>
      </c>
      <c r="K321" s="1428" t="s">
        <v>1443</v>
      </c>
      <c r="L321" s="1480" t="s">
        <v>1444</v>
      </c>
      <c r="M321" s="1477" t="s">
        <v>1445</v>
      </c>
      <c r="N321" s="1477" t="s">
        <v>1566</v>
      </c>
      <c r="O321" s="1477" t="s">
        <v>1613</v>
      </c>
      <c r="P321" s="1477" t="s">
        <v>1660</v>
      </c>
      <c r="Q321" s="1477" t="s">
        <v>1749</v>
      </c>
      <c r="R321" s="1481" t="s">
        <v>31</v>
      </c>
      <c r="S321" s="1481" t="s">
        <v>32</v>
      </c>
      <c r="T321" s="1440"/>
    </row>
    <row r="322" spans="1:20" x14ac:dyDescent="0.25">
      <c r="A322" s="1445" t="s">
        <v>306</v>
      </c>
      <c r="B322" s="1430">
        <v>0</v>
      </c>
      <c r="C322" s="1430">
        <v>0</v>
      </c>
      <c r="D322" s="1430">
        <v>2</v>
      </c>
      <c r="E322" s="1431">
        <v>0</v>
      </c>
      <c r="F322" s="1430">
        <v>1</v>
      </c>
      <c r="G322" s="1431">
        <v>4</v>
      </c>
      <c r="H322" s="1432">
        <v>2</v>
      </c>
      <c r="I322" s="1432">
        <v>0</v>
      </c>
      <c r="J322" s="1432">
        <v>1</v>
      </c>
      <c r="K322" s="1432">
        <v>2</v>
      </c>
      <c r="L322" s="1432">
        <v>0</v>
      </c>
      <c r="M322" s="1432">
        <v>0</v>
      </c>
      <c r="N322" s="1432">
        <v>0</v>
      </c>
      <c r="O322" s="1432">
        <v>0</v>
      </c>
      <c r="P322" s="1432">
        <v>0</v>
      </c>
      <c r="Q322" s="1432">
        <v>0</v>
      </c>
      <c r="R322" s="1434" t="str">
        <f>IF(Q322+P322+O322+N322+M322=0," ",AVERAGEIF(M322:Q322,"&lt;&gt;0"))</f>
        <v xml:space="preserve"> </v>
      </c>
      <c r="S322" s="1435">
        <f>+Q322/$Q$466</f>
        <v>0</v>
      </c>
      <c r="T322" s="1440"/>
    </row>
    <row r="323" spans="1:20" x14ac:dyDescent="0.25">
      <c r="A323" s="1445" t="s">
        <v>307</v>
      </c>
      <c r="B323" s="1430">
        <v>2</v>
      </c>
      <c r="C323" s="1430">
        <v>0</v>
      </c>
      <c r="D323" s="1430">
        <v>3</v>
      </c>
      <c r="E323" s="1431">
        <v>4</v>
      </c>
      <c r="F323" s="1430">
        <v>3</v>
      </c>
      <c r="G323" s="1431">
        <v>4</v>
      </c>
      <c r="H323" s="1432">
        <v>2</v>
      </c>
      <c r="I323" s="1432">
        <v>2</v>
      </c>
      <c r="J323" s="1432">
        <v>0</v>
      </c>
      <c r="K323" s="1432">
        <v>1</v>
      </c>
      <c r="L323" s="1432">
        <v>1</v>
      </c>
      <c r="M323" s="1432">
        <v>0</v>
      </c>
      <c r="N323" s="1432">
        <v>2</v>
      </c>
      <c r="O323" s="1432">
        <v>2</v>
      </c>
      <c r="P323" s="1432">
        <v>2</v>
      </c>
      <c r="Q323" s="1432">
        <v>4</v>
      </c>
      <c r="R323" s="1434">
        <f>IF(Q323+P323+O323+N323+M323=0," ",AVERAGEIF(M323:Q323,"&lt;&gt;0"))</f>
        <v>2.5</v>
      </c>
      <c r="S323" s="1435">
        <f>+Q323/$Q$466</f>
        <v>7.1684587813620072E-3</v>
      </c>
      <c r="T323" s="1440"/>
    </row>
    <row r="324" spans="1:20" x14ac:dyDescent="0.25">
      <c r="A324" s="1449" t="s">
        <v>36</v>
      </c>
      <c r="B324" s="1437">
        <f t="shared" ref="B324:J324" si="78">SUM(B322:B323)</f>
        <v>2</v>
      </c>
      <c r="C324" s="1437">
        <f t="shared" si="78"/>
        <v>0</v>
      </c>
      <c r="D324" s="1437">
        <f t="shared" si="78"/>
        <v>5</v>
      </c>
      <c r="E324" s="1438">
        <f t="shared" si="78"/>
        <v>4</v>
      </c>
      <c r="F324" s="1437">
        <f t="shared" si="78"/>
        <v>4</v>
      </c>
      <c r="G324" s="1438">
        <f t="shared" si="78"/>
        <v>8</v>
      </c>
      <c r="H324" s="1434">
        <f t="shared" si="78"/>
        <v>4</v>
      </c>
      <c r="I324" s="1434">
        <f t="shared" si="78"/>
        <v>2</v>
      </c>
      <c r="J324" s="1434">
        <f t="shared" si="78"/>
        <v>1</v>
      </c>
      <c r="K324" s="1434">
        <f>SUM(K322:K323)</f>
        <v>3</v>
      </c>
      <c r="L324" s="1434">
        <f>SUM(L322:L323)</f>
        <v>1</v>
      </c>
      <c r="M324" s="1434">
        <f>SUM(M322:M323)</f>
        <v>0</v>
      </c>
      <c r="N324" s="1434">
        <f>SUM(N322:N323)</f>
        <v>2</v>
      </c>
      <c r="O324" s="1434">
        <f>+O323+O322</f>
        <v>2</v>
      </c>
      <c r="P324" s="1434">
        <f>+P323+P322</f>
        <v>2</v>
      </c>
      <c r="Q324" s="1434">
        <f>+Q323+Q322</f>
        <v>4</v>
      </c>
      <c r="R324" s="1434">
        <f>IF(Q324+P324+O324+N324+M324=0," ",AVERAGEIF(M324:Q324,"&lt;&gt;0"))</f>
        <v>2.5</v>
      </c>
      <c r="S324" s="1439">
        <f>+Q324/$Q$466</f>
        <v>7.1684587813620072E-3</v>
      </c>
      <c r="T324" s="1440"/>
    </row>
    <row r="325" spans="1:20" x14ac:dyDescent="0.25">
      <c r="A325" s="1478" t="s">
        <v>308</v>
      </c>
      <c r="B325" s="1425" t="s">
        <v>908</v>
      </c>
      <c r="C325" s="1425" t="s">
        <v>617</v>
      </c>
      <c r="D325" s="1425" t="s">
        <v>1360</v>
      </c>
      <c r="E325" s="1426" t="s">
        <v>592</v>
      </c>
      <c r="F325" s="1425" t="s">
        <v>921</v>
      </c>
      <c r="G325" s="1426" t="s">
        <v>676</v>
      </c>
      <c r="H325" s="1427" t="s">
        <v>1488</v>
      </c>
      <c r="I325" s="1428" t="s">
        <v>969</v>
      </c>
      <c r="J325" s="1428" t="s">
        <v>1419</v>
      </c>
      <c r="K325" s="1428" t="s">
        <v>1443</v>
      </c>
      <c r="L325" s="1480" t="s">
        <v>1444</v>
      </c>
      <c r="M325" s="1477" t="s">
        <v>1445</v>
      </c>
      <c r="N325" s="1477" t="s">
        <v>1566</v>
      </c>
      <c r="O325" s="1477" t="s">
        <v>1613</v>
      </c>
      <c r="P325" s="1477" t="s">
        <v>1660</v>
      </c>
      <c r="Q325" s="1477" t="s">
        <v>1749</v>
      </c>
      <c r="R325" s="1481" t="s">
        <v>31</v>
      </c>
      <c r="S325" s="1481" t="s">
        <v>32</v>
      </c>
      <c r="T325" s="1440"/>
    </row>
    <row r="326" spans="1:20" x14ac:dyDescent="0.25">
      <c r="A326" s="1445" t="s">
        <v>309</v>
      </c>
      <c r="B326" s="1430">
        <v>0</v>
      </c>
      <c r="C326" s="1430">
        <v>0</v>
      </c>
      <c r="D326" s="1430">
        <v>0</v>
      </c>
      <c r="E326" s="1431">
        <v>0</v>
      </c>
      <c r="F326" s="1430">
        <v>0</v>
      </c>
      <c r="G326" s="1431">
        <v>0</v>
      </c>
      <c r="H326" s="1432">
        <v>0</v>
      </c>
      <c r="I326" s="1432">
        <v>0</v>
      </c>
      <c r="J326" s="1432">
        <v>0</v>
      </c>
      <c r="K326" s="1432">
        <v>0</v>
      </c>
      <c r="L326" s="1432">
        <v>0</v>
      </c>
      <c r="M326" s="1432">
        <v>0</v>
      </c>
      <c r="N326" s="1432">
        <v>0</v>
      </c>
      <c r="O326" s="1432">
        <v>0</v>
      </c>
      <c r="P326" s="1432">
        <v>0</v>
      </c>
      <c r="Q326" s="1432">
        <v>0</v>
      </c>
      <c r="R326" s="1434" t="str">
        <f t="shared" ref="R326:R332" si="79">IF(Q326+P326+O326+N326+M326=0," ",AVERAGEIF(M326:Q326,"&lt;&gt;0"))</f>
        <v xml:space="preserve"> </v>
      </c>
      <c r="S326" s="1435">
        <f t="shared" ref="S326:S332" si="80">+Q326/$Q$466</f>
        <v>0</v>
      </c>
      <c r="T326" s="1440"/>
    </row>
    <row r="327" spans="1:20" x14ac:dyDescent="0.25">
      <c r="A327" s="1457" t="s">
        <v>1489</v>
      </c>
      <c r="B327" s="1430">
        <v>0</v>
      </c>
      <c r="C327" s="1430">
        <v>0</v>
      </c>
      <c r="D327" s="1430">
        <v>0</v>
      </c>
      <c r="E327" s="1431">
        <v>0</v>
      </c>
      <c r="F327" s="1430">
        <v>0</v>
      </c>
      <c r="G327" s="1431">
        <v>0</v>
      </c>
      <c r="H327" s="1432">
        <v>0</v>
      </c>
      <c r="I327" s="1432">
        <v>0</v>
      </c>
      <c r="J327" s="1432">
        <v>0</v>
      </c>
      <c r="K327" s="1432">
        <v>0</v>
      </c>
      <c r="L327" s="1432">
        <v>0</v>
      </c>
      <c r="M327" s="1432">
        <v>1</v>
      </c>
      <c r="N327" s="1432">
        <v>0</v>
      </c>
      <c r="O327" s="1432">
        <v>0</v>
      </c>
      <c r="P327" s="1432">
        <v>0</v>
      </c>
      <c r="Q327" s="1432">
        <v>0</v>
      </c>
      <c r="R327" s="1434">
        <f t="shared" si="79"/>
        <v>1</v>
      </c>
      <c r="S327" s="1435">
        <f t="shared" si="80"/>
        <v>0</v>
      </c>
      <c r="T327" s="1440"/>
    </row>
    <row r="328" spans="1:20" x14ac:dyDescent="0.25">
      <c r="A328" s="1445" t="s">
        <v>310</v>
      </c>
      <c r="B328" s="1430">
        <v>2</v>
      </c>
      <c r="C328" s="1430">
        <v>0</v>
      </c>
      <c r="D328" s="1430">
        <v>6</v>
      </c>
      <c r="E328" s="1431">
        <v>0</v>
      </c>
      <c r="F328" s="1430">
        <v>0</v>
      </c>
      <c r="G328" s="1431">
        <v>1</v>
      </c>
      <c r="H328" s="1432">
        <v>0</v>
      </c>
      <c r="I328" s="1432">
        <v>0</v>
      </c>
      <c r="J328" s="1432">
        <v>0</v>
      </c>
      <c r="K328" s="1432">
        <v>0</v>
      </c>
      <c r="L328" s="1432">
        <v>1</v>
      </c>
      <c r="M328" s="1433">
        <v>1</v>
      </c>
      <c r="N328" s="1433">
        <v>0</v>
      </c>
      <c r="O328" s="1433">
        <v>0</v>
      </c>
      <c r="P328" s="1433">
        <v>0</v>
      </c>
      <c r="Q328" s="1433">
        <v>0</v>
      </c>
      <c r="R328" s="1434">
        <f t="shared" si="79"/>
        <v>1</v>
      </c>
      <c r="S328" s="1435">
        <f t="shared" si="80"/>
        <v>0</v>
      </c>
      <c r="T328" s="1440"/>
    </row>
    <row r="329" spans="1:20" x14ac:dyDescent="0.25">
      <c r="A329" s="1445" t="s">
        <v>311</v>
      </c>
      <c r="B329" s="1430">
        <v>0</v>
      </c>
      <c r="C329" s="1430">
        <v>2</v>
      </c>
      <c r="D329" s="1430">
        <v>1</v>
      </c>
      <c r="E329" s="1431">
        <v>0</v>
      </c>
      <c r="F329" s="1430">
        <v>1</v>
      </c>
      <c r="G329" s="1431">
        <v>2</v>
      </c>
      <c r="H329" s="1432">
        <v>0</v>
      </c>
      <c r="I329" s="1432">
        <v>0</v>
      </c>
      <c r="J329" s="1432">
        <v>0</v>
      </c>
      <c r="K329" s="1432">
        <v>0</v>
      </c>
      <c r="L329" s="1432">
        <v>1</v>
      </c>
      <c r="M329" s="1433">
        <v>2</v>
      </c>
      <c r="N329" s="1433">
        <v>2</v>
      </c>
      <c r="O329" s="1433">
        <v>2</v>
      </c>
      <c r="P329" s="1433">
        <v>1</v>
      </c>
      <c r="Q329" s="1433">
        <v>0</v>
      </c>
      <c r="R329" s="1434">
        <f t="shared" si="79"/>
        <v>1.75</v>
      </c>
      <c r="S329" s="1435">
        <f t="shared" si="80"/>
        <v>0</v>
      </c>
      <c r="T329" s="1440"/>
    </row>
    <row r="330" spans="1:20" x14ac:dyDescent="0.25">
      <c r="A330" s="1445" t="s">
        <v>312</v>
      </c>
      <c r="B330" s="1430">
        <v>1</v>
      </c>
      <c r="C330" s="1430">
        <v>2</v>
      </c>
      <c r="D330" s="1430">
        <v>1</v>
      </c>
      <c r="E330" s="1431">
        <v>1</v>
      </c>
      <c r="F330" s="1430">
        <v>0</v>
      </c>
      <c r="G330" s="1431">
        <v>0</v>
      </c>
      <c r="H330" s="1432">
        <v>0</v>
      </c>
      <c r="I330" s="1432">
        <v>0</v>
      </c>
      <c r="J330" s="1432">
        <v>0</v>
      </c>
      <c r="K330" s="1432">
        <v>0</v>
      </c>
      <c r="L330" s="1432">
        <v>1</v>
      </c>
      <c r="M330" s="1432">
        <v>0</v>
      </c>
      <c r="N330" s="1432">
        <v>0</v>
      </c>
      <c r="O330" s="1432">
        <v>0</v>
      </c>
      <c r="P330" s="1432">
        <v>0</v>
      </c>
      <c r="Q330" s="1432">
        <v>0</v>
      </c>
      <c r="R330" s="1434" t="str">
        <f t="shared" si="79"/>
        <v xml:space="preserve"> </v>
      </c>
      <c r="S330" s="1435">
        <f t="shared" si="80"/>
        <v>0</v>
      </c>
      <c r="T330" s="1440"/>
    </row>
    <row r="331" spans="1:20" x14ac:dyDescent="0.25">
      <c r="A331" s="1445" t="s">
        <v>313</v>
      </c>
      <c r="B331" s="1430">
        <v>0</v>
      </c>
      <c r="C331" s="1430">
        <v>0</v>
      </c>
      <c r="D331" s="1430">
        <v>0</v>
      </c>
      <c r="E331" s="1431">
        <v>0</v>
      </c>
      <c r="F331" s="1430">
        <v>0</v>
      </c>
      <c r="G331" s="1431">
        <v>0</v>
      </c>
      <c r="H331" s="1432">
        <v>0</v>
      </c>
      <c r="I331" s="1432">
        <v>0</v>
      </c>
      <c r="J331" s="1432">
        <v>0</v>
      </c>
      <c r="K331" s="1432">
        <v>0</v>
      </c>
      <c r="L331" s="1432">
        <v>0</v>
      </c>
      <c r="M331" s="1432">
        <v>0</v>
      </c>
      <c r="N331" s="1432">
        <v>0</v>
      </c>
      <c r="O331" s="1432">
        <v>0</v>
      </c>
      <c r="P331" s="1432">
        <v>0</v>
      </c>
      <c r="Q331" s="1432">
        <v>0</v>
      </c>
      <c r="R331" s="1434" t="str">
        <f t="shared" si="79"/>
        <v xml:space="preserve"> </v>
      </c>
      <c r="S331" s="1435">
        <f t="shared" si="80"/>
        <v>0</v>
      </c>
      <c r="T331" s="1440"/>
    </row>
    <row r="332" spans="1:20" x14ac:dyDescent="0.25">
      <c r="A332" s="1449" t="s">
        <v>36</v>
      </c>
      <c r="B332" s="1437">
        <f t="shared" ref="B332:J332" si="81">SUM(B326:B331)</f>
        <v>3</v>
      </c>
      <c r="C332" s="1437">
        <f t="shared" si="81"/>
        <v>4</v>
      </c>
      <c r="D332" s="1437">
        <f t="shared" si="81"/>
        <v>8</v>
      </c>
      <c r="E332" s="1438">
        <f t="shared" si="81"/>
        <v>1</v>
      </c>
      <c r="F332" s="1437">
        <f t="shared" si="81"/>
        <v>1</v>
      </c>
      <c r="G332" s="1438">
        <f t="shared" si="81"/>
        <v>3</v>
      </c>
      <c r="H332" s="1434">
        <f t="shared" si="81"/>
        <v>0</v>
      </c>
      <c r="I332" s="1434">
        <f t="shared" si="81"/>
        <v>0</v>
      </c>
      <c r="J332" s="1434">
        <f t="shared" si="81"/>
        <v>0</v>
      </c>
      <c r="K332" s="1434">
        <f t="shared" ref="K332:P332" si="82">SUM(K326:K331)</f>
        <v>0</v>
      </c>
      <c r="L332" s="1434">
        <f t="shared" si="82"/>
        <v>3</v>
      </c>
      <c r="M332" s="1434">
        <f t="shared" si="82"/>
        <v>4</v>
      </c>
      <c r="N332" s="1434">
        <f t="shared" si="82"/>
        <v>2</v>
      </c>
      <c r="O332" s="1434">
        <f t="shared" si="82"/>
        <v>2</v>
      </c>
      <c r="P332" s="1434">
        <f t="shared" si="82"/>
        <v>1</v>
      </c>
      <c r="Q332" s="1434">
        <f>SUM(Q326:Q331)</f>
        <v>0</v>
      </c>
      <c r="R332" s="1434">
        <f t="shared" si="79"/>
        <v>2.25</v>
      </c>
      <c r="S332" s="1439">
        <f t="shared" si="80"/>
        <v>0</v>
      </c>
      <c r="T332" s="1440"/>
    </row>
    <row r="333" spans="1:20" x14ac:dyDescent="0.25">
      <c r="A333" s="1478" t="s">
        <v>314</v>
      </c>
      <c r="B333" s="1425" t="s">
        <v>908</v>
      </c>
      <c r="C333" s="1425" t="s">
        <v>617</v>
      </c>
      <c r="D333" s="1425" t="s">
        <v>1360</v>
      </c>
      <c r="E333" s="1426" t="s">
        <v>592</v>
      </c>
      <c r="F333" s="1425" t="s">
        <v>921</v>
      </c>
      <c r="G333" s="1426" t="s">
        <v>676</v>
      </c>
      <c r="H333" s="1427" t="s">
        <v>1488</v>
      </c>
      <c r="I333" s="1428" t="s">
        <v>969</v>
      </c>
      <c r="J333" s="1428" t="s">
        <v>1419</v>
      </c>
      <c r="K333" s="1428" t="s">
        <v>1443</v>
      </c>
      <c r="L333" s="1480" t="s">
        <v>1444</v>
      </c>
      <c r="M333" s="1477" t="s">
        <v>1445</v>
      </c>
      <c r="N333" s="1477" t="s">
        <v>1566</v>
      </c>
      <c r="O333" s="1477" t="s">
        <v>1613</v>
      </c>
      <c r="P333" s="1477" t="s">
        <v>1660</v>
      </c>
      <c r="Q333" s="1477" t="s">
        <v>1749</v>
      </c>
      <c r="R333" s="1481" t="s">
        <v>31</v>
      </c>
      <c r="S333" s="1481" t="s">
        <v>32</v>
      </c>
      <c r="T333" s="1440"/>
    </row>
    <row r="334" spans="1:20" x14ac:dyDescent="0.25">
      <c r="A334" s="1445" t="s">
        <v>315</v>
      </c>
      <c r="B334" s="1430">
        <v>1</v>
      </c>
      <c r="C334" s="1430">
        <v>0</v>
      </c>
      <c r="D334" s="1430">
        <v>0</v>
      </c>
      <c r="E334" s="1431">
        <v>0</v>
      </c>
      <c r="F334" s="1430">
        <v>0</v>
      </c>
      <c r="G334" s="1431">
        <v>2</v>
      </c>
      <c r="H334" s="1432">
        <v>1</v>
      </c>
      <c r="I334" s="1432">
        <v>2</v>
      </c>
      <c r="J334" s="1432">
        <v>2</v>
      </c>
      <c r="K334" s="1432">
        <v>1</v>
      </c>
      <c r="L334" s="1432">
        <v>3</v>
      </c>
      <c r="M334" s="1432">
        <v>0</v>
      </c>
      <c r="N334" s="1432">
        <v>4</v>
      </c>
      <c r="O334" s="1432">
        <v>0</v>
      </c>
      <c r="P334" s="1432">
        <v>0</v>
      </c>
      <c r="Q334" s="1432">
        <v>1</v>
      </c>
      <c r="R334" s="1434">
        <f>IF(Q334+P334+O334+N334+M334=0," ",AVERAGEIF(M334:Q334,"&lt;&gt;0"))</f>
        <v>2.5</v>
      </c>
      <c r="S334" s="1435">
        <f>+Q334/$Q$466</f>
        <v>1.7921146953405018E-3</v>
      </c>
      <c r="T334" s="1440"/>
    </row>
    <row r="335" spans="1:20" x14ac:dyDescent="0.25">
      <c r="A335" s="1445" t="s">
        <v>783</v>
      </c>
      <c r="B335" s="1430"/>
      <c r="C335" s="1430">
        <v>0</v>
      </c>
      <c r="D335" s="1430">
        <v>0</v>
      </c>
      <c r="E335" s="1431">
        <v>0</v>
      </c>
      <c r="F335" s="1430">
        <v>0</v>
      </c>
      <c r="G335" s="1431">
        <v>0</v>
      </c>
      <c r="H335" s="1432">
        <v>1</v>
      </c>
      <c r="I335" s="1432">
        <v>0</v>
      </c>
      <c r="J335" s="1432">
        <v>0</v>
      </c>
      <c r="K335" s="1432">
        <v>0</v>
      </c>
      <c r="L335" s="1432">
        <v>0</v>
      </c>
      <c r="M335" s="1432">
        <v>0</v>
      </c>
      <c r="N335" s="1432">
        <v>0</v>
      </c>
      <c r="O335" s="1432">
        <v>1</v>
      </c>
      <c r="P335" s="1432">
        <v>0</v>
      </c>
      <c r="Q335" s="1432">
        <v>0</v>
      </c>
      <c r="R335" s="1434">
        <f>IF(Q335+P335+O335+N335+M335=0," ",AVERAGEIF(M335:Q335,"&lt;&gt;0"))</f>
        <v>1</v>
      </c>
      <c r="S335" s="1435">
        <f>+Q335/$Q$466</f>
        <v>0</v>
      </c>
      <c r="T335" s="1440"/>
    </row>
    <row r="336" spans="1:20" x14ac:dyDescent="0.25">
      <c r="A336" s="1449" t="s">
        <v>36</v>
      </c>
      <c r="B336" s="1437">
        <f t="shared" ref="B336:H336" si="83">SUM(B334)</f>
        <v>1</v>
      </c>
      <c r="C336" s="1437">
        <f t="shared" si="83"/>
        <v>0</v>
      </c>
      <c r="D336" s="1437">
        <f t="shared" si="83"/>
        <v>0</v>
      </c>
      <c r="E336" s="1438">
        <f t="shared" si="83"/>
        <v>0</v>
      </c>
      <c r="F336" s="1437">
        <f t="shared" si="83"/>
        <v>0</v>
      </c>
      <c r="G336" s="1438">
        <f t="shared" si="83"/>
        <v>2</v>
      </c>
      <c r="H336" s="1434">
        <f t="shared" si="83"/>
        <v>1</v>
      </c>
      <c r="I336" s="1434">
        <f t="shared" ref="I336:N336" si="84">SUM(I334:I335)</f>
        <v>2</v>
      </c>
      <c r="J336" s="1434">
        <f t="shared" si="84"/>
        <v>2</v>
      </c>
      <c r="K336" s="1434">
        <f t="shared" si="84"/>
        <v>1</v>
      </c>
      <c r="L336" s="1434">
        <f t="shared" si="84"/>
        <v>3</v>
      </c>
      <c r="M336" s="1434">
        <f t="shared" si="84"/>
        <v>0</v>
      </c>
      <c r="N336" s="1434">
        <f t="shared" si="84"/>
        <v>4</v>
      </c>
      <c r="O336" s="1434">
        <f>+O335+O334</f>
        <v>1</v>
      </c>
      <c r="P336" s="1434">
        <f>+P335+P334</f>
        <v>0</v>
      </c>
      <c r="Q336" s="1434">
        <f>+Q335+Q334</f>
        <v>1</v>
      </c>
      <c r="R336" s="1434">
        <f>IF(Q336+P336+O336+N336+M336=0," ",AVERAGEIF(M336:Q336,"&lt;&gt;0"))</f>
        <v>2</v>
      </c>
      <c r="S336" s="1439">
        <f>+Q336/$Q$466</f>
        <v>1.7921146953405018E-3</v>
      </c>
      <c r="T336" s="1440"/>
    </row>
    <row r="337" spans="1:20" x14ac:dyDescent="0.25">
      <c r="A337" s="1478" t="s">
        <v>316</v>
      </c>
      <c r="B337" s="1425" t="s">
        <v>908</v>
      </c>
      <c r="C337" s="1425" t="s">
        <v>617</v>
      </c>
      <c r="D337" s="1425" t="s">
        <v>1360</v>
      </c>
      <c r="E337" s="1426" t="s">
        <v>592</v>
      </c>
      <c r="F337" s="1425" t="s">
        <v>921</v>
      </c>
      <c r="G337" s="1426" t="s">
        <v>676</v>
      </c>
      <c r="H337" s="1427" t="s">
        <v>777</v>
      </c>
      <c r="I337" s="1428" t="s">
        <v>969</v>
      </c>
      <c r="J337" s="1428" t="s">
        <v>1419</v>
      </c>
      <c r="K337" s="1428" t="s">
        <v>1443</v>
      </c>
      <c r="L337" s="1480" t="s">
        <v>1444</v>
      </c>
      <c r="M337" s="1477" t="s">
        <v>1445</v>
      </c>
      <c r="N337" s="1477" t="s">
        <v>1566</v>
      </c>
      <c r="O337" s="1477" t="s">
        <v>1613</v>
      </c>
      <c r="P337" s="1477" t="s">
        <v>1660</v>
      </c>
      <c r="Q337" s="1477" t="s">
        <v>1749</v>
      </c>
      <c r="R337" s="1481" t="s">
        <v>31</v>
      </c>
      <c r="S337" s="1481" t="s">
        <v>32</v>
      </c>
      <c r="T337" s="1440"/>
    </row>
    <row r="338" spans="1:20" x14ac:dyDescent="0.25">
      <c r="A338" s="1445" t="s">
        <v>317</v>
      </c>
      <c r="B338" s="1430">
        <v>3</v>
      </c>
      <c r="C338" s="1430">
        <v>5</v>
      </c>
      <c r="D338" s="1430">
        <v>9</v>
      </c>
      <c r="E338" s="1431">
        <v>0</v>
      </c>
      <c r="F338" s="1430">
        <v>12</v>
      </c>
      <c r="G338" s="1431">
        <v>7</v>
      </c>
      <c r="H338" s="1432">
        <v>4</v>
      </c>
      <c r="I338" s="1432">
        <v>8</v>
      </c>
      <c r="J338" s="1432">
        <v>2</v>
      </c>
      <c r="K338" s="1432">
        <v>5</v>
      </c>
      <c r="L338" s="1432">
        <v>2</v>
      </c>
      <c r="M338" s="1433">
        <v>2</v>
      </c>
      <c r="N338" s="1433">
        <v>3</v>
      </c>
      <c r="O338" s="1433">
        <v>2</v>
      </c>
      <c r="P338" s="1433">
        <v>9</v>
      </c>
      <c r="Q338" s="1433">
        <v>9</v>
      </c>
      <c r="R338" s="1434">
        <f>IF(Q338+P338+O338+N338+M338=0," ",AVERAGEIF(M338:Q338,"&lt;&gt;0"))</f>
        <v>5</v>
      </c>
      <c r="S338" s="1435">
        <f>+Q338/$Q$466</f>
        <v>1.6129032258064516E-2</v>
      </c>
      <c r="T338" s="1440"/>
    </row>
    <row r="339" spans="1:20" x14ac:dyDescent="0.25">
      <c r="A339" s="1445" t="s">
        <v>318</v>
      </c>
      <c r="B339" s="1430">
        <v>1</v>
      </c>
      <c r="C339" s="1430">
        <v>1</v>
      </c>
      <c r="D339" s="1430">
        <v>0</v>
      </c>
      <c r="E339" s="1431">
        <v>4</v>
      </c>
      <c r="F339" s="1430">
        <v>2</v>
      </c>
      <c r="G339" s="1431">
        <v>0</v>
      </c>
      <c r="H339" s="1432">
        <v>5</v>
      </c>
      <c r="I339" s="1432">
        <v>0</v>
      </c>
      <c r="J339" s="1432">
        <v>1</v>
      </c>
      <c r="K339" s="1432">
        <v>1</v>
      </c>
      <c r="L339" s="1432">
        <v>2</v>
      </c>
      <c r="M339" s="1433">
        <v>0</v>
      </c>
      <c r="N339" s="1433">
        <v>0</v>
      </c>
      <c r="O339" s="1433">
        <v>0</v>
      </c>
      <c r="P339" s="1433">
        <v>3</v>
      </c>
      <c r="Q339" s="1433">
        <v>1</v>
      </c>
      <c r="R339" s="1434">
        <f>IF(Q339+P339+O339+N339+M339=0," ",AVERAGEIF(M339:Q339,"&lt;&gt;0"))</f>
        <v>2</v>
      </c>
      <c r="S339" s="1435">
        <f>+Q339/$Q$466</f>
        <v>1.7921146953405018E-3</v>
      </c>
      <c r="T339" s="1440"/>
    </row>
    <row r="340" spans="1:20" x14ac:dyDescent="0.25">
      <c r="A340" s="1445" t="s">
        <v>319</v>
      </c>
      <c r="B340" s="1430">
        <v>1</v>
      </c>
      <c r="C340" s="1430">
        <v>13</v>
      </c>
      <c r="D340" s="1430">
        <v>2</v>
      </c>
      <c r="E340" s="1431">
        <v>5</v>
      </c>
      <c r="F340" s="1430">
        <v>1</v>
      </c>
      <c r="G340" s="1431">
        <v>11</v>
      </c>
      <c r="H340" s="1432">
        <v>1</v>
      </c>
      <c r="I340" s="1432">
        <v>3</v>
      </c>
      <c r="J340" s="1432">
        <v>4</v>
      </c>
      <c r="K340" s="1432">
        <v>6</v>
      </c>
      <c r="L340" s="1432">
        <v>2</v>
      </c>
      <c r="M340" s="1433">
        <v>1</v>
      </c>
      <c r="N340" s="1433">
        <v>0</v>
      </c>
      <c r="O340" s="1433">
        <v>4</v>
      </c>
      <c r="P340" s="1433">
        <v>3</v>
      </c>
      <c r="Q340" s="1433">
        <v>8</v>
      </c>
      <c r="R340" s="1434">
        <f>IF(Q340+P340+O340+N340+M340=0," ",AVERAGEIF(M340:Q340,"&lt;&gt;0"))</f>
        <v>4</v>
      </c>
      <c r="S340" s="1435">
        <f>+Q340/$Q$466</f>
        <v>1.4336917562724014E-2</v>
      </c>
      <c r="T340" s="1440"/>
    </row>
    <row r="341" spans="1:20" x14ac:dyDescent="0.25">
      <c r="A341" s="1445" t="s">
        <v>320</v>
      </c>
      <c r="B341" s="1430">
        <v>2</v>
      </c>
      <c r="C341" s="1430">
        <v>0</v>
      </c>
      <c r="D341" s="1430">
        <v>2</v>
      </c>
      <c r="E341" s="1431">
        <v>0</v>
      </c>
      <c r="F341" s="1430">
        <v>0</v>
      </c>
      <c r="G341" s="1431">
        <v>1</v>
      </c>
      <c r="H341" s="1432">
        <v>4</v>
      </c>
      <c r="I341" s="1432">
        <v>0</v>
      </c>
      <c r="J341" s="1432">
        <v>0</v>
      </c>
      <c r="K341" s="1432">
        <v>1</v>
      </c>
      <c r="L341" s="1432">
        <v>2</v>
      </c>
      <c r="M341" s="1433">
        <v>1</v>
      </c>
      <c r="N341" s="1433">
        <v>0</v>
      </c>
      <c r="O341" s="1433">
        <v>0</v>
      </c>
      <c r="P341" s="1433">
        <v>1</v>
      </c>
      <c r="Q341" s="1433">
        <v>0</v>
      </c>
      <c r="R341" s="1434">
        <f>IF(Q341+P341+O341+N341+M341=0," ",AVERAGEIF(M341:Q341,"&lt;&gt;0"))</f>
        <v>1</v>
      </c>
      <c r="S341" s="1435">
        <f>+Q341/$Q$466</f>
        <v>0</v>
      </c>
      <c r="T341" s="1440"/>
    </row>
    <row r="342" spans="1:20" x14ac:dyDescent="0.25">
      <c r="A342" s="1449" t="s">
        <v>36</v>
      </c>
      <c r="B342" s="1437">
        <f t="shared" ref="B342:J342" si="85">SUM(B338:B341)</f>
        <v>7</v>
      </c>
      <c r="C342" s="1437">
        <f t="shared" si="85"/>
        <v>19</v>
      </c>
      <c r="D342" s="1437">
        <f t="shared" si="85"/>
        <v>13</v>
      </c>
      <c r="E342" s="1438">
        <f t="shared" si="85"/>
        <v>9</v>
      </c>
      <c r="F342" s="1437">
        <f t="shared" si="85"/>
        <v>15</v>
      </c>
      <c r="G342" s="1438">
        <f t="shared" si="85"/>
        <v>19</v>
      </c>
      <c r="H342" s="1434">
        <f t="shared" si="85"/>
        <v>14</v>
      </c>
      <c r="I342" s="1434">
        <f t="shared" si="85"/>
        <v>11</v>
      </c>
      <c r="J342" s="1434">
        <f t="shared" si="85"/>
        <v>7</v>
      </c>
      <c r="K342" s="1434">
        <f t="shared" ref="K342:P342" si="86">SUM(K338:K341)</f>
        <v>13</v>
      </c>
      <c r="L342" s="1434">
        <f t="shared" si="86"/>
        <v>8</v>
      </c>
      <c r="M342" s="1434">
        <f t="shared" si="86"/>
        <v>4</v>
      </c>
      <c r="N342" s="1434">
        <f t="shared" si="86"/>
        <v>3</v>
      </c>
      <c r="O342" s="1434">
        <f t="shared" si="86"/>
        <v>6</v>
      </c>
      <c r="P342" s="1434">
        <f t="shared" si="86"/>
        <v>16</v>
      </c>
      <c r="Q342" s="1434">
        <f>SUM(Q338:Q341)</f>
        <v>18</v>
      </c>
      <c r="R342" s="1434">
        <f>IF(Q342+P342+O342+N342+M342=0," ",AVERAGEIF(M342:Q342,"&lt;&gt;0"))</f>
        <v>9.4</v>
      </c>
      <c r="S342" s="1439">
        <f>+Q342/$Q$466</f>
        <v>3.2258064516129031E-2</v>
      </c>
      <c r="T342" s="1440"/>
    </row>
    <row r="343" spans="1:20" x14ac:dyDescent="0.25">
      <c r="A343" s="1478" t="s">
        <v>321</v>
      </c>
      <c r="B343" s="1425" t="s">
        <v>908</v>
      </c>
      <c r="C343" s="1425" t="s">
        <v>617</v>
      </c>
      <c r="D343" s="1425" t="s">
        <v>1360</v>
      </c>
      <c r="E343" s="1426" t="s">
        <v>592</v>
      </c>
      <c r="F343" s="1425" t="s">
        <v>921</v>
      </c>
      <c r="G343" s="1426" t="s">
        <v>676</v>
      </c>
      <c r="H343" s="1427" t="s">
        <v>777</v>
      </c>
      <c r="I343" s="1428" t="s">
        <v>969</v>
      </c>
      <c r="J343" s="1428" t="s">
        <v>1419</v>
      </c>
      <c r="K343" s="1428" t="s">
        <v>1443</v>
      </c>
      <c r="L343" s="1480" t="s">
        <v>1444</v>
      </c>
      <c r="M343" s="1477" t="s">
        <v>1445</v>
      </c>
      <c r="N343" s="1477" t="s">
        <v>1566</v>
      </c>
      <c r="O343" s="1477" t="s">
        <v>1613</v>
      </c>
      <c r="P343" s="1477" t="s">
        <v>1660</v>
      </c>
      <c r="Q343" s="1477" t="s">
        <v>1749</v>
      </c>
      <c r="R343" s="1481" t="s">
        <v>31</v>
      </c>
      <c r="S343" s="1481" t="s">
        <v>32</v>
      </c>
      <c r="T343" s="1440"/>
    </row>
    <row r="344" spans="1:20" x14ac:dyDescent="0.25">
      <c r="A344" s="1445" t="s">
        <v>784</v>
      </c>
      <c r="B344" s="1430">
        <v>3</v>
      </c>
      <c r="C344" s="1430">
        <v>0</v>
      </c>
      <c r="D344" s="1430">
        <v>0</v>
      </c>
      <c r="E344" s="1431">
        <v>0</v>
      </c>
      <c r="F344" s="1430">
        <v>0</v>
      </c>
      <c r="G344" s="1431">
        <v>0</v>
      </c>
      <c r="H344" s="1432">
        <v>1</v>
      </c>
      <c r="I344" s="1432">
        <v>0</v>
      </c>
      <c r="J344" s="1432">
        <v>0</v>
      </c>
      <c r="K344" s="1432">
        <v>0</v>
      </c>
      <c r="L344" s="1432">
        <v>1</v>
      </c>
      <c r="M344" s="1432">
        <v>0</v>
      </c>
      <c r="N344" s="1432">
        <v>0</v>
      </c>
      <c r="O344" s="1432">
        <v>0</v>
      </c>
      <c r="P344" s="1432">
        <v>0</v>
      </c>
      <c r="Q344" s="1432">
        <v>0</v>
      </c>
      <c r="R344" s="1434" t="str">
        <f t="shared" ref="R344:R349" si="87">IF(Q344+P344+O344+N344+M344=0," ",AVERAGEIF(M344:Q344,"&lt;&gt;0"))</f>
        <v xml:space="preserve"> </v>
      </c>
      <c r="S344" s="1435">
        <f t="shared" ref="S344:S349" si="88">+Q344/$Q$466</f>
        <v>0</v>
      </c>
      <c r="T344" s="1440"/>
    </row>
    <row r="345" spans="1:20" x14ac:dyDescent="0.25">
      <c r="A345" s="1445" t="s">
        <v>322</v>
      </c>
      <c r="B345" s="1430">
        <v>3</v>
      </c>
      <c r="C345" s="1430">
        <v>1</v>
      </c>
      <c r="D345" s="1430">
        <v>0</v>
      </c>
      <c r="E345" s="1431">
        <v>5</v>
      </c>
      <c r="F345" s="1430">
        <v>4</v>
      </c>
      <c r="G345" s="1431">
        <v>1</v>
      </c>
      <c r="H345" s="1432">
        <v>3</v>
      </c>
      <c r="I345" s="1432">
        <v>0</v>
      </c>
      <c r="J345" s="1432">
        <v>9</v>
      </c>
      <c r="K345" s="1432">
        <v>3</v>
      </c>
      <c r="L345" s="1432">
        <v>2</v>
      </c>
      <c r="M345" s="1433">
        <v>2</v>
      </c>
      <c r="N345" s="1433">
        <v>1</v>
      </c>
      <c r="O345" s="1433">
        <v>2</v>
      </c>
      <c r="P345" s="1433">
        <v>3</v>
      </c>
      <c r="Q345" s="1433">
        <v>1</v>
      </c>
      <c r="R345" s="1434">
        <f t="shared" si="87"/>
        <v>1.8</v>
      </c>
      <c r="S345" s="1435">
        <f t="shared" si="88"/>
        <v>1.7921146953405018E-3</v>
      </c>
      <c r="T345" s="1440"/>
    </row>
    <row r="346" spans="1:20" x14ac:dyDescent="0.25">
      <c r="A346" s="1445" t="s">
        <v>323</v>
      </c>
      <c r="B346" s="1430">
        <v>0</v>
      </c>
      <c r="C346" s="1430">
        <v>0</v>
      </c>
      <c r="D346" s="1430">
        <v>1</v>
      </c>
      <c r="E346" s="1431">
        <v>0</v>
      </c>
      <c r="F346" s="1430">
        <v>0</v>
      </c>
      <c r="G346" s="1431">
        <v>0</v>
      </c>
      <c r="H346" s="1432">
        <v>1</v>
      </c>
      <c r="I346" s="1432">
        <v>0</v>
      </c>
      <c r="J346" s="1432">
        <v>3</v>
      </c>
      <c r="K346" s="1432">
        <v>0</v>
      </c>
      <c r="L346" s="1432">
        <v>1</v>
      </c>
      <c r="M346" s="1433">
        <v>0</v>
      </c>
      <c r="N346" s="1433">
        <v>2</v>
      </c>
      <c r="O346" s="1433">
        <v>0</v>
      </c>
      <c r="P346" s="1433">
        <v>1</v>
      </c>
      <c r="Q346" s="1433">
        <v>0</v>
      </c>
      <c r="R346" s="1434">
        <f t="shared" si="87"/>
        <v>1.5</v>
      </c>
      <c r="S346" s="1435">
        <f t="shared" si="88"/>
        <v>0</v>
      </c>
      <c r="T346" s="1440"/>
    </row>
    <row r="347" spans="1:20" x14ac:dyDescent="0.25">
      <c r="A347" s="1445" t="s">
        <v>324</v>
      </c>
      <c r="B347" s="1430">
        <v>0</v>
      </c>
      <c r="C347" s="1430">
        <v>1</v>
      </c>
      <c r="D347" s="1430">
        <v>4</v>
      </c>
      <c r="E347" s="1431">
        <v>0</v>
      </c>
      <c r="F347" s="1430">
        <v>2</v>
      </c>
      <c r="G347" s="1431">
        <v>0</v>
      </c>
      <c r="H347" s="1432">
        <v>0</v>
      </c>
      <c r="I347" s="1432">
        <v>2</v>
      </c>
      <c r="J347" s="1432">
        <v>0</v>
      </c>
      <c r="K347" s="1432">
        <v>0</v>
      </c>
      <c r="L347" s="1432">
        <v>6</v>
      </c>
      <c r="M347" s="1433">
        <v>4</v>
      </c>
      <c r="N347" s="1433">
        <v>2</v>
      </c>
      <c r="O347" s="1433">
        <v>2</v>
      </c>
      <c r="P347" s="1433">
        <v>3</v>
      </c>
      <c r="Q347" s="1433">
        <v>2</v>
      </c>
      <c r="R347" s="1434">
        <f t="shared" si="87"/>
        <v>2.6</v>
      </c>
      <c r="S347" s="1435">
        <f t="shared" si="88"/>
        <v>3.5842293906810036E-3</v>
      </c>
      <c r="T347" s="1440"/>
    </row>
    <row r="348" spans="1:20" x14ac:dyDescent="0.25">
      <c r="A348" s="1445" t="s">
        <v>325</v>
      </c>
      <c r="B348" s="1430">
        <v>0</v>
      </c>
      <c r="C348" s="1430">
        <v>2</v>
      </c>
      <c r="D348" s="1430">
        <v>2</v>
      </c>
      <c r="E348" s="1431">
        <v>3</v>
      </c>
      <c r="F348" s="1430">
        <v>2</v>
      </c>
      <c r="G348" s="1431">
        <v>2</v>
      </c>
      <c r="H348" s="1432">
        <v>1</v>
      </c>
      <c r="I348" s="1432">
        <v>2</v>
      </c>
      <c r="J348" s="1432">
        <v>1</v>
      </c>
      <c r="K348" s="1432">
        <v>4</v>
      </c>
      <c r="L348" s="1432">
        <v>4</v>
      </c>
      <c r="M348" s="1433">
        <v>2</v>
      </c>
      <c r="N348" s="1433">
        <v>2</v>
      </c>
      <c r="O348" s="1433">
        <v>1</v>
      </c>
      <c r="P348" s="1433">
        <v>4</v>
      </c>
      <c r="Q348" s="1433">
        <v>2</v>
      </c>
      <c r="R348" s="1434">
        <f t="shared" si="87"/>
        <v>2.2000000000000002</v>
      </c>
      <c r="S348" s="1435">
        <f t="shared" si="88"/>
        <v>3.5842293906810036E-3</v>
      </c>
      <c r="T348" s="1440"/>
    </row>
    <row r="349" spans="1:20" x14ac:dyDescent="0.25">
      <c r="A349" s="1449" t="s">
        <v>36</v>
      </c>
      <c r="B349" s="1437">
        <f t="shared" ref="B349:J349" si="89">SUM(B344:B348)</f>
        <v>6</v>
      </c>
      <c r="C349" s="1437">
        <f t="shared" si="89"/>
        <v>4</v>
      </c>
      <c r="D349" s="1437">
        <f t="shared" si="89"/>
        <v>7</v>
      </c>
      <c r="E349" s="1438">
        <f t="shared" si="89"/>
        <v>8</v>
      </c>
      <c r="F349" s="1437">
        <f t="shared" si="89"/>
        <v>8</v>
      </c>
      <c r="G349" s="1438">
        <f t="shared" si="89"/>
        <v>3</v>
      </c>
      <c r="H349" s="1434">
        <f t="shared" si="89"/>
        <v>6</v>
      </c>
      <c r="I349" s="1434">
        <f t="shared" si="89"/>
        <v>4</v>
      </c>
      <c r="J349" s="1434">
        <f t="shared" si="89"/>
        <v>13</v>
      </c>
      <c r="K349" s="1434">
        <f t="shared" ref="K349:P349" si="90">SUM(K344:K348)</f>
        <v>7</v>
      </c>
      <c r="L349" s="1434">
        <f t="shared" si="90"/>
        <v>14</v>
      </c>
      <c r="M349" s="1434">
        <f t="shared" si="90"/>
        <v>8</v>
      </c>
      <c r="N349" s="1434">
        <f t="shared" si="90"/>
        <v>7</v>
      </c>
      <c r="O349" s="1434">
        <f t="shared" si="90"/>
        <v>5</v>
      </c>
      <c r="P349" s="1434">
        <f t="shared" si="90"/>
        <v>11</v>
      </c>
      <c r="Q349" s="1434">
        <f>SUM(Q344:Q348)</f>
        <v>5</v>
      </c>
      <c r="R349" s="1434">
        <f t="shared" si="87"/>
        <v>7.2</v>
      </c>
      <c r="S349" s="1439">
        <f t="shared" si="88"/>
        <v>8.9605734767025085E-3</v>
      </c>
      <c r="T349" s="1440"/>
    </row>
    <row r="350" spans="1:20" x14ac:dyDescent="0.25">
      <c r="A350" s="1478" t="s">
        <v>326</v>
      </c>
      <c r="B350" s="1425" t="s">
        <v>908</v>
      </c>
      <c r="C350" s="1425" t="s">
        <v>617</v>
      </c>
      <c r="D350" s="1425" t="s">
        <v>1360</v>
      </c>
      <c r="E350" s="1426" t="s">
        <v>592</v>
      </c>
      <c r="F350" s="1425" t="s">
        <v>921</v>
      </c>
      <c r="G350" s="1426" t="s">
        <v>676</v>
      </c>
      <c r="H350" s="1427" t="s">
        <v>777</v>
      </c>
      <c r="I350" s="1428" t="s">
        <v>969</v>
      </c>
      <c r="J350" s="1428" t="s">
        <v>1419</v>
      </c>
      <c r="K350" s="1428" t="s">
        <v>1443</v>
      </c>
      <c r="L350" s="1480" t="s">
        <v>1444</v>
      </c>
      <c r="M350" s="1477" t="s">
        <v>1445</v>
      </c>
      <c r="N350" s="1477" t="s">
        <v>1566</v>
      </c>
      <c r="O350" s="1477" t="s">
        <v>1613</v>
      </c>
      <c r="P350" s="1477" t="s">
        <v>1660</v>
      </c>
      <c r="Q350" s="1477" t="s">
        <v>1749</v>
      </c>
      <c r="R350" s="1481" t="s">
        <v>31</v>
      </c>
      <c r="S350" s="1481" t="s">
        <v>32</v>
      </c>
      <c r="T350" s="1440"/>
    </row>
    <row r="351" spans="1:20" x14ac:dyDescent="0.25">
      <c r="A351" s="1457" t="s">
        <v>1490</v>
      </c>
      <c r="B351" s="1430">
        <v>0</v>
      </c>
      <c r="C351" s="1430">
        <v>0</v>
      </c>
      <c r="D351" s="1430">
        <v>0</v>
      </c>
      <c r="E351" s="1431">
        <v>0</v>
      </c>
      <c r="F351" s="1430">
        <v>0</v>
      </c>
      <c r="G351" s="1431">
        <v>0</v>
      </c>
      <c r="H351" s="1432">
        <v>0</v>
      </c>
      <c r="I351" s="1432">
        <v>0</v>
      </c>
      <c r="J351" s="1432">
        <v>0</v>
      </c>
      <c r="K351" s="1432">
        <v>0</v>
      </c>
      <c r="L351" s="1432">
        <v>0</v>
      </c>
      <c r="M351" s="1432">
        <v>2</v>
      </c>
      <c r="N351" s="1432">
        <v>3</v>
      </c>
      <c r="O351" s="1432">
        <v>0</v>
      </c>
      <c r="P351" s="1432">
        <v>0</v>
      </c>
      <c r="Q351" s="1432">
        <v>0</v>
      </c>
      <c r="R351" s="1434">
        <f t="shared" ref="R351:R363" si="91">IF(Q351+P351+O351+N351+M351=0," ",AVERAGEIF(M351:Q351,"&lt;&gt;0"))</f>
        <v>2.5</v>
      </c>
      <c r="S351" s="1435">
        <f t="shared" ref="S351:S363" si="92">+Q351/$Q$466</f>
        <v>0</v>
      </c>
      <c r="T351" s="1440"/>
    </row>
    <row r="352" spans="1:20" x14ac:dyDescent="0.25">
      <c r="A352" s="1445" t="s">
        <v>327</v>
      </c>
      <c r="B352" s="1430">
        <v>1</v>
      </c>
      <c r="C352" s="1430">
        <v>0</v>
      </c>
      <c r="D352" s="1430">
        <v>0</v>
      </c>
      <c r="E352" s="1431">
        <v>0</v>
      </c>
      <c r="F352" s="1430">
        <v>0</v>
      </c>
      <c r="G352" s="1431">
        <v>0</v>
      </c>
      <c r="H352" s="1432">
        <v>0</v>
      </c>
      <c r="I352" s="1432">
        <v>0</v>
      </c>
      <c r="J352" s="1432">
        <v>0</v>
      </c>
      <c r="K352" s="1432">
        <v>1</v>
      </c>
      <c r="L352" s="1432">
        <v>0</v>
      </c>
      <c r="M352" s="1432">
        <v>0</v>
      </c>
      <c r="N352" s="1432">
        <v>0</v>
      </c>
      <c r="O352" s="1432">
        <v>0</v>
      </c>
      <c r="P352" s="1432">
        <v>0</v>
      </c>
      <c r="Q352" s="1432">
        <v>0</v>
      </c>
      <c r="R352" s="1434" t="str">
        <f t="shared" si="91"/>
        <v xml:space="preserve"> </v>
      </c>
      <c r="S352" s="1435">
        <f t="shared" si="92"/>
        <v>0</v>
      </c>
      <c r="T352" s="1440"/>
    </row>
    <row r="353" spans="1:20" x14ac:dyDescent="0.25">
      <c r="A353" s="1445" t="s">
        <v>328</v>
      </c>
      <c r="B353" s="1430">
        <v>1</v>
      </c>
      <c r="C353" s="1430">
        <v>0</v>
      </c>
      <c r="D353" s="1430">
        <v>0</v>
      </c>
      <c r="E353" s="1431">
        <v>0</v>
      </c>
      <c r="F353" s="1430">
        <v>0</v>
      </c>
      <c r="G353" s="1431">
        <v>0</v>
      </c>
      <c r="H353" s="1432">
        <v>1</v>
      </c>
      <c r="I353" s="1432">
        <v>0</v>
      </c>
      <c r="J353" s="1432">
        <v>1</v>
      </c>
      <c r="K353" s="1432">
        <v>0</v>
      </c>
      <c r="L353" s="1432">
        <v>0</v>
      </c>
      <c r="M353" s="1432">
        <v>0</v>
      </c>
      <c r="N353" s="1432">
        <v>0</v>
      </c>
      <c r="O353" s="1432">
        <v>0</v>
      </c>
      <c r="P353" s="1432">
        <v>2</v>
      </c>
      <c r="Q353" s="1432">
        <v>0</v>
      </c>
      <c r="R353" s="1434">
        <f t="shared" si="91"/>
        <v>2</v>
      </c>
      <c r="S353" s="1435">
        <f t="shared" si="92"/>
        <v>0</v>
      </c>
      <c r="T353" s="1440"/>
    </row>
    <row r="354" spans="1:20" x14ac:dyDescent="0.25">
      <c r="A354" s="1445" t="s">
        <v>329</v>
      </c>
      <c r="B354" s="1430">
        <v>4</v>
      </c>
      <c r="C354" s="1430">
        <v>0</v>
      </c>
      <c r="D354" s="1430">
        <v>1</v>
      </c>
      <c r="E354" s="1431">
        <v>0</v>
      </c>
      <c r="F354" s="1430">
        <v>0</v>
      </c>
      <c r="G354" s="1431">
        <v>0</v>
      </c>
      <c r="H354" s="1432">
        <v>0</v>
      </c>
      <c r="I354" s="1432">
        <v>2</v>
      </c>
      <c r="J354" s="1432">
        <v>3</v>
      </c>
      <c r="K354" s="1432">
        <v>2</v>
      </c>
      <c r="L354" s="1432">
        <v>2</v>
      </c>
      <c r="M354" s="1433">
        <v>2</v>
      </c>
      <c r="N354" s="1433">
        <v>3</v>
      </c>
      <c r="O354" s="1433">
        <v>1</v>
      </c>
      <c r="P354" s="1433">
        <v>1</v>
      </c>
      <c r="Q354" s="1433">
        <v>0</v>
      </c>
      <c r="R354" s="1434">
        <f t="shared" si="91"/>
        <v>1.75</v>
      </c>
      <c r="S354" s="1435">
        <f t="shared" si="92"/>
        <v>0</v>
      </c>
      <c r="T354" s="1440"/>
    </row>
    <row r="355" spans="1:20" x14ac:dyDescent="0.25">
      <c r="A355" s="1445" t="s">
        <v>330</v>
      </c>
      <c r="B355" s="1430">
        <v>0</v>
      </c>
      <c r="C355" s="1430">
        <v>0</v>
      </c>
      <c r="D355" s="1430">
        <v>0</v>
      </c>
      <c r="E355" s="1431">
        <v>0</v>
      </c>
      <c r="F355" s="1430">
        <v>0</v>
      </c>
      <c r="G355" s="1431">
        <v>0</v>
      </c>
      <c r="H355" s="1432">
        <v>0</v>
      </c>
      <c r="I355" s="1432">
        <v>0</v>
      </c>
      <c r="J355" s="1432">
        <v>0</v>
      </c>
      <c r="K355" s="1432">
        <v>0</v>
      </c>
      <c r="L355" s="1432">
        <v>0</v>
      </c>
      <c r="M355" s="1433">
        <v>0</v>
      </c>
      <c r="N355" s="1433">
        <v>0</v>
      </c>
      <c r="O355" s="1433">
        <v>0</v>
      </c>
      <c r="P355" s="1433">
        <v>0</v>
      </c>
      <c r="Q355" s="1433">
        <v>0</v>
      </c>
      <c r="R355" s="1434" t="str">
        <f t="shared" si="91"/>
        <v xml:space="preserve"> </v>
      </c>
      <c r="S355" s="1435">
        <f t="shared" si="92"/>
        <v>0</v>
      </c>
      <c r="T355" s="1440"/>
    </row>
    <row r="356" spans="1:20" x14ac:dyDescent="0.25">
      <c r="A356" s="1445" t="s">
        <v>331</v>
      </c>
      <c r="B356" s="1430">
        <v>1</v>
      </c>
      <c r="C356" s="1430">
        <v>2</v>
      </c>
      <c r="D356" s="1430">
        <v>0</v>
      </c>
      <c r="E356" s="1431">
        <v>1</v>
      </c>
      <c r="F356" s="1430">
        <v>0</v>
      </c>
      <c r="G356" s="1431">
        <v>0</v>
      </c>
      <c r="H356" s="1432">
        <v>0</v>
      </c>
      <c r="I356" s="1432">
        <v>1</v>
      </c>
      <c r="J356" s="1432">
        <v>0</v>
      </c>
      <c r="K356" s="1432">
        <v>0</v>
      </c>
      <c r="L356" s="1432">
        <v>0</v>
      </c>
      <c r="M356" s="1433">
        <v>0</v>
      </c>
      <c r="N356" s="1433">
        <v>1</v>
      </c>
      <c r="O356" s="1433">
        <v>0</v>
      </c>
      <c r="P356" s="1433">
        <v>0</v>
      </c>
      <c r="Q356" s="1433">
        <v>0</v>
      </c>
      <c r="R356" s="1434">
        <f t="shared" si="91"/>
        <v>1</v>
      </c>
      <c r="S356" s="1435">
        <f t="shared" si="92"/>
        <v>0</v>
      </c>
      <c r="T356" s="1440"/>
    </row>
    <row r="357" spans="1:20" x14ac:dyDescent="0.25">
      <c r="A357" s="1445" t="s">
        <v>332</v>
      </c>
      <c r="B357" s="1430">
        <v>1</v>
      </c>
      <c r="C357" s="1430">
        <v>0</v>
      </c>
      <c r="D357" s="1430">
        <v>0</v>
      </c>
      <c r="E357" s="1431">
        <v>1</v>
      </c>
      <c r="F357" s="1430">
        <v>0</v>
      </c>
      <c r="G357" s="1431">
        <v>0</v>
      </c>
      <c r="H357" s="1432">
        <v>0</v>
      </c>
      <c r="I357" s="1432">
        <v>0</v>
      </c>
      <c r="J357" s="1432">
        <v>0</v>
      </c>
      <c r="K357" s="1432">
        <v>0</v>
      </c>
      <c r="L357" s="1432">
        <v>0</v>
      </c>
      <c r="M357" s="1433">
        <v>0</v>
      </c>
      <c r="N357" s="1433">
        <v>0</v>
      </c>
      <c r="O357" s="1433">
        <v>0</v>
      </c>
      <c r="P357" s="1433">
        <v>0</v>
      </c>
      <c r="Q357" s="1433">
        <v>0</v>
      </c>
      <c r="R357" s="1434" t="str">
        <f t="shared" si="91"/>
        <v xml:space="preserve"> </v>
      </c>
      <c r="S357" s="1435">
        <f t="shared" si="92"/>
        <v>0</v>
      </c>
      <c r="T357" s="1440"/>
    </row>
    <row r="358" spans="1:20" x14ac:dyDescent="0.25">
      <c r="A358" s="1445" t="s">
        <v>333</v>
      </c>
      <c r="B358" s="1430">
        <v>0</v>
      </c>
      <c r="C358" s="1430">
        <v>1</v>
      </c>
      <c r="D358" s="1430">
        <v>0</v>
      </c>
      <c r="E358" s="1431">
        <v>0</v>
      </c>
      <c r="F358" s="1430">
        <v>0</v>
      </c>
      <c r="G358" s="1431">
        <v>0</v>
      </c>
      <c r="H358" s="1432">
        <v>0</v>
      </c>
      <c r="I358" s="1432">
        <v>0</v>
      </c>
      <c r="J358" s="1432">
        <v>0</v>
      </c>
      <c r="K358" s="1432">
        <v>0</v>
      </c>
      <c r="L358" s="1432">
        <v>1</v>
      </c>
      <c r="M358" s="1433">
        <v>0</v>
      </c>
      <c r="N358" s="1433">
        <v>0</v>
      </c>
      <c r="O358" s="1433">
        <v>0</v>
      </c>
      <c r="P358" s="1433">
        <v>0</v>
      </c>
      <c r="Q358" s="1433">
        <v>0</v>
      </c>
      <c r="R358" s="1434" t="str">
        <f t="shared" si="91"/>
        <v xml:space="preserve"> </v>
      </c>
      <c r="S358" s="1435">
        <f t="shared" si="92"/>
        <v>0</v>
      </c>
      <c r="T358" s="1440"/>
    </row>
    <row r="359" spans="1:20" x14ac:dyDescent="0.25">
      <c r="A359" s="1445" t="s">
        <v>785</v>
      </c>
      <c r="B359" s="1430"/>
      <c r="C359" s="1430">
        <v>0</v>
      </c>
      <c r="D359" s="1430">
        <v>0</v>
      </c>
      <c r="E359" s="1431">
        <v>0</v>
      </c>
      <c r="F359" s="1430">
        <v>0</v>
      </c>
      <c r="G359" s="1431">
        <v>0</v>
      </c>
      <c r="H359" s="1432">
        <v>1</v>
      </c>
      <c r="I359" s="1432">
        <v>0</v>
      </c>
      <c r="J359" s="1432">
        <v>0</v>
      </c>
      <c r="K359" s="1432">
        <v>0</v>
      </c>
      <c r="L359" s="1432">
        <v>2</v>
      </c>
      <c r="M359" s="1433">
        <v>0</v>
      </c>
      <c r="N359" s="1433">
        <v>0</v>
      </c>
      <c r="O359" s="1433">
        <v>3</v>
      </c>
      <c r="P359" s="1433">
        <v>0</v>
      </c>
      <c r="Q359" s="1433">
        <v>1</v>
      </c>
      <c r="R359" s="1434">
        <f t="shared" si="91"/>
        <v>2</v>
      </c>
      <c r="S359" s="1435">
        <f t="shared" si="92"/>
        <v>1.7921146953405018E-3</v>
      </c>
      <c r="T359" s="1440"/>
    </row>
    <row r="360" spans="1:20" x14ac:dyDescent="0.25">
      <c r="A360" s="1445" t="s">
        <v>334</v>
      </c>
      <c r="B360" s="1430">
        <v>0</v>
      </c>
      <c r="C360" s="1430">
        <v>0</v>
      </c>
      <c r="D360" s="1430">
        <v>0</v>
      </c>
      <c r="E360" s="1431">
        <v>0</v>
      </c>
      <c r="F360" s="1430">
        <v>0</v>
      </c>
      <c r="G360" s="1431">
        <v>0</v>
      </c>
      <c r="H360" s="1432">
        <v>0</v>
      </c>
      <c r="I360" s="1432">
        <v>1</v>
      </c>
      <c r="J360" s="1432">
        <v>2</v>
      </c>
      <c r="K360" s="1432">
        <v>0</v>
      </c>
      <c r="L360" s="1432">
        <v>0</v>
      </c>
      <c r="M360" s="1433">
        <v>0</v>
      </c>
      <c r="N360" s="1433">
        <v>1</v>
      </c>
      <c r="O360" s="1433">
        <v>0</v>
      </c>
      <c r="P360" s="1433">
        <v>0</v>
      </c>
      <c r="Q360" s="1433">
        <v>0</v>
      </c>
      <c r="R360" s="1434">
        <f t="shared" si="91"/>
        <v>1</v>
      </c>
      <c r="S360" s="1435">
        <f t="shared" si="92"/>
        <v>0</v>
      </c>
      <c r="T360" s="1440"/>
    </row>
    <row r="361" spans="1:20" x14ac:dyDescent="0.25">
      <c r="A361" s="1445" t="s">
        <v>335</v>
      </c>
      <c r="B361" s="1430">
        <v>0</v>
      </c>
      <c r="C361" s="1430">
        <v>0</v>
      </c>
      <c r="D361" s="1430">
        <v>1</v>
      </c>
      <c r="E361" s="1431">
        <v>0</v>
      </c>
      <c r="F361" s="1430">
        <v>0</v>
      </c>
      <c r="G361" s="1431">
        <v>2</v>
      </c>
      <c r="H361" s="1432">
        <v>0</v>
      </c>
      <c r="I361" s="1432">
        <v>1</v>
      </c>
      <c r="J361" s="1432">
        <v>0</v>
      </c>
      <c r="K361" s="1432">
        <v>0</v>
      </c>
      <c r="L361" s="1432">
        <v>0</v>
      </c>
      <c r="M361" s="1433">
        <v>0</v>
      </c>
      <c r="N361" s="1433">
        <v>0</v>
      </c>
      <c r="O361" s="1433">
        <v>1</v>
      </c>
      <c r="P361" s="1433">
        <v>0</v>
      </c>
      <c r="Q361" s="1433">
        <v>2</v>
      </c>
      <c r="R361" s="1434">
        <f t="shared" si="91"/>
        <v>1.5</v>
      </c>
      <c r="S361" s="1435">
        <f t="shared" si="92"/>
        <v>3.5842293906810036E-3</v>
      </c>
      <c r="T361" s="1440"/>
    </row>
    <row r="362" spans="1:20" x14ac:dyDescent="0.25">
      <c r="A362" s="1445" t="s">
        <v>336</v>
      </c>
      <c r="B362" s="1430">
        <v>0</v>
      </c>
      <c r="C362" s="1430">
        <v>0</v>
      </c>
      <c r="D362" s="1430">
        <v>1</v>
      </c>
      <c r="E362" s="1431">
        <v>2</v>
      </c>
      <c r="F362" s="1430">
        <v>0</v>
      </c>
      <c r="G362" s="1431">
        <v>1</v>
      </c>
      <c r="H362" s="1432">
        <v>1</v>
      </c>
      <c r="I362" s="1432">
        <v>4</v>
      </c>
      <c r="J362" s="1432">
        <v>0</v>
      </c>
      <c r="K362" s="1432">
        <v>3</v>
      </c>
      <c r="L362" s="1432">
        <v>2</v>
      </c>
      <c r="M362" s="1433">
        <v>2</v>
      </c>
      <c r="N362" s="1433">
        <v>4</v>
      </c>
      <c r="O362" s="1433">
        <v>7</v>
      </c>
      <c r="P362" s="1433">
        <v>1</v>
      </c>
      <c r="Q362" s="1433">
        <v>4</v>
      </c>
      <c r="R362" s="1434">
        <f t="shared" si="91"/>
        <v>3.6</v>
      </c>
      <c r="S362" s="1435">
        <f t="shared" si="92"/>
        <v>7.1684587813620072E-3</v>
      </c>
      <c r="T362" s="1440"/>
    </row>
    <row r="363" spans="1:20" x14ac:dyDescent="0.25">
      <c r="A363" s="1449" t="s">
        <v>36</v>
      </c>
      <c r="B363" s="1437">
        <f t="shared" ref="B363:J363" si="93">SUM(B351:B362)</f>
        <v>8</v>
      </c>
      <c r="C363" s="1437">
        <f t="shared" si="93"/>
        <v>3</v>
      </c>
      <c r="D363" s="1437">
        <f t="shared" si="93"/>
        <v>3</v>
      </c>
      <c r="E363" s="1438">
        <f t="shared" si="93"/>
        <v>4</v>
      </c>
      <c r="F363" s="1437">
        <f t="shared" si="93"/>
        <v>0</v>
      </c>
      <c r="G363" s="1438">
        <f t="shared" si="93"/>
        <v>3</v>
      </c>
      <c r="H363" s="1434">
        <f t="shared" si="93"/>
        <v>3</v>
      </c>
      <c r="I363" s="1434">
        <f t="shared" si="93"/>
        <v>9</v>
      </c>
      <c r="J363" s="1434">
        <f t="shared" si="93"/>
        <v>6</v>
      </c>
      <c r="K363" s="1434">
        <f t="shared" ref="K363:P363" si="94">SUM(K351:K362)</f>
        <v>6</v>
      </c>
      <c r="L363" s="1434">
        <f t="shared" si="94"/>
        <v>7</v>
      </c>
      <c r="M363" s="1434">
        <f t="shared" si="94"/>
        <v>6</v>
      </c>
      <c r="N363" s="1434">
        <f t="shared" si="94"/>
        <v>12</v>
      </c>
      <c r="O363" s="1434">
        <f t="shared" si="94"/>
        <v>12</v>
      </c>
      <c r="P363" s="1434">
        <f t="shared" si="94"/>
        <v>4</v>
      </c>
      <c r="Q363" s="1434">
        <f>SUM(Q351:Q362)</f>
        <v>7</v>
      </c>
      <c r="R363" s="1434">
        <f t="shared" si="91"/>
        <v>8.1999999999999993</v>
      </c>
      <c r="S363" s="1439">
        <f t="shared" si="92"/>
        <v>1.2544802867383513E-2</v>
      </c>
      <c r="T363" s="1440"/>
    </row>
    <row r="364" spans="1:20" x14ac:dyDescent="0.25">
      <c r="A364" s="1478" t="s">
        <v>337</v>
      </c>
      <c r="B364" s="1425" t="s">
        <v>908</v>
      </c>
      <c r="C364" s="1425" t="s">
        <v>617</v>
      </c>
      <c r="D364" s="1425" t="s">
        <v>1360</v>
      </c>
      <c r="E364" s="1426" t="s">
        <v>592</v>
      </c>
      <c r="F364" s="1425" t="s">
        <v>921</v>
      </c>
      <c r="G364" s="1426" t="s">
        <v>676</v>
      </c>
      <c r="H364" s="1427" t="s">
        <v>777</v>
      </c>
      <c r="I364" s="1428" t="s">
        <v>969</v>
      </c>
      <c r="J364" s="1428" t="s">
        <v>1419</v>
      </c>
      <c r="K364" s="1428" t="s">
        <v>1443</v>
      </c>
      <c r="L364" s="1480" t="s">
        <v>1444</v>
      </c>
      <c r="M364" s="1477" t="s">
        <v>1445</v>
      </c>
      <c r="N364" s="1477" t="s">
        <v>1566</v>
      </c>
      <c r="O364" s="1477" t="s">
        <v>1613</v>
      </c>
      <c r="P364" s="1477" t="s">
        <v>1660</v>
      </c>
      <c r="Q364" s="1477" t="s">
        <v>1749</v>
      </c>
      <c r="R364" s="1481" t="s">
        <v>31</v>
      </c>
      <c r="S364" s="1481" t="s">
        <v>32</v>
      </c>
      <c r="T364" s="1440"/>
    </row>
    <row r="365" spans="1:20" x14ac:dyDescent="0.25">
      <c r="A365" s="1445" t="s">
        <v>338</v>
      </c>
      <c r="B365" s="1430">
        <v>0</v>
      </c>
      <c r="C365" s="1430">
        <v>1</v>
      </c>
      <c r="D365" s="1430">
        <v>3</v>
      </c>
      <c r="E365" s="1431">
        <v>1</v>
      </c>
      <c r="F365" s="1430">
        <v>3</v>
      </c>
      <c r="G365" s="1431">
        <v>4</v>
      </c>
      <c r="H365" s="1432">
        <v>2</v>
      </c>
      <c r="I365" s="1432">
        <v>1</v>
      </c>
      <c r="J365" s="1432">
        <v>1</v>
      </c>
      <c r="K365" s="1432">
        <v>1</v>
      </c>
      <c r="L365" s="1432">
        <v>0</v>
      </c>
      <c r="M365" s="1433">
        <v>5</v>
      </c>
      <c r="N365" s="1433">
        <v>1</v>
      </c>
      <c r="O365" s="1433">
        <v>1</v>
      </c>
      <c r="P365" s="1433">
        <v>0</v>
      </c>
      <c r="Q365" s="1433">
        <v>1</v>
      </c>
      <c r="R365" s="1434">
        <f t="shared" ref="R365:R370" si="95">IF(Q365+P365+O365+N365+M365=0," ",AVERAGEIF(M365:Q365,"&lt;&gt;0"))</f>
        <v>2</v>
      </c>
      <c r="S365" s="1435">
        <f t="shared" ref="S365:S370" si="96">+Q365/$Q$466</f>
        <v>1.7921146953405018E-3</v>
      </c>
      <c r="T365" s="1440"/>
    </row>
    <row r="366" spans="1:20" x14ac:dyDescent="0.25">
      <c r="A366" s="1457" t="s">
        <v>1491</v>
      </c>
      <c r="B366" s="1430">
        <v>0</v>
      </c>
      <c r="C366" s="1430">
        <v>0</v>
      </c>
      <c r="D366" s="1430">
        <v>0</v>
      </c>
      <c r="E366" s="1431">
        <v>0</v>
      </c>
      <c r="F366" s="1430">
        <v>0</v>
      </c>
      <c r="G366" s="1431">
        <v>0</v>
      </c>
      <c r="H366" s="1432">
        <v>0</v>
      </c>
      <c r="I366" s="1432">
        <v>0</v>
      </c>
      <c r="J366" s="1432">
        <v>0</v>
      </c>
      <c r="K366" s="1432">
        <v>0</v>
      </c>
      <c r="L366" s="1432">
        <v>0</v>
      </c>
      <c r="M366" s="1433">
        <v>1</v>
      </c>
      <c r="N366" s="1433">
        <v>0</v>
      </c>
      <c r="O366" s="1433">
        <v>0</v>
      </c>
      <c r="P366" s="1433">
        <v>0</v>
      </c>
      <c r="Q366" s="1433">
        <v>0</v>
      </c>
      <c r="R366" s="1434">
        <f t="shared" si="95"/>
        <v>1</v>
      </c>
      <c r="S366" s="1435">
        <f t="shared" si="96"/>
        <v>0</v>
      </c>
      <c r="T366" s="1440"/>
    </row>
    <row r="367" spans="1:20" x14ac:dyDescent="0.25">
      <c r="A367" s="1445" t="s">
        <v>339</v>
      </c>
      <c r="B367" s="1430">
        <v>4</v>
      </c>
      <c r="C367" s="1430">
        <v>4</v>
      </c>
      <c r="D367" s="1430">
        <v>2</v>
      </c>
      <c r="E367" s="1431">
        <v>1</v>
      </c>
      <c r="F367" s="1430">
        <v>4</v>
      </c>
      <c r="G367" s="1431">
        <v>4</v>
      </c>
      <c r="H367" s="1432">
        <v>0</v>
      </c>
      <c r="I367" s="1432">
        <v>2</v>
      </c>
      <c r="J367" s="1432">
        <v>0</v>
      </c>
      <c r="K367" s="1432">
        <v>1</v>
      </c>
      <c r="L367" s="1432">
        <v>2</v>
      </c>
      <c r="M367" s="1433">
        <v>3</v>
      </c>
      <c r="N367" s="1433">
        <v>2</v>
      </c>
      <c r="O367" s="1433">
        <v>5</v>
      </c>
      <c r="P367" s="1433">
        <v>4</v>
      </c>
      <c r="Q367" s="1433">
        <v>7</v>
      </c>
      <c r="R367" s="1434">
        <f t="shared" si="95"/>
        <v>4.2</v>
      </c>
      <c r="S367" s="1435">
        <f t="shared" si="96"/>
        <v>1.2544802867383513E-2</v>
      </c>
      <c r="T367" s="1440"/>
    </row>
    <row r="368" spans="1:20" x14ac:dyDescent="0.25">
      <c r="A368" s="1445" t="s">
        <v>340</v>
      </c>
      <c r="B368" s="1430">
        <v>3</v>
      </c>
      <c r="C368" s="1430">
        <v>3</v>
      </c>
      <c r="D368" s="1430">
        <v>0</v>
      </c>
      <c r="E368" s="1431">
        <v>3</v>
      </c>
      <c r="F368" s="1430">
        <v>2</v>
      </c>
      <c r="G368" s="1431">
        <v>0</v>
      </c>
      <c r="H368" s="1432">
        <v>4</v>
      </c>
      <c r="I368" s="1432">
        <v>0</v>
      </c>
      <c r="J368" s="1432">
        <v>1</v>
      </c>
      <c r="K368" s="1432">
        <v>4</v>
      </c>
      <c r="L368" s="1432">
        <v>4</v>
      </c>
      <c r="M368" s="1433">
        <v>4</v>
      </c>
      <c r="N368" s="1433">
        <v>1</v>
      </c>
      <c r="O368" s="1433">
        <v>0</v>
      </c>
      <c r="P368" s="1433">
        <v>1</v>
      </c>
      <c r="Q368" s="1433">
        <v>1</v>
      </c>
      <c r="R368" s="1434">
        <f t="shared" si="95"/>
        <v>1.75</v>
      </c>
      <c r="S368" s="1435">
        <f t="shared" si="96"/>
        <v>1.7921146953405018E-3</v>
      </c>
      <c r="T368" s="1440"/>
    </row>
    <row r="369" spans="1:20" x14ac:dyDescent="0.25">
      <c r="A369" s="1445" t="s">
        <v>341</v>
      </c>
      <c r="B369" s="1430">
        <v>2</v>
      </c>
      <c r="C369" s="1430">
        <v>0</v>
      </c>
      <c r="D369" s="1430">
        <v>9</v>
      </c>
      <c r="E369" s="1431">
        <v>1</v>
      </c>
      <c r="F369" s="1430">
        <v>2</v>
      </c>
      <c r="G369" s="1431">
        <v>3</v>
      </c>
      <c r="H369" s="1432">
        <v>1</v>
      </c>
      <c r="I369" s="1432">
        <v>2</v>
      </c>
      <c r="J369" s="1432">
        <v>1</v>
      </c>
      <c r="K369" s="1432">
        <v>3</v>
      </c>
      <c r="L369" s="1432">
        <v>1</v>
      </c>
      <c r="M369" s="1433">
        <v>1</v>
      </c>
      <c r="N369" s="1433">
        <v>0</v>
      </c>
      <c r="O369" s="1433">
        <v>0</v>
      </c>
      <c r="P369" s="1433">
        <v>2</v>
      </c>
      <c r="Q369" s="1433">
        <v>4</v>
      </c>
      <c r="R369" s="1434">
        <f t="shared" si="95"/>
        <v>2.3333333333333335</v>
      </c>
      <c r="S369" s="1435">
        <f t="shared" si="96"/>
        <v>7.1684587813620072E-3</v>
      </c>
      <c r="T369" s="1440"/>
    </row>
    <row r="370" spans="1:20" x14ac:dyDescent="0.25">
      <c r="A370" s="1449" t="s">
        <v>36</v>
      </c>
      <c r="B370" s="1437">
        <f t="shared" ref="B370:J370" si="97">SUM(B365:B369)</f>
        <v>9</v>
      </c>
      <c r="C370" s="1437">
        <f t="shared" si="97"/>
        <v>8</v>
      </c>
      <c r="D370" s="1437">
        <f t="shared" si="97"/>
        <v>14</v>
      </c>
      <c r="E370" s="1438">
        <f t="shared" si="97"/>
        <v>6</v>
      </c>
      <c r="F370" s="1437">
        <f t="shared" si="97"/>
        <v>11</v>
      </c>
      <c r="G370" s="1438">
        <f t="shared" si="97"/>
        <v>11</v>
      </c>
      <c r="H370" s="1434">
        <f t="shared" si="97"/>
        <v>7</v>
      </c>
      <c r="I370" s="1434">
        <f t="shared" si="97"/>
        <v>5</v>
      </c>
      <c r="J370" s="1434">
        <f t="shared" si="97"/>
        <v>3</v>
      </c>
      <c r="K370" s="1434">
        <f t="shared" ref="K370:P370" si="98">SUM(K365:K369)</f>
        <v>9</v>
      </c>
      <c r="L370" s="1434">
        <f t="shared" si="98"/>
        <v>7</v>
      </c>
      <c r="M370" s="1434">
        <f t="shared" si="98"/>
        <v>14</v>
      </c>
      <c r="N370" s="1434">
        <f t="shared" si="98"/>
        <v>4</v>
      </c>
      <c r="O370" s="1434">
        <f t="shared" si="98"/>
        <v>6</v>
      </c>
      <c r="P370" s="1434">
        <f t="shared" si="98"/>
        <v>7</v>
      </c>
      <c r="Q370" s="1434">
        <f>SUM(Q365:Q369)</f>
        <v>13</v>
      </c>
      <c r="R370" s="1434">
        <f t="shared" si="95"/>
        <v>8.8000000000000007</v>
      </c>
      <c r="S370" s="1439">
        <f t="shared" si="96"/>
        <v>2.3297491039426525E-2</v>
      </c>
      <c r="T370" s="1440"/>
    </row>
    <row r="371" spans="1:20" x14ac:dyDescent="0.25">
      <c r="A371" s="1478" t="s">
        <v>342</v>
      </c>
      <c r="B371" s="1425" t="s">
        <v>908</v>
      </c>
      <c r="C371" s="1425" t="s">
        <v>617</v>
      </c>
      <c r="D371" s="1425" t="s">
        <v>1360</v>
      </c>
      <c r="E371" s="1426" t="s">
        <v>592</v>
      </c>
      <c r="F371" s="1425" t="s">
        <v>921</v>
      </c>
      <c r="G371" s="1426" t="s">
        <v>676</v>
      </c>
      <c r="H371" s="1427" t="s">
        <v>777</v>
      </c>
      <c r="I371" s="1428" t="s">
        <v>969</v>
      </c>
      <c r="J371" s="1428" t="s">
        <v>1419</v>
      </c>
      <c r="K371" s="1428" t="s">
        <v>1443</v>
      </c>
      <c r="L371" s="1480" t="s">
        <v>1444</v>
      </c>
      <c r="M371" s="1477" t="s">
        <v>1445</v>
      </c>
      <c r="N371" s="1477" t="s">
        <v>1566</v>
      </c>
      <c r="O371" s="1477" t="s">
        <v>1613</v>
      </c>
      <c r="P371" s="1477" t="s">
        <v>1660</v>
      </c>
      <c r="Q371" s="1477" t="s">
        <v>1749</v>
      </c>
      <c r="R371" s="1481" t="s">
        <v>31</v>
      </c>
      <c r="S371" s="1481" t="s">
        <v>32</v>
      </c>
      <c r="T371" s="1440"/>
    </row>
    <row r="372" spans="1:20" x14ac:dyDescent="0.25">
      <c r="A372" s="1445" t="s">
        <v>343</v>
      </c>
      <c r="B372" s="1430">
        <v>0</v>
      </c>
      <c r="C372" s="1430">
        <v>0</v>
      </c>
      <c r="D372" s="1430">
        <v>0</v>
      </c>
      <c r="E372" s="1431">
        <v>0</v>
      </c>
      <c r="F372" s="1430">
        <v>0</v>
      </c>
      <c r="G372" s="1431">
        <v>0</v>
      </c>
      <c r="H372" s="1432">
        <v>0</v>
      </c>
      <c r="I372" s="1432">
        <v>0</v>
      </c>
      <c r="J372" s="1432">
        <v>0</v>
      </c>
      <c r="K372" s="1432">
        <v>0</v>
      </c>
      <c r="L372" s="1432">
        <v>0</v>
      </c>
      <c r="M372" s="1433">
        <v>0</v>
      </c>
      <c r="N372" s="1433">
        <v>0</v>
      </c>
      <c r="O372" s="1433">
        <v>0</v>
      </c>
      <c r="P372" s="1433">
        <v>0</v>
      </c>
      <c r="Q372" s="1433">
        <v>0</v>
      </c>
      <c r="R372" s="1434" t="str">
        <f t="shared" ref="R372:R398" si="99">IF(Q372+P372+O372+N372+M372=0," ",AVERAGEIF(M372:Q372,"&lt;&gt;0"))</f>
        <v xml:space="preserve"> </v>
      </c>
      <c r="S372" s="1435">
        <f t="shared" ref="S372:S398" si="100">+Q372/$Q$466</f>
        <v>0</v>
      </c>
      <c r="T372" s="1440"/>
    </row>
    <row r="373" spans="1:20" x14ac:dyDescent="0.25">
      <c r="A373" s="1445" t="s">
        <v>344</v>
      </c>
      <c r="B373" s="1430">
        <v>1</v>
      </c>
      <c r="C373" s="1430">
        <v>0</v>
      </c>
      <c r="D373" s="1430">
        <v>2</v>
      </c>
      <c r="E373" s="1431">
        <v>2</v>
      </c>
      <c r="F373" s="1430">
        <v>6</v>
      </c>
      <c r="G373" s="1431">
        <v>2</v>
      </c>
      <c r="H373" s="1432">
        <v>6</v>
      </c>
      <c r="I373" s="1432">
        <v>2</v>
      </c>
      <c r="J373" s="1432">
        <v>1</v>
      </c>
      <c r="K373" s="1432">
        <v>4</v>
      </c>
      <c r="L373" s="1432">
        <v>5</v>
      </c>
      <c r="M373" s="1433">
        <v>5</v>
      </c>
      <c r="N373" s="1433">
        <v>3</v>
      </c>
      <c r="O373" s="1433">
        <v>1</v>
      </c>
      <c r="P373" s="1433">
        <v>6</v>
      </c>
      <c r="Q373" s="1433">
        <v>2</v>
      </c>
      <c r="R373" s="1434">
        <f t="shared" si="99"/>
        <v>3.4</v>
      </c>
      <c r="S373" s="1435">
        <f t="shared" si="100"/>
        <v>3.5842293906810036E-3</v>
      </c>
      <c r="T373" s="1440"/>
    </row>
    <row r="374" spans="1:20" x14ac:dyDescent="0.25">
      <c r="A374" s="1445" t="s">
        <v>345</v>
      </c>
      <c r="B374" s="1430">
        <v>0</v>
      </c>
      <c r="C374" s="1430">
        <v>2</v>
      </c>
      <c r="D374" s="1430">
        <v>2</v>
      </c>
      <c r="E374" s="1431">
        <v>1</v>
      </c>
      <c r="F374" s="1430">
        <v>0</v>
      </c>
      <c r="G374" s="1431">
        <v>0</v>
      </c>
      <c r="H374" s="1432">
        <v>1</v>
      </c>
      <c r="I374" s="1432">
        <v>1</v>
      </c>
      <c r="J374" s="1432">
        <v>1</v>
      </c>
      <c r="K374" s="1432">
        <v>0</v>
      </c>
      <c r="L374" s="1432">
        <v>0</v>
      </c>
      <c r="M374" s="1433">
        <v>0</v>
      </c>
      <c r="N374" s="1433">
        <v>1</v>
      </c>
      <c r="O374" s="1433">
        <v>0</v>
      </c>
      <c r="P374" s="1433">
        <v>0</v>
      </c>
      <c r="Q374" s="1433">
        <v>1</v>
      </c>
      <c r="R374" s="1434">
        <f t="shared" si="99"/>
        <v>1</v>
      </c>
      <c r="S374" s="1435">
        <f t="shared" si="100"/>
        <v>1.7921146953405018E-3</v>
      </c>
      <c r="T374" s="1440"/>
    </row>
    <row r="375" spans="1:20" x14ac:dyDescent="0.25">
      <c r="A375" s="1457" t="s">
        <v>1492</v>
      </c>
      <c r="B375" s="1430"/>
      <c r="C375" s="1430"/>
      <c r="D375" s="1430"/>
      <c r="E375" s="1431">
        <v>0</v>
      </c>
      <c r="F375" s="1430">
        <v>0</v>
      </c>
      <c r="G375" s="1431">
        <v>0</v>
      </c>
      <c r="H375" s="1432">
        <v>0</v>
      </c>
      <c r="I375" s="1432">
        <v>0</v>
      </c>
      <c r="J375" s="1432">
        <v>4</v>
      </c>
      <c r="K375" s="1432">
        <v>2</v>
      </c>
      <c r="L375" s="1432">
        <v>7</v>
      </c>
      <c r="M375" s="1433">
        <v>3</v>
      </c>
      <c r="N375" s="1433">
        <v>4</v>
      </c>
      <c r="O375" s="1433">
        <v>6</v>
      </c>
      <c r="P375" s="1433">
        <v>0</v>
      </c>
      <c r="Q375" s="1433">
        <v>5</v>
      </c>
      <c r="R375" s="1434">
        <f t="shared" si="99"/>
        <v>4.5</v>
      </c>
      <c r="S375" s="1435">
        <f t="shared" si="100"/>
        <v>8.9605734767025085E-3</v>
      </c>
      <c r="T375" s="1440"/>
    </row>
    <row r="376" spans="1:20" x14ac:dyDescent="0.25">
      <c r="A376" s="1445" t="s">
        <v>346</v>
      </c>
      <c r="B376" s="1430">
        <v>0</v>
      </c>
      <c r="C376" s="1430">
        <v>0</v>
      </c>
      <c r="D376" s="1430">
        <v>0</v>
      </c>
      <c r="E376" s="1431">
        <v>0</v>
      </c>
      <c r="F376" s="1430">
        <v>0</v>
      </c>
      <c r="G376" s="1431">
        <v>1</v>
      </c>
      <c r="H376" s="1432">
        <v>1</v>
      </c>
      <c r="I376" s="1432">
        <v>0</v>
      </c>
      <c r="J376" s="1432">
        <v>1</v>
      </c>
      <c r="K376" s="1432">
        <v>0</v>
      </c>
      <c r="L376" s="1432">
        <v>3</v>
      </c>
      <c r="M376" s="1433">
        <v>1</v>
      </c>
      <c r="N376" s="1433">
        <v>0</v>
      </c>
      <c r="O376" s="1433">
        <v>1</v>
      </c>
      <c r="P376" s="1433">
        <v>0</v>
      </c>
      <c r="Q376" s="1433">
        <v>0</v>
      </c>
      <c r="R376" s="1434">
        <f t="shared" si="99"/>
        <v>1</v>
      </c>
      <c r="S376" s="1435">
        <f t="shared" si="100"/>
        <v>0</v>
      </c>
      <c r="T376" s="1440"/>
    </row>
    <row r="377" spans="1:20" x14ac:dyDescent="0.25">
      <c r="A377" s="1445" t="s">
        <v>347</v>
      </c>
      <c r="B377" s="1430">
        <v>1</v>
      </c>
      <c r="C377" s="1430">
        <v>3</v>
      </c>
      <c r="D377" s="1430">
        <v>1</v>
      </c>
      <c r="E377" s="1431">
        <v>0</v>
      </c>
      <c r="F377" s="1430">
        <v>2</v>
      </c>
      <c r="G377" s="1431">
        <v>0</v>
      </c>
      <c r="H377" s="1432">
        <v>1</v>
      </c>
      <c r="I377" s="1432">
        <v>0</v>
      </c>
      <c r="J377" s="1432">
        <v>1</v>
      </c>
      <c r="K377" s="1432">
        <v>0</v>
      </c>
      <c r="L377" s="1432">
        <v>2</v>
      </c>
      <c r="M377" s="1433">
        <v>1</v>
      </c>
      <c r="N377" s="1433">
        <v>1</v>
      </c>
      <c r="O377" s="1433">
        <v>0</v>
      </c>
      <c r="P377" s="1433">
        <v>1</v>
      </c>
      <c r="Q377" s="1433">
        <v>0</v>
      </c>
      <c r="R377" s="1434">
        <f t="shared" si="99"/>
        <v>1</v>
      </c>
      <c r="S377" s="1435">
        <f t="shared" si="100"/>
        <v>0</v>
      </c>
      <c r="T377" s="1440"/>
    </row>
    <row r="378" spans="1:20" x14ac:dyDescent="0.25">
      <c r="A378" s="1445" t="s">
        <v>348</v>
      </c>
      <c r="B378" s="1430">
        <v>0</v>
      </c>
      <c r="C378" s="1430">
        <v>0</v>
      </c>
      <c r="D378" s="1430">
        <v>0</v>
      </c>
      <c r="E378" s="1431">
        <v>3</v>
      </c>
      <c r="F378" s="1430">
        <v>1</v>
      </c>
      <c r="G378" s="1431">
        <v>1</v>
      </c>
      <c r="H378" s="1432">
        <v>0</v>
      </c>
      <c r="I378" s="1432">
        <v>0</v>
      </c>
      <c r="J378" s="1432">
        <v>1</v>
      </c>
      <c r="K378" s="1432">
        <v>0</v>
      </c>
      <c r="L378" s="1432">
        <v>1</v>
      </c>
      <c r="M378" s="1433">
        <v>1</v>
      </c>
      <c r="N378" s="1433">
        <v>2</v>
      </c>
      <c r="O378" s="1433">
        <v>1</v>
      </c>
      <c r="P378" s="1433">
        <v>2</v>
      </c>
      <c r="Q378" s="1433">
        <v>1</v>
      </c>
      <c r="R378" s="1434">
        <f t="shared" si="99"/>
        <v>1.4</v>
      </c>
      <c r="S378" s="1435">
        <f t="shared" si="100"/>
        <v>1.7921146953405018E-3</v>
      </c>
      <c r="T378" s="1440"/>
    </row>
    <row r="379" spans="1:20" x14ac:dyDescent="0.25">
      <c r="A379" s="1445" t="s">
        <v>1081</v>
      </c>
      <c r="B379" s="1430">
        <v>0</v>
      </c>
      <c r="C379" s="1430">
        <v>0</v>
      </c>
      <c r="D379" s="1430">
        <v>0</v>
      </c>
      <c r="E379" s="1431">
        <v>0</v>
      </c>
      <c r="F379" s="1430">
        <v>1</v>
      </c>
      <c r="G379" s="1431">
        <v>0</v>
      </c>
      <c r="H379" s="1432">
        <v>0</v>
      </c>
      <c r="I379" s="1432">
        <v>0</v>
      </c>
      <c r="J379" s="1432">
        <v>0</v>
      </c>
      <c r="K379" s="1432">
        <v>0</v>
      </c>
      <c r="L379" s="1432">
        <v>0</v>
      </c>
      <c r="M379" s="1433">
        <v>0</v>
      </c>
      <c r="N379" s="1433">
        <v>0</v>
      </c>
      <c r="O379" s="1433">
        <v>0</v>
      </c>
      <c r="P379" s="1433">
        <v>0</v>
      </c>
      <c r="Q379" s="1433">
        <v>0</v>
      </c>
      <c r="R379" s="1434" t="str">
        <f t="shared" si="99"/>
        <v xml:space="preserve"> </v>
      </c>
      <c r="S379" s="1435">
        <f t="shared" si="100"/>
        <v>0</v>
      </c>
      <c r="T379" s="1440"/>
    </row>
    <row r="380" spans="1:20" x14ac:dyDescent="0.25">
      <c r="A380" s="1445" t="s">
        <v>1082</v>
      </c>
      <c r="B380" s="1430">
        <v>0</v>
      </c>
      <c r="C380" s="1430">
        <v>0</v>
      </c>
      <c r="D380" s="1430">
        <v>0</v>
      </c>
      <c r="E380" s="1431">
        <v>0</v>
      </c>
      <c r="F380" s="1430">
        <v>1</v>
      </c>
      <c r="G380" s="1431">
        <v>0</v>
      </c>
      <c r="H380" s="1432">
        <v>0</v>
      </c>
      <c r="I380" s="1432">
        <v>0</v>
      </c>
      <c r="J380" s="1432">
        <v>0</v>
      </c>
      <c r="K380" s="1432">
        <v>0</v>
      </c>
      <c r="L380" s="1432">
        <v>0</v>
      </c>
      <c r="M380" s="1433">
        <v>0</v>
      </c>
      <c r="N380" s="1433">
        <v>1</v>
      </c>
      <c r="O380" s="1433">
        <v>0</v>
      </c>
      <c r="P380" s="1433">
        <v>0</v>
      </c>
      <c r="Q380" s="1433">
        <v>0</v>
      </c>
      <c r="R380" s="1434">
        <f t="shared" si="99"/>
        <v>1</v>
      </c>
      <c r="S380" s="1435">
        <f t="shared" si="100"/>
        <v>0</v>
      </c>
      <c r="T380" s="1440"/>
    </row>
    <row r="381" spans="1:20" x14ac:dyDescent="0.25">
      <c r="A381" s="1445" t="s">
        <v>349</v>
      </c>
      <c r="B381" s="1430">
        <v>4</v>
      </c>
      <c r="C381" s="1430">
        <v>1</v>
      </c>
      <c r="D381" s="1430">
        <v>0</v>
      </c>
      <c r="E381" s="1431">
        <v>1</v>
      </c>
      <c r="F381" s="1430">
        <v>1</v>
      </c>
      <c r="G381" s="1431">
        <v>0</v>
      </c>
      <c r="H381" s="1432">
        <v>2</v>
      </c>
      <c r="I381" s="1432">
        <v>0</v>
      </c>
      <c r="J381" s="1432">
        <v>2</v>
      </c>
      <c r="K381" s="1432">
        <v>0</v>
      </c>
      <c r="L381" s="1432">
        <v>4</v>
      </c>
      <c r="M381" s="1433">
        <v>3</v>
      </c>
      <c r="N381" s="1433">
        <v>2</v>
      </c>
      <c r="O381" s="1433">
        <v>4</v>
      </c>
      <c r="P381" s="1433">
        <v>6</v>
      </c>
      <c r="Q381" s="1433">
        <v>2</v>
      </c>
      <c r="R381" s="1434">
        <f t="shared" si="99"/>
        <v>3.4</v>
      </c>
      <c r="S381" s="1435">
        <f t="shared" si="100"/>
        <v>3.5842293906810036E-3</v>
      </c>
      <c r="T381" s="1440"/>
    </row>
    <row r="382" spans="1:20" x14ac:dyDescent="0.25">
      <c r="A382" s="1445" t="s">
        <v>350</v>
      </c>
      <c r="B382" s="1430">
        <v>4</v>
      </c>
      <c r="C382" s="1430">
        <v>1</v>
      </c>
      <c r="D382" s="1430">
        <v>6</v>
      </c>
      <c r="E382" s="1431">
        <v>5</v>
      </c>
      <c r="F382" s="1430">
        <v>2</v>
      </c>
      <c r="G382" s="1431">
        <v>5</v>
      </c>
      <c r="H382" s="1432">
        <v>2</v>
      </c>
      <c r="I382" s="1432">
        <v>5</v>
      </c>
      <c r="J382" s="1432">
        <v>5</v>
      </c>
      <c r="K382" s="1432">
        <v>4</v>
      </c>
      <c r="L382" s="1432">
        <v>5</v>
      </c>
      <c r="M382" s="1433">
        <v>8</v>
      </c>
      <c r="N382" s="1433">
        <v>1</v>
      </c>
      <c r="O382" s="1433">
        <v>10</v>
      </c>
      <c r="P382" s="1433">
        <v>9</v>
      </c>
      <c r="Q382" s="1433">
        <v>6</v>
      </c>
      <c r="R382" s="1434">
        <f t="shared" si="99"/>
        <v>6.8</v>
      </c>
      <c r="S382" s="1435">
        <f t="shared" si="100"/>
        <v>1.0752688172043012E-2</v>
      </c>
      <c r="T382" s="1440"/>
    </row>
    <row r="383" spans="1:20" x14ac:dyDescent="0.25">
      <c r="A383" s="1445" t="s">
        <v>351</v>
      </c>
      <c r="B383" s="1430">
        <v>1</v>
      </c>
      <c r="C383" s="1430">
        <v>0</v>
      </c>
      <c r="D383" s="1430">
        <v>1</v>
      </c>
      <c r="E383" s="1431">
        <v>0</v>
      </c>
      <c r="F383" s="1430">
        <v>4</v>
      </c>
      <c r="G383" s="1431">
        <v>0</v>
      </c>
      <c r="H383" s="1432">
        <v>1</v>
      </c>
      <c r="I383" s="1432">
        <v>0</v>
      </c>
      <c r="J383" s="1432">
        <v>0</v>
      </c>
      <c r="K383" s="1432">
        <v>0</v>
      </c>
      <c r="L383" s="1432">
        <v>1</v>
      </c>
      <c r="M383" s="1433">
        <v>5</v>
      </c>
      <c r="N383" s="1433">
        <v>1</v>
      </c>
      <c r="O383" s="1433">
        <v>0</v>
      </c>
      <c r="P383" s="1433">
        <v>0</v>
      </c>
      <c r="Q383" s="1433">
        <v>0</v>
      </c>
      <c r="R383" s="1434">
        <f t="shared" si="99"/>
        <v>3</v>
      </c>
      <c r="S383" s="1435">
        <f t="shared" si="100"/>
        <v>0</v>
      </c>
      <c r="T383" s="1440"/>
    </row>
    <row r="384" spans="1:20" x14ac:dyDescent="0.25">
      <c r="A384" s="1445" t="s">
        <v>352</v>
      </c>
      <c r="B384" s="1430">
        <v>0</v>
      </c>
      <c r="C384" s="1430">
        <v>0</v>
      </c>
      <c r="D384" s="1430">
        <v>0</v>
      </c>
      <c r="E384" s="1431">
        <v>0</v>
      </c>
      <c r="F384" s="1430">
        <v>0</v>
      </c>
      <c r="G384" s="1431">
        <v>0</v>
      </c>
      <c r="H384" s="1432">
        <v>0</v>
      </c>
      <c r="I384" s="1432">
        <v>0</v>
      </c>
      <c r="J384" s="1432">
        <v>0</v>
      </c>
      <c r="K384" s="1432">
        <v>0</v>
      </c>
      <c r="L384" s="1432">
        <v>0</v>
      </c>
      <c r="M384" s="1433">
        <v>0</v>
      </c>
      <c r="N384" s="1433">
        <v>0</v>
      </c>
      <c r="O384" s="1433">
        <v>0</v>
      </c>
      <c r="P384" s="1433">
        <v>0</v>
      </c>
      <c r="Q384" s="1433">
        <v>0</v>
      </c>
      <c r="R384" s="1434" t="str">
        <f t="shared" si="99"/>
        <v xml:space="preserve"> </v>
      </c>
      <c r="S384" s="1435">
        <f t="shared" si="100"/>
        <v>0</v>
      </c>
      <c r="T384" s="1440"/>
    </row>
    <row r="385" spans="1:20" x14ac:dyDescent="0.25">
      <c r="A385" s="1445" t="s">
        <v>353</v>
      </c>
      <c r="B385" s="1430">
        <v>0</v>
      </c>
      <c r="C385" s="1430">
        <v>0</v>
      </c>
      <c r="D385" s="1430">
        <v>0</v>
      </c>
      <c r="E385" s="1431">
        <v>0</v>
      </c>
      <c r="F385" s="1430">
        <v>1</v>
      </c>
      <c r="G385" s="1431">
        <v>0</v>
      </c>
      <c r="H385" s="1432">
        <v>0</v>
      </c>
      <c r="I385" s="1432">
        <v>0</v>
      </c>
      <c r="J385" s="1432">
        <v>0</v>
      </c>
      <c r="K385" s="1432">
        <v>0</v>
      </c>
      <c r="L385" s="1432">
        <v>0</v>
      </c>
      <c r="M385" s="1432">
        <v>0</v>
      </c>
      <c r="N385" s="1432">
        <v>0</v>
      </c>
      <c r="O385" s="1432">
        <v>0</v>
      </c>
      <c r="P385" s="1432">
        <v>0</v>
      </c>
      <c r="Q385" s="1432">
        <v>0</v>
      </c>
      <c r="R385" s="1434" t="str">
        <f t="shared" si="99"/>
        <v xml:space="preserve"> </v>
      </c>
      <c r="S385" s="1435">
        <f t="shared" si="100"/>
        <v>0</v>
      </c>
      <c r="T385" s="1440"/>
    </row>
    <row r="386" spans="1:20" x14ac:dyDescent="0.25">
      <c r="A386" s="1445" t="s">
        <v>354</v>
      </c>
      <c r="B386" s="1430">
        <v>0</v>
      </c>
      <c r="C386" s="1430">
        <v>0</v>
      </c>
      <c r="D386" s="1430">
        <v>0</v>
      </c>
      <c r="E386" s="1431">
        <v>0</v>
      </c>
      <c r="F386" s="1430">
        <v>0</v>
      </c>
      <c r="G386" s="1431">
        <v>0</v>
      </c>
      <c r="H386" s="1432">
        <v>0</v>
      </c>
      <c r="I386" s="1432">
        <v>0</v>
      </c>
      <c r="J386" s="1432">
        <v>1</v>
      </c>
      <c r="K386" s="1432">
        <v>0</v>
      </c>
      <c r="L386" s="1432">
        <v>0</v>
      </c>
      <c r="M386" s="1432">
        <v>0</v>
      </c>
      <c r="N386" s="1432">
        <v>0</v>
      </c>
      <c r="O386" s="1432">
        <v>0</v>
      </c>
      <c r="P386" s="1432">
        <v>0</v>
      </c>
      <c r="Q386" s="1432">
        <v>0</v>
      </c>
      <c r="R386" s="1434" t="str">
        <f t="shared" si="99"/>
        <v xml:space="preserve"> </v>
      </c>
      <c r="S386" s="1435">
        <f t="shared" si="100"/>
        <v>0</v>
      </c>
      <c r="T386" s="1440"/>
    </row>
    <row r="387" spans="1:20" x14ac:dyDescent="0.25">
      <c r="A387" s="1445" t="s">
        <v>355</v>
      </c>
      <c r="B387" s="1430">
        <v>0</v>
      </c>
      <c r="C387" s="1430">
        <v>2</v>
      </c>
      <c r="D387" s="1430">
        <v>2</v>
      </c>
      <c r="E387" s="1431">
        <v>1</v>
      </c>
      <c r="F387" s="1430">
        <v>3</v>
      </c>
      <c r="G387" s="1431">
        <v>1</v>
      </c>
      <c r="H387" s="1432">
        <v>2</v>
      </c>
      <c r="I387" s="1432">
        <v>0</v>
      </c>
      <c r="J387" s="1432">
        <v>2</v>
      </c>
      <c r="K387" s="1432">
        <v>1</v>
      </c>
      <c r="L387" s="1432">
        <v>2</v>
      </c>
      <c r="M387" s="1433">
        <v>3</v>
      </c>
      <c r="N387" s="1433">
        <v>4</v>
      </c>
      <c r="O387" s="1433">
        <v>1</v>
      </c>
      <c r="P387" s="1433">
        <v>0</v>
      </c>
      <c r="Q387" s="1433">
        <v>0</v>
      </c>
      <c r="R387" s="1434">
        <f t="shared" si="99"/>
        <v>2.6666666666666665</v>
      </c>
      <c r="S387" s="1435">
        <f t="shared" si="100"/>
        <v>0</v>
      </c>
      <c r="T387" s="1440"/>
    </row>
    <row r="388" spans="1:20" x14ac:dyDescent="0.25">
      <c r="A388" s="1445" t="s">
        <v>356</v>
      </c>
      <c r="B388" s="1430">
        <v>4</v>
      </c>
      <c r="C388" s="1430">
        <v>2</v>
      </c>
      <c r="D388" s="1430">
        <v>5</v>
      </c>
      <c r="E388" s="1431">
        <v>3</v>
      </c>
      <c r="F388" s="1430">
        <v>5</v>
      </c>
      <c r="G388" s="1431">
        <v>1</v>
      </c>
      <c r="H388" s="1432">
        <v>2</v>
      </c>
      <c r="I388" s="1432">
        <v>1</v>
      </c>
      <c r="J388" s="1432">
        <v>2</v>
      </c>
      <c r="K388" s="1432">
        <v>2</v>
      </c>
      <c r="L388" s="1432">
        <v>3</v>
      </c>
      <c r="M388" s="1433">
        <v>1</v>
      </c>
      <c r="N388" s="1433">
        <v>4</v>
      </c>
      <c r="O388" s="1433">
        <v>3</v>
      </c>
      <c r="P388" s="1433">
        <v>3</v>
      </c>
      <c r="Q388" s="1433">
        <v>4</v>
      </c>
      <c r="R388" s="1434">
        <f t="shared" si="99"/>
        <v>3</v>
      </c>
      <c r="S388" s="1435">
        <f t="shared" si="100"/>
        <v>7.1684587813620072E-3</v>
      </c>
      <c r="T388" s="1440"/>
    </row>
    <row r="389" spans="1:20" x14ac:dyDescent="0.25">
      <c r="A389" s="1457" t="s">
        <v>1493</v>
      </c>
      <c r="B389" s="1430">
        <v>0</v>
      </c>
      <c r="C389" s="1430">
        <v>0</v>
      </c>
      <c r="D389" s="1430">
        <v>0</v>
      </c>
      <c r="E389" s="1431">
        <v>0</v>
      </c>
      <c r="F389" s="1430">
        <v>0</v>
      </c>
      <c r="G389" s="1431">
        <v>0</v>
      </c>
      <c r="H389" s="1432">
        <v>0</v>
      </c>
      <c r="I389" s="1432">
        <v>0</v>
      </c>
      <c r="J389" s="1432">
        <v>0</v>
      </c>
      <c r="K389" s="1432">
        <v>0</v>
      </c>
      <c r="L389" s="1432">
        <v>0</v>
      </c>
      <c r="M389" s="1433">
        <v>1</v>
      </c>
      <c r="N389" s="1433">
        <v>1</v>
      </c>
      <c r="O389" s="1433">
        <v>0</v>
      </c>
      <c r="P389" s="1433">
        <v>1</v>
      </c>
      <c r="Q389" s="1433">
        <v>0</v>
      </c>
      <c r="R389" s="1434">
        <f t="shared" si="99"/>
        <v>1</v>
      </c>
      <c r="S389" s="1435">
        <f t="shared" si="100"/>
        <v>0</v>
      </c>
      <c r="T389" s="1440"/>
    </row>
    <row r="390" spans="1:20" x14ac:dyDescent="0.25">
      <c r="A390" s="1445" t="s">
        <v>357</v>
      </c>
      <c r="B390" s="1430">
        <v>5</v>
      </c>
      <c r="C390" s="1430">
        <v>1</v>
      </c>
      <c r="D390" s="1430">
        <v>0</v>
      </c>
      <c r="E390" s="1431">
        <v>8</v>
      </c>
      <c r="F390" s="1430">
        <v>5</v>
      </c>
      <c r="G390" s="1431">
        <v>2</v>
      </c>
      <c r="H390" s="1432">
        <v>0</v>
      </c>
      <c r="I390" s="1432">
        <v>2</v>
      </c>
      <c r="J390" s="1432">
        <v>2</v>
      </c>
      <c r="K390" s="1432">
        <v>1</v>
      </c>
      <c r="L390" s="1432">
        <v>3</v>
      </c>
      <c r="M390" s="1433">
        <v>3</v>
      </c>
      <c r="N390" s="1433">
        <v>5</v>
      </c>
      <c r="O390" s="1433">
        <v>4</v>
      </c>
      <c r="P390" s="1433">
        <v>5</v>
      </c>
      <c r="Q390" s="1433">
        <v>1</v>
      </c>
      <c r="R390" s="1434">
        <f t="shared" si="99"/>
        <v>3.6</v>
      </c>
      <c r="S390" s="1435">
        <f t="shared" si="100"/>
        <v>1.7921146953405018E-3</v>
      </c>
      <c r="T390" s="1440"/>
    </row>
    <row r="391" spans="1:20" x14ac:dyDescent="0.25">
      <c r="A391" s="1457" t="s">
        <v>1494</v>
      </c>
      <c r="B391" s="1430"/>
      <c r="C391" s="1430"/>
      <c r="D391" s="1430"/>
      <c r="E391" s="1431">
        <v>0</v>
      </c>
      <c r="F391" s="1430">
        <v>0</v>
      </c>
      <c r="G391" s="1431">
        <v>0</v>
      </c>
      <c r="H391" s="1432">
        <v>0</v>
      </c>
      <c r="I391" s="1432">
        <v>0</v>
      </c>
      <c r="J391" s="1432">
        <v>2</v>
      </c>
      <c r="K391" s="1432">
        <v>1</v>
      </c>
      <c r="L391" s="1432">
        <v>0</v>
      </c>
      <c r="M391" s="1433">
        <v>2</v>
      </c>
      <c r="N391" s="1433">
        <v>1</v>
      </c>
      <c r="O391" s="1433">
        <v>0</v>
      </c>
      <c r="P391" s="1433">
        <v>1</v>
      </c>
      <c r="Q391" s="1433">
        <v>0</v>
      </c>
      <c r="R391" s="1434">
        <f t="shared" si="99"/>
        <v>1.3333333333333333</v>
      </c>
      <c r="S391" s="1435">
        <f t="shared" si="100"/>
        <v>0</v>
      </c>
      <c r="T391" s="1440"/>
    </row>
    <row r="392" spans="1:20" x14ac:dyDescent="0.25">
      <c r="A392" s="1445" t="s">
        <v>358</v>
      </c>
      <c r="B392" s="1430">
        <v>4</v>
      </c>
      <c r="C392" s="1430">
        <v>1</v>
      </c>
      <c r="D392" s="1430">
        <v>1</v>
      </c>
      <c r="E392" s="1431">
        <v>6</v>
      </c>
      <c r="F392" s="1430">
        <v>6</v>
      </c>
      <c r="G392" s="1431">
        <v>3</v>
      </c>
      <c r="H392" s="1432">
        <v>2</v>
      </c>
      <c r="I392" s="1432">
        <v>3</v>
      </c>
      <c r="J392" s="1432">
        <v>1</v>
      </c>
      <c r="K392" s="1432">
        <v>4</v>
      </c>
      <c r="L392" s="1432">
        <v>13</v>
      </c>
      <c r="M392" s="1433">
        <v>13</v>
      </c>
      <c r="N392" s="1433">
        <v>4</v>
      </c>
      <c r="O392" s="1433">
        <v>10</v>
      </c>
      <c r="P392" s="1433">
        <v>4</v>
      </c>
      <c r="Q392" s="1433">
        <v>13</v>
      </c>
      <c r="R392" s="1434">
        <f t="shared" si="99"/>
        <v>8.8000000000000007</v>
      </c>
      <c r="S392" s="1435">
        <f t="shared" si="100"/>
        <v>2.3297491039426525E-2</v>
      </c>
      <c r="T392" s="1440"/>
    </row>
    <row r="393" spans="1:20" x14ac:dyDescent="0.25">
      <c r="A393" s="1457" t="s">
        <v>1495</v>
      </c>
      <c r="B393" s="1430">
        <v>0</v>
      </c>
      <c r="C393" s="1430">
        <v>0</v>
      </c>
      <c r="D393" s="1430">
        <v>0</v>
      </c>
      <c r="E393" s="1431">
        <v>0</v>
      </c>
      <c r="F393" s="1430">
        <v>0</v>
      </c>
      <c r="G393" s="1431">
        <v>0</v>
      </c>
      <c r="H393" s="1432">
        <v>0</v>
      </c>
      <c r="I393" s="1432">
        <v>0</v>
      </c>
      <c r="J393" s="1432">
        <v>0</v>
      </c>
      <c r="K393" s="1432">
        <v>0</v>
      </c>
      <c r="L393" s="1432">
        <v>0</v>
      </c>
      <c r="M393" s="1433">
        <v>1</v>
      </c>
      <c r="N393" s="1433">
        <v>0</v>
      </c>
      <c r="O393" s="1433">
        <v>0</v>
      </c>
      <c r="P393" s="1433">
        <v>3</v>
      </c>
      <c r="Q393" s="1433">
        <v>1</v>
      </c>
      <c r="R393" s="1434">
        <f t="shared" si="99"/>
        <v>1.6666666666666667</v>
      </c>
      <c r="S393" s="1435">
        <f t="shared" si="100"/>
        <v>1.7921146953405018E-3</v>
      </c>
      <c r="T393" s="1440"/>
    </row>
    <row r="394" spans="1:20" x14ac:dyDescent="0.25">
      <c r="A394" s="1445" t="s">
        <v>359</v>
      </c>
      <c r="B394" s="1430">
        <v>0</v>
      </c>
      <c r="C394" s="1430">
        <v>0</v>
      </c>
      <c r="D394" s="1430">
        <v>0</v>
      </c>
      <c r="E394" s="1431">
        <v>0</v>
      </c>
      <c r="F394" s="1430">
        <v>0</v>
      </c>
      <c r="G394" s="1431">
        <v>0</v>
      </c>
      <c r="H394" s="1432">
        <v>0</v>
      </c>
      <c r="I394" s="1432">
        <v>0</v>
      </c>
      <c r="J394" s="1432">
        <v>0</v>
      </c>
      <c r="K394" s="1432">
        <v>0</v>
      </c>
      <c r="L394" s="1432">
        <v>0</v>
      </c>
      <c r="M394" s="1433">
        <v>0</v>
      </c>
      <c r="N394" s="1433">
        <v>0</v>
      </c>
      <c r="O394" s="1433">
        <v>0</v>
      </c>
      <c r="P394" s="1433">
        <v>0</v>
      </c>
      <c r="Q394" s="1433">
        <v>0</v>
      </c>
      <c r="R394" s="1434" t="str">
        <f t="shared" si="99"/>
        <v xml:space="preserve"> </v>
      </c>
      <c r="S394" s="1435">
        <f t="shared" si="100"/>
        <v>0</v>
      </c>
      <c r="T394" s="1440"/>
    </row>
    <row r="395" spans="1:20" x14ac:dyDescent="0.25">
      <c r="A395" s="1445" t="s">
        <v>360</v>
      </c>
      <c r="B395" s="1430">
        <v>1</v>
      </c>
      <c r="C395" s="1430">
        <v>1</v>
      </c>
      <c r="D395" s="1430">
        <v>1</v>
      </c>
      <c r="E395" s="1431">
        <v>3</v>
      </c>
      <c r="F395" s="1430">
        <v>6</v>
      </c>
      <c r="G395" s="1431">
        <v>2</v>
      </c>
      <c r="H395" s="1432">
        <v>3</v>
      </c>
      <c r="I395" s="1432">
        <v>0</v>
      </c>
      <c r="J395" s="1432">
        <v>1</v>
      </c>
      <c r="K395" s="1432">
        <v>1</v>
      </c>
      <c r="L395" s="1432">
        <v>5</v>
      </c>
      <c r="M395" s="1433">
        <v>1</v>
      </c>
      <c r="N395" s="1433">
        <v>7</v>
      </c>
      <c r="O395" s="1433">
        <v>9</v>
      </c>
      <c r="P395" s="1433">
        <v>5</v>
      </c>
      <c r="Q395" s="1433">
        <v>5</v>
      </c>
      <c r="R395" s="1434">
        <f t="shared" si="99"/>
        <v>5.4</v>
      </c>
      <c r="S395" s="1435">
        <f t="shared" si="100"/>
        <v>8.9605734767025085E-3</v>
      </c>
      <c r="T395" s="1440"/>
    </row>
    <row r="396" spans="1:20" x14ac:dyDescent="0.25">
      <c r="A396" s="1445" t="s">
        <v>361</v>
      </c>
      <c r="B396" s="1430">
        <v>0</v>
      </c>
      <c r="C396" s="1430">
        <v>0</v>
      </c>
      <c r="D396" s="1430">
        <v>0</v>
      </c>
      <c r="E396" s="1431">
        <v>0</v>
      </c>
      <c r="F396" s="1430">
        <v>0</v>
      </c>
      <c r="G396" s="1431">
        <v>0</v>
      </c>
      <c r="H396" s="1432">
        <v>0</v>
      </c>
      <c r="I396" s="1432">
        <v>0</v>
      </c>
      <c r="J396" s="1432">
        <v>0</v>
      </c>
      <c r="K396" s="1432">
        <v>0</v>
      </c>
      <c r="L396" s="1432">
        <v>0</v>
      </c>
      <c r="M396" s="1432">
        <v>0</v>
      </c>
      <c r="N396" s="1432">
        <v>0</v>
      </c>
      <c r="O396" s="1432">
        <v>0</v>
      </c>
      <c r="P396" s="1432">
        <v>0</v>
      </c>
      <c r="Q396" s="1432">
        <v>0</v>
      </c>
      <c r="R396" s="1434" t="str">
        <f t="shared" si="99"/>
        <v xml:space="preserve"> </v>
      </c>
      <c r="S396" s="1435">
        <f t="shared" si="100"/>
        <v>0</v>
      </c>
      <c r="T396" s="1440"/>
    </row>
    <row r="397" spans="1:20" x14ac:dyDescent="0.25">
      <c r="A397" s="1445" t="s">
        <v>1773</v>
      </c>
      <c r="B397" s="1430"/>
      <c r="C397" s="1430"/>
      <c r="D397" s="1430"/>
      <c r="E397" s="2027"/>
      <c r="F397" s="1430"/>
      <c r="G397" s="2027"/>
      <c r="H397" s="2023"/>
      <c r="I397" s="2023"/>
      <c r="J397" s="2023"/>
      <c r="K397" s="2023"/>
      <c r="L397" s="2023"/>
      <c r="M397" s="2023"/>
      <c r="N397" s="2023"/>
      <c r="O397" s="2023"/>
      <c r="P397" s="2023"/>
      <c r="Q397" s="2023">
        <v>3</v>
      </c>
      <c r="R397" s="1434">
        <f t="shared" si="99"/>
        <v>3</v>
      </c>
      <c r="S397" s="1435">
        <f t="shared" si="100"/>
        <v>5.3763440860215058E-3</v>
      </c>
      <c r="T397" s="1440"/>
    </row>
    <row r="398" spans="1:20" x14ac:dyDescent="0.25">
      <c r="A398" s="1449" t="s">
        <v>36</v>
      </c>
      <c r="B398" s="1437">
        <f>SUM(B372:B397)</f>
        <v>25</v>
      </c>
      <c r="C398" s="1437">
        <f t="shared" ref="C398:Q398" si="101">SUM(C372:C397)</f>
        <v>14</v>
      </c>
      <c r="D398" s="1437">
        <f t="shared" si="101"/>
        <v>21</v>
      </c>
      <c r="E398" s="1437">
        <f t="shared" si="101"/>
        <v>33</v>
      </c>
      <c r="F398" s="1437">
        <f t="shared" si="101"/>
        <v>44</v>
      </c>
      <c r="G398" s="1437">
        <f t="shared" si="101"/>
        <v>18</v>
      </c>
      <c r="H398" s="1437">
        <f t="shared" si="101"/>
        <v>23</v>
      </c>
      <c r="I398" s="1437">
        <f t="shared" si="101"/>
        <v>14</v>
      </c>
      <c r="J398" s="1437">
        <f t="shared" si="101"/>
        <v>27</v>
      </c>
      <c r="K398" s="1437">
        <f t="shared" si="101"/>
        <v>20</v>
      </c>
      <c r="L398" s="1437">
        <f t="shared" si="101"/>
        <v>54</v>
      </c>
      <c r="M398" s="1437">
        <f t="shared" si="101"/>
        <v>52</v>
      </c>
      <c r="N398" s="1437">
        <f t="shared" si="101"/>
        <v>42</v>
      </c>
      <c r="O398" s="1437">
        <f t="shared" si="101"/>
        <v>50</v>
      </c>
      <c r="P398" s="1437">
        <f t="shared" si="101"/>
        <v>46</v>
      </c>
      <c r="Q398" s="1437">
        <f t="shared" si="101"/>
        <v>44</v>
      </c>
      <c r="R398" s="1434">
        <f t="shared" si="99"/>
        <v>46.8</v>
      </c>
      <c r="S398" s="1439">
        <f t="shared" si="100"/>
        <v>7.8853046594982074E-2</v>
      </c>
      <c r="T398" s="1440"/>
    </row>
    <row r="399" spans="1:20" x14ac:dyDescent="0.25">
      <c r="A399" s="1478" t="s">
        <v>362</v>
      </c>
      <c r="B399" s="1425" t="s">
        <v>908</v>
      </c>
      <c r="C399" s="1425" t="s">
        <v>617</v>
      </c>
      <c r="D399" s="1425" t="s">
        <v>1360</v>
      </c>
      <c r="E399" s="1426" t="s">
        <v>592</v>
      </c>
      <c r="F399" s="1425" t="s">
        <v>921</v>
      </c>
      <c r="G399" s="1426" t="s">
        <v>676</v>
      </c>
      <c r="H399" s="1427" t="s">
        <v>777</v>
      </c>
      <c r="I399" s="1428" t="s">
        <v>969</v>
      </c>
      <c r="J399" s="1428" t="s">
        <v>1419</v>
      </c>
      <c r="K399" s="1428" t="s">
        <v>1443</v>
      </c>
      <c r="L399" s="1480" t="s">
        <v>1444</v>
      </c>
      <c r="M399" s="1477" t="s">
        <v>1445</v>
      </c>
      <c r="N399" s="1477" t="s">
        <v>1566</v>
      </c>
      <c r="O399" s="1477" t="s">
        <v>1613</v>
      </c>
      <c r="P399" s="1477" t="s">
        <v>1660</v>
      </c>
      <c r="Q399" s="1477" t="s">
        <v>1749</v>
      </c>
      <c r="R399" s="1481" t="s">
        <v>31</v>
      </c>
      <c r="S399" s="1481" t="s">
        <v>32</v>
      </c>
      <c r="T399" s="1440"/>
    </row>
    <row r="400" spans="1:20" x14ac:dyDescent="0.25">
      <c r="A400" s="1445" t="s">
        <v>363</v>
      </c>
      <c r="B400" s="1430">
        <v>9</v>
      </c>
      <c r="C400" s="1430">
        <v>7</v>
      </c>
      <c r="D400" s="1430">
        <v>4</v>
      </c>
      <c r="E400" s="1431">
        <v>4</v>
      </c>
      <c r="F400" s="1430">
        <v>9</v>
      </c>
      <c r="G400" s="1431">
        <v>7</v>
      </c>
      <c r="H400" s="1432">
        <v>5</v>
      </c>
      <c r="I400" s="1432">
        <v>9</v>
      </c>
      <c r="J400" s="1432">
        <v>10</v>
      </c>
      <c r="K400" s="1432">
        <v>7</v>
      </c>
      <c r="L400" s="1432">
        <v>3</v>
      </c>
      <c r="M400" s="1433">
        <v>3</v>
      </c>
      <c r="N400" s="1433">
        <v>2</v>
      </c>
      <c r="O400" s="1433">
        <v>1</v>
      </c>
      <c r="P400" s="1433">
        <v>6</v>
      </c>
      <c r="Q400" s="1433">
        <v>7</v>
      </c>
      <c r="R400" s="1434">
        <f>IF(Q400+P400+O400+N400+M400=0," ",AVERAGEIF(M400:Q400,"&lt;&gt;0"))</f>
        <v>3.8</v>
      </c>
      <c r="S400" s="1435">
        <f>+Q400/$Q$466</f>
        <v>1.2544802867383513E-2</v>
      </c>
      <c r="T400" s="1440"/>
    </row>
    <row r="401" spans="1:20" x14ac:dyDescent="0.25">
      <c r="A401" s="1445" t="s">
        <v>1774</v>
      </c>
      <c r="B401" s="2032"/>
      <c r="C401" s="1430"/>
      <c r="D401" s="1430"/>
      <c r="E401" s="2027"/>
      <c r="F401" s="1430"/>
      <c r="G401" s="2027"/>
      <c r="H401" s="2023"/>
      <c r="I401" s="2023"/>
      <c r="J401" s="2023"/>
      <c r="K401" s="2023"/>
      <c r="L401" s="2023"/>
      <c r="M401" s="2021"/>
      <c r="N401" s="2021"/>
      <c r="O401" s="2021"/>
      <c r="P401" s="2021"/>
      <c r="Q401" s="2021">
        <v>1</v>
      </c>
      <c r="R401" s="1434">
        <f>IF(Q401+P401+O401+N401+M401=0," ",AVERAGEIF(M401:Q401,"&lt;&gt;0"))</f>
        <v>1</v>
      </c>
      <c r="S401" s="1435">
        <f>+Q401/$Q$466</f>
        <v>1.7921146953405018E-3</v>
      </c>
      <c r="T401" s="1440"/>
    </row>
    <row r="402" spans="1:20" x14ac:dyDescent="0.25">
      <c r="A402" s="1449" t="s">
        <v>36</v>
      </c>
      <c r="B402" s="1437">
        <f>SUM(B400:B401)</f>
        <v>9</v>
      </c>
      <c r="C402" s="1437">
        <f t="shared" ref="C402:Q402" si="102">SUM(C400:C401)</f>
        <v>7</v>
      </c>
      <c r="D402" s="1437">
        <f t="shared" si="102"/>
        <v>4</v>
      </c>
      <c r="E402" s="1437">
        <f t="shared" si="102"/>
        <v>4</v>
      </c>
      <c r="F402" s="1437">
        <f t="shared" si="102"/>
        <v>9</v>
      </c>
      <c r="G402" s="1437">
        <f t="shared" si="102"/>
        <v>7</v>
      </c>
      <c r="H402" s="1437">
        <f t="shared" si="102"/>
        <v>5</v>
      </c>
      <c r="I402" s="1437">
        <f t="shared" si="102"/>
        <v>9</v>
      </c>
      <c r="J402" s="1437">
        <f t="shared" si="102"/>
        <v>10</v>
      </c>
      <c r="K402" s="1437">
        <f t="shared" si="102"/>
        <v>7</v>
      </c>
      <c r="L402" s="1437">
        <f t="shared" si="102"/>
        <v>3</v>
      </c>
      <c r="M402" s="2033">
        <f t="shared" si="102"/>
        <v>3</v>
      </c>
      <c r="N402" s="2033">
        <f t="shared" si="102"/>
        <v>2</v>
      </c>
      <c r="O402" s="2033">
        <f t="shared" si="102"/>
        <v>1</v>
      </c>
      <c r="P402" s="2033">
        <f t="shared" si="102"/>
        <v>6</v>
      </c>
      <c r="Q402" s="1454">
        <f t="shared" si="102"/>
        <v>8</v>
      </c>
      <c r="R402" s="1434">
        <f>IF(Q402+P402+O402+N402+M402=0," ",AVERAGEIF(M402:Q402,"&lt;&gt;0"))</f>
        <v>4</v>
      </c>
      <c r="S402" s="1439">
        <f>+Q402/$Q$466</f>
        <v>1.4336917562724014E-2</v>
      </c>
      <c r="T402" s="1440"/>
    </row>
    <row r="403" spans="1:20" x14ac:dyDescent="0.25">
      <c r="A403" s="1478" t="s">
        <v>364</v>
      </c>
      <c r="B403" s="1425" t="s">
        <v>908</v>
      </c>
      <c r="C403" s="1425" t="s">
        <v>617</v>
      </c>
      <c r="D403" s="1425" t="s">
        <v>1360</v>
      </c>
      <c r="E403" s="1426" t="s">
        <v>592</v>
      </c>
      <c r="F403" s="1425" t="s">
        <v>921</v>
      </c>
      <c r="G403" s="1426" t="s">
        <v>676</v>
      </c>
      <c r="H403" s="1427" t="s">
        <v>777</v>
      </c>
      <c r="I403" s="1428" t="s">
        <v>969</v>
      </c>
      <c r="J403" s="1428" t="s">
        <v>1419</v>
      </c>
      <c r="K403" s="1428" t="s">
        <v>1443</v>
      </c>
      <c r="L403" s="1480" t="s">
        <v>1444</v>
      </c>
      <c r="M403" s="1477" t="s">
        <v>1445</v>
      </c>
      <c r="N403" s="1477" t="s">
        <v>1566</v>
      </c>
      <c r="O403" s="1477" t="s">
        <v>1613</v>
      </c>
      <c r="P403" s="1477" t="s">
        <v>1660</v>
      </c>
      <c r="Q403" s="1477" t="s">
        <v>1749</v>
      </c>
      <c r="R403" s="1481" t="s">
        <v>31</v>
      </c>
      <c r="S403" s="1481" t="s">
        <v>32</v>
      </c>
      <c r="T403" s="1440"/>
    </row>
    <row r="404" spans="1:20" x14ac:dyDescent="0.25">
      <c r="A404" s="1445" t="s">
        <v>365</v>
      </c>
      <c r="B404" s="1430">
        <v>1</v>
      </c>
      <c r="C404" s="1430">
        <v>4</v>
      </c>
      <c r="D404" s="1430">
        <v>2</v>
      </c>
      <c r="E404" s="1431">
        <v>2</v>
      </c>
      <c r="F404" s="1430">
        <v>7</v>
      </c>
      <c r="G404" s="1431">
        <v>4</v>
      </c>
      <c r="H404" s="1432">
        <v>1</v>
      </c>
      <c r="I404" s="1432">
        <v>3</v>
      </c>
      <c r="J404" s="1432">
        <v>9</v>
      </c>
      <c r="K404" s="1432">
        <v>12</v>
      </c>
      <c r="L404" s="1432">
        <v>8</v>
      </c>
      <c r="M404" s="1433">
        <v>4</v>
      </c>
      <c r="N404" s="1433">
        <v>3</v>
      </c>
      <c r="O404" s="1433">
        <v>3</v>
      </c>
      <c r="P404" s="1433">
        <v>1</v>
      </c>
      <c r="Q404" s="1433">
        <v>2</v>
      </c>
      <c r="R404" s="1434">
        <f t="shared" ref="R404:R420" si="103">IF(Q404+P404+O404+N404+M404=0," ",AVERAGEIF(M404:Q404,"&lt;&gt;0"))</f>
        <v>2.6</v>
      </c>
      <c r="S404" s="1435">
        <f t="shared" ref="S404:S420" si="104">+Q404/$Q$466</f>
        <v>3.5842293906810036E-3</v>
      </c>
      <c r="T404" s="1440"/>
    </row>
    <row r="405" spans="1:20" x14ac:dyDescent="0.25">
      <c r="A405" s="1445" t="s">
        <v>366</v>
      </c>
      <c r="B405" s="1430">
        <v>0</v>
      </c>
      <c r="C405" s="1430">
        <v>5</v>
      </c>
      <c r="D405" s="1430">
        <v>0</v>
      </c>
      <c r="E405" s="1431">
        <v>2</v>
      </c>
      <c r="F405" s="1430">
        <v>3</v>
      </c>
      <c r="G405" s="1431">
        <v>0</v>
      </c>
      <c r="H405" s="1432">
        <v>4</v>
      </c>
      <c r="I405" s="1432">
        <v>0</v>
      </c>
      <c r="J405" s="1432">
        <v>0</v>
      </c>
      <c r="K405" s="1432">
        <v>3</v>
      </c>
      <c r="L405" s="1432">
        <v>4</v>
      </c>
      <c r="M405" s="1433">
        <v>1</v>
      </c>
      <c r="N405" s="1433">
        <v>4</v>
      </c>
      <c r="O405" s="1433">
        <v>0</v>
      </c>
      <c r="P405" s="1433">
        <v>2</v>
      </c>
      <c r="Q405" s="1433">
        <v>1</v>
      </c>
      <c r="R405" s="1434">
        <f t="shared" si="103"/>
        <v>2</v>
      </c>
      <c r="S405" s="1435">
        <f t="shared" si="104"/>
        <v>1.7921146953405018E-3</v>
      </c>
      <c r="T405" s="1440"/>
    </row>
    <row r="406" spans="1:20" x14ac:dyDescent="0.25">
      <c r="A406" s="1445" t="s">
        <v>367</v>
      </c>
      <c r="B406" s="1430">
        <v>5</v>
      </c>
      <c r="C406" s="1430">
        <v>2</v>
      </c>
      <c r="D406" s="1430">
        <v>2</v>
      </c>
      <c r="E406" s="1431">
        <v>0</v>
      </c>
      <c r="F406" s="1430">
        <v>4</v>
      </c>
      <c r="G406" s="1431">
        <v>1</v>
      </c>
      <c r="H406" s="1432">
        <v>1</v>
      </c>
      <c r="I406" s="1432">
        <v>1</v>
      </c>
      <c r="J406" s="1432">
        <v>2</v>
      </c>
      <c r="K406" s="1432">
        <v>2</v>
      </c>
      <c r="L406" s="1432">
        <v>4</v>
      </c>
      <c r="M406" s="1433">
        <v>1</v>
      </c>
      <c r="N406" s="1433">
        <v>3</v>
      </c>
      <c r="O406" s="1433">
        <v>0</v>
      </c>
      <c r="P406" s="1433">
        <v>0</v>
      </c>
      <c r="Q406" s="1433">
        <v>0</v>
      </c>
      <c r="R406" s="1434">
        <f t="shared" si="103"/>
        <v>2</v>
      </c>
      <c r="S406" s="1435">
        <f t="shared" si="104"/>
        <v>0</v>
      </c>
      <c r="T406" s="1440"/>
    </row>
    <row r="407" spans="1:20" x14ac:dyDescent="0.25">
      <c r="A407" s="1445" t="s">
        <v>368</v>
      </c>
      <c r="B407" s="1430">
        <v>0</v>
      </c>
      <c r="C407" s="1430">
        <v>0</v>
      </c>
      <c r="D407" s="1430">
        <v>0</v>
      </c>
      <c r="E407" s="1431">
        <v>0</v>
      </c>
      <c r="F407" s="1430">
        <v>0</v>
      </c>
      <c r="G407" s="1431">
        <v>0</v>
      </c>
      <c r="H407" s="1432">
        <v>1</v>
      </c>
      <c r="I407" s="1432">
        <v>0</v>
      </c>
      <c r="J407" s="1432">
        <v>1</v>
      </c>
      <c r="K407" s="1432">
        <v>1</v>
      </c>
      <c r="L407" s="1432">
        <v>0</v>
      </c>
      <c r="M407" s="1433">
        <v>5</v>
      </c>
      <c r="N407" s="1433">
        <v>0</v>
      </c>
      <c r="O407" s="1433">
        <v>0</v>
      </c>
      <c r="P407" s="1433">
        <v>4</v>
      </c>
      <c r="Q407" s="1433">
        <v>1</v>
      </c>
      <c r="R407" s="1434">
        <f t="shared" si="103"/>
        <v>3.3333333333333335</v>
      </c>
      <c r="S407" s="1435">
        <f t="shared" si="104"/>
        <v>1.7921146953405018E-3</v>
      </c>
      <c r="T407" s="1440"/>
    </row>
    <row r="408" spans="1:20" x14ac:dyDescent="0.25">
      <c r="A408" s="1445" t="s">
        <v>369</v>
      </c>
      <c r="B408" s="1430">
        <v>5</v>
      </c>
      <c r="C408" s="1430">
        <v>11</v>
      </c>
      <c r="D408" s="1430">
        <v>4</v>
      </c>
      <c r="E408" s="1431">
        <v>4</v>
      </c>
      <c r="F408" s="1430">
        <v>7</v>
      </c>
      <c r="G408" s="1431">
        <v>4</v>
      </c>
      <c r="H408" s="1432">
        <v>5</v>
      </c>
      <c r="I408" s="1432">
        <v>3</v>
      </c>
      <c r="J408" s="1432">
        <v>2</v>
      </c>
      <c r="K408" s="1432">
        <v>0</v>
      </c>
      <c r="L408" s="1432">
        <v>6</v>
      </c>
      <c r="M408" s="1433">
        <v>10</v>
      </c>
      <c r="N408" s="1433">
        <v>7</v>
      </c>
      <c r="O408" s="1433">
        <v>8</v>
      </c>
      <c r="P408" s="1433">
        <v>14</v>
      </c>
      <c r="Q408" s="1433">
        <v>7</v>
      </c>
      <c r="R408" s="1434">
        <f t="shared" si="103"/>
        <v>9.1999999999999993</v>
      </c>
      <c r="S408" s="1435">
        <f t="shared" si="104"/>
        <v>1.2544802867383513E-2</v>
      </c>
      <c r="T408" s="1440"/>
    </row>
    <row r="409" spans="1:20" x14ac:dyDescent="0.25">
      <c r="A409" s="1445" t="s">
        <v>370</v>
      </c>
      <c r="B409" s="1430">
        <v>0</v>
      </c>
      <c r="C409" s="1430">
        <v>0</v>
      </c>
      <c r="D409" s="1430">
        <v>0</v>
      </c>
      <c r="E409" s="1431">
        <v>0</v>
      </c>
      <c r="F409" s="1430">
        <v>0</v>
      </c>
      <c r="G409" s="1431">
        <v>0</v>
      </c>
      <c r="H409" s="1432">
        <v>0</v>
      </c>
      <c r="I409" s="1432">
        <v>0</v>
      </c>
      <c r="J409" s="1432">
        <v>0</v>
      </c>
      <c r="K409" s="1432">
        <v>0</v>
      </c>
      <c r="L409" s="1432">
        <v>0</v>
      </c>
      <c r="M409" s="1433">
        <v>0</v>
      </c>
      <c r="N409" s="1433">
        <v>0</v>
      </c>
      <c r="O409" s="1433">
        <v>2</v>
      </c>
      <c r="P409" s="1433">
        <v>0</v>
      </c>
      <c r="Q409" s="1433">
        <v>0</v>
      </c>
      <c r="R409" s="1434">
        <f t="shared" si="103"/>
        <v>2</v>
      </c>
      <c r="S409" s="1435">
        <f t="shared" si="104"/>
        <v>0</v>
      </c>
      <c r="T409" s="1440"/>
    </row>
    <row r="410" spans="1:20" x14ac:dyDescent="0.25">
      <c r="A410" s="1445" t="s">
        <v>371</v>
      </c>
      <c r="B410" s="1430">
        <v>0</v>
      </c>
      <c r="C410" s="1430">
        <v>0</v>
      </c>
      <c r="D410" s="1430">
        <v>0</v>
      </c>
      <c r="E410" s="1431">
        <v>0</v>
      </c>
      <c r="F410" s="1430">
        <v>0</v>
      </c>
      <c r="G410" s="1431">
        <v>0</v>
      </c>
      <c r="H410" s="1432">
        <v>0</v>
      </c>
      <c r="I410" s="1432">
        <v>0</v>
      </c>
      <c r="J410" s="1432">
        <v>0</v>
      </c>
      <c r="K410" s="1432">
        <v>0</v>
      </c>
      <c r="L410" s="1432">
        <v>0</v>
      </c>
      <c r="M410" s="1433">
        <v>0</v>
      </c>
      <c r="N410" s="1433">
        <v>0</v>
      </c>
      <c r="O410" s="1433">
        <v>0</v>
      </c>
      <c r="P410" s="1433">
        <v>0</v>
      </c>
      <c r="Q410" s="1433">
        <v>0</v>
      </c>
      <c r="R410" s="1434" t="str">
        <f t="shared" si="103"/>
        <v xml:space="preserve"> </v>
      </c>
      <c r="S410" s="1435">
        <f t="shared" si="104"/>
        <v>0</v>
      </c>
      <c r="T410" s="1440"/>
    </row>
    <row r="411" spans="1:20" x14ac:dyDescent="0.25">
      <c r="A411" s="1445" t="s">
        <v>373</v>
      </c>
      <c r="B411" s="1430">
        <v>6</v>
      </c>
      <c r="C411" s="1430">
        <v>3</v>
      </c>
      <c r="D411" s="1430">
        <v>6</v>
      </c>
      <c r="E411" s="1431">
        <v>3</v>
      </c>
      <c r="F411" s="1430">
        <v>4</v>
      </c>
      <c r="G411" s="1431">
        <v>3</v>
      </c>
      <c r="H411" s="1432">
        <v>1</v>
      </c>
      <c r="I411" s="1432">
        <v>0</v>
      </c>
      <c r="J411" s="1432">
        <v>9</v>
      </c>
      <c r="K411" s="1432">
        <v>9</v>
      </c>
      <c r="L411" s="1432">
        <v>2</v>
      </c>
      <c r="M411" s="1433">
        <v>1</v>
      </c>
      <c r="N411" s="1433">
        <v>2</v>
      </c>
      <c r="O411" s="1433">
        <v>5</v>
      </c>
      <c r="P411" s="1433">
        <v>5</v>
      </c>
      <c r="Q411" s="1433">
        <v>6</v>
      </c>
      <c r="R411" s="1434">
        <f t="shared" si="103"/>
        <v>3.8</v>
      </c>
      <c r="S411" s="1435">
        <f t="shared" si="104"/>
        <v>1.0752688172043012E-2</v>
      </c>
      <c r="T411" s="1440"/>
    </row>
    <row r="412" spans="1:20" x14ac:dyDescent="0.25">
      <c r="A412" s="1445" t="s">
        <v>374</v>
      </c>
      <c r="B412" s="1430">
        <v>1</v>
      </c>
      <c r="C412" s="1430">
        <v>0</v>
      </c>
      <c r="D412" s="1430">
        <v>0</v>
      </c>
      <c r="E412" s="1431">
        <v>0</v>
      </c>
      <c r="F412" s="1430">
        <v>0</v>
      </c>
      <c r="G412" s="1431">
        <v>0</v>
      </c>
      <c r="H412" s="1432">
        <v>1</v>
      </c>
      <c r="I412" s="1432">
        <v>0</v>
      </c>
      <c r="J412" s="1432">
        <v>2</v>
      </c>
      <c r="K412" s="1432">
        <v>0</v>
      </c>
      <c r="L412" s="1432">
        <v>0</v>
      </c>
      <c r="M412" s="1433">
        <v>1</v>
      </c>
      <c r="N412" s="1433">
        <v>2</v>
      </c>
      <c r="O412" s="1433">
        <v>5</v>
      </c>
      <c r="P412" s="1433">
        <v>1</v>
      </c>
      <c r="Q412" s="1433">
        <v>4</v>
      </c>
      <c r="R412" s="1434">
        <f t="shared" si="103"/>
        <v>2.6</v>
      </c>
      <c r="S412" s="1435">
        <f t="shared" si="104"/>
        <v>7.1684587813620072E-3</v>
      </c>
      <c r="T412" s="1440"/>
    </row>
    <row r="413" spans="1:20" x14ac:dyDescent="0.25">
      <c r="A413" s="1445" t="s">
        <v>1496</v>
      </c>
      <c r="B413" s="1430"/>
      <c r="C413" s="1430"/>
      <c r="D413" s="1430"/>
      <c r="E413" s="1431">
        <v>0</v>
      </c>
      <c r="F413" s="1430">
        <v>0</v>
      </c>
      <c r="G413" s="1431">
        <v>0</v>
      </c>
      <c r="H413" s="1432">
        <v>0</v>
      </c>
      <c r="I413" s="1432">
        <v>0</v>
      </c>
      <c r="J413" s="1432">
        <v>0</v>
      </c>
      <c r="K413" s="1432">
        <v>0</v>
      </c>
      <c r="L413" s="1432">
        <v>1</v>
      </c>
      <c r="M413" s="1433">
        <v>1</v>
      </c>
      <c r="N413" s="1433">
        <v>0</v>
      </c>
      <c r="O413" s="1433">
        <v>0</v>
      </c>
      <c r="P413" s="1433">
        <v>0</v>
      </c>
      <c r="Q413" s="1433">
        <v>0</v>
      </c>
      <c r="R413" s="1434">
        <f t="shared" si="103"/>
        <v>1</v>
      </c>
      <c r="S413" s="1435">
        <f t="shared" si="104"/>
        <v>0</v>
      </c>
      <c r="T413" s="1440"/>
    </row>
    <row r="414" spans="1:20" x14ac:dyDescent="0.25">
      <c r="A414" s="1445" t="s">
        <v>375</v>
      </c>
      <c r="B414" s="1430">
        <v>0</v>
      </c>
      <c r="C414" s="1430">
        <v>1</v>
      </c>
      <c r="D414" s="1430">
        <v>0</v>
      </c>
      <c r="E414" s="1431">
        <v>0</v>
      </c>
      <c r="F414" s="1430">
        <v>0</v>
      </c>
      <c r="G414" s="1431">
        <v>0</v>
      </c>
      <c r="H414" s="1432">
        <v>0</v>
      </c>
      <c r="I414" s="1432">
        <v>0</v>
      </c>
      <c r="J414" s="1432">
        <v>0</v>
      </c>
      <c r="K414" s="1432">
        <v>0</v>
      </c>
      <c r="L414" s="1432">
        <v>0</v>
      </c>
      <c r="M414" s="1433">
        <v>0</v>
      </c>
      <c r="N414" s="1433">
        <v>0</v>
      </c>
      <c r="O414" s="1433">
        <v>0</v>
      </c>
      <c r="P414" s="1433">
        <v>0</v>
      </c>
      <c r="Q414" s="1433">
        <v>0</v>
      </c>
      <c r="R414" s="1434" t="str">
        <f t="shared" si="103"/>
        <v xml:space="preserve"> </v>
      </c>
      <c r="S414" s="1435">
        <f t="shared" si="104"/>
        <v>0</v>
      </c>
      <c r="T414" s="1440"/>
    </row>
    <row r="415" spans="1:20" x14ac:dyDescent="0.25">
      <c r="A415" s="1445" t="s">
        <v>1601</v>
      </c>
      <c r="B415" s="1430"/>
      <c r="C415" s="1430"/>
      <c r="D415" s="1430"/>
      <c r="E415" s="1431"/>
      <c r="F415" s="1430"/>
      <c r="G415" s="1431"/>
      <c r="H415" s="1432"/>
      <c r="I415" s="1432"/>
      <c r="J415" s="1432">
        <v>0</v>
      </c>
      <c r="K415" s="1432">
        <v>0</v>
      </c>
      <c r="L415" s="1432">
        <v>0</v>
      </c>
      <c r="M415" s="1433">
        <v>0</v>
      </c>
      <c r="N415" s="1433">
        <v>2</v>
      </c>
      <c r="O415" s="1433">
        <v>0</v>
      </c>
      <c r="P415" s="1433">
        <v>0</v>
      </c>
      <c r="Q415" s="1433">
        <v>1</v>
      </c>
      <c r="R415" s="1434">
        <f t="shared" si="103"/>
        <v>1.5</v>
      </c>
      <c r="S415" s="1435">
        <f t="shared" si="104"/>
        <v>1.7921146953405018E-3</v>
      </c>
      <c r="T415" s="1440"/>
    </row>
    <row r="416" spans="1:20" x14ac:dyDescent="0.25">
      <c r="A416" s="1445" t="s">
        <v>376</v>
      </c>
      <c r="B416" s="1430">
        <v>0</v>
      </c>
      <c r="C416" s="1430">
        <v>0</v>
      </c>
      <c r="D416" s="1430">
        <v>0</v>
      </c>
      <c r="E416" s="1431">
        <v>0</v>
      </c>
      <c r="F416" s="1430">
        <v>0</v>
      </c>
      <c r="G416" s="1431">
        <v>0</v>
      </c>
      <c r="H416" s="1432">
        <v>0</v>
      </c>
      <c r="I416" s="1432">
        <v>0</v>
      </c>
      <c r="J416" s="1432">
        <v>0</v>
      </c>
      <c r="K416" s="1432">
        <v>0</v>
      </c>
      <c r="L416" s="1432">
        <v>0</v>
      </c>
      <c r="M416" s="1433">
        <v>0</v>
      </c>
      <c r="N416" s="1433">
        <v>0</v>
      </c>
      <c r="O416" s="1433">
        <v>0</v>
      </c>
      <c r="P416" s="1433">
        <v>1</v>
      </c>
      <c r="Q416" s="1433">
        <v>0</v>
      </c>
      <c r="R416" s="1434">
        <f t="shared" si="103"/>
        <v>1</v>
      </c>
      <c r="S416" s="1435">
        <f t="shared" si="104"/>
        <v>0</v>
      </c>
      <c r="T416" s="1440"/>
    </row>
    <row r="417" spans="1:20" x14ac:dyDescent="0.25">
      <c r="A417" s="1445" t="s">
        <v>377</v>
      </c>
      <c r="B417" s="1430">
        <v>4</v>
      </c>
      <c r="C417" s="1430">
        <v>2</v>
      </c>
      <c r="D417" s="1430">
        <v>0</v>
      </c>
      <c r="E417" s="1431">
        <v>1</v>
      </c>
      <c r="F417" s="1430">
        <v>3</v>
      </c>
      <c r="G417" s="1431">
        <v>5</v>
      </c>
      <c r="H417" s="1432">
        <v>6</v>
      </c>
      <c r="I417" s="1432">
        <v>2</v>
      </c>
      <c r="J417" s="1432">
        <v>1</v>
      </c>
      <c r="K417" s="1432">
        <v>1</v>
      </c>
      <c r="L417" s="1432">
        <v>1</v>
      </c>
      <c r="M417" s="1433">
        <v>3</v>
      </c>
      <c r="N417" s="1433">
        <v>3</v>
      </c>
      <c r="O417" s="1433">
        <v>2</v>
      </c>
      <c r="P417" s="1433">
        <v>0</v>
      </c>
      <c r="Q417" s="1433">
        <v>2</v>
      </c>
      <c r="R417" s="1434">
        <f t="shared" si="103"/>
        <v>2.5</v>
      </c>
      <c r="S417" s="1435">
        <f t="shared" si="104"/>
        <v>3.5842293906810036E-3</v>
      </c>
      <c r="T417" s="1440"/>
    </row>
    <row r="418" spans="1:20" x14ac:dyDescent="0.25">
      <c r="A418" s="1445" t="s">
        <v>378</v>
      </c>
      <c r="B418" s="1430">
        <v>0</v>
      </c>
      <c r="C418" s="1430">
        <v>0</v>
      </c>
      <c r="D418" s="1430">
        <v>1</v>
      </c>
      <c r="E418" s="1431">
        <v>0</v>
      </c>
      <c r="F418" s="1430">
        <v>0</v>
      </c>
      <c r="G418" s="1431">
        <v>0</v>
      </c>
      <c r="H418" s="1432">
        <v>0</v>
      </c>
      <c r="I418" s="1432">
        <v>1</v>
      </c>
      <c r="J418" s="1432">
        <v>0</v>
      </c>
      <c r="K418" s="1432">
        <v>0</v>
      </c>
      <c r="L418" s="1432">
        <v>0</v>
      </c>
      <c r="M418" s="1433">
        <v>1</v>
      </c>
      <c r="N418" s="1433">
        <v>0</v>
      </c>
      <c r="O418" s="1433">
        <v>0</v>
      </c>
      <c r="P418" s="1433">
        <v>0</v>
      </c>
      <c r="Q418" s="1433">
        <v>0</v>
      </c>
      <c r="R418" s="1434">
        <f t="shared" si="103"/>
        <v>1</v>
      </c>
      <c r="S418" s="1435">
        <f t="shared" si="104"/>
        <v>0</v>
      </c>
      <c r="T418" s="1440"/>
    </row>
    <row r="419" spans="1:20" x14ac:dyDescent="0.25">
      <c r="A419" s="1445" t="s">
        <v>379</v>
      </c>
      <c r="B419" s="1430">
        <v>2</v>
      </c>
      <c r="C419" s="1430">
        <v>2</v>
      </c>
      <c r="D419" s="1430">
        <v>3</v>
      </c>
      <c r="E419" s="1431">
        <v>0</v>
      </c>
      <c r="F419" s="1430">
        <v>3</v>
      </c>
      <c r="G419" s="1431">
        <v>2</v>
      </c>
      <c r="H419" s="1432">
        <v>2</v>
      </c>
      <c r="I419" s="1432">
        <v>0</v>
      </c>
      <c r="J419" s="1432">
        <v>0</v>
      </c>
      <c r="K419" s="1432">
        <v>0</v>
      </c>
      <c r="L419" s="1432">
        <v>7</v>
      </c>
      <c r="M419" s="1433">
        <v>9</v>
      </c>
      <c r="N419" s="1433">
        <v>7</v>
      </c>
      <c r="O419" s="1433">
        <v>3</v>
      </c>
      <c r="P419" s="1433">
        <v>3</v>
      </c>
      <c r="Q419" s="1433">
        <v>5</v>
      </c>
      <c r="R419" s="1434">
        <f t="shared" si="103"/>
        <v>5.4</v>
      </c>
      <c r="S419" s="1435">
        <f t="shared" si="104"/>
        <v>8.9605734767025085E-3</v>
      </c>
      <c r="T419" s="1440"/>
    </row>
    <row r="420" spans="1:20" x14ac:dyDescent="0.25">
      <c r="A420" s="1449" t="s">
        <v>36</v>
      </c>
      <c r="B420" s="1437">
        <f t="shared" ref="B420:J420" si="105">SUM(B404:B419)</f>
        <v>24</v>
      </c>
      <c r="C420" s="1437">
        <f t="shared" si="105"/>
        <v>30</v>
      </c>
      <c r="D420" s="1437">
        <f t="shared" si="105"/>
        <v>18</v>
      </c>
      <c r="E420" s="1438">
        <f t="shared" si="105"/>
        <v>12</v>
      </c>
      <c r="F420" s="1437">
        <f t="shared" si="105"/>
        <v>31</v>
      </c>
      <c r="G420" s="1438">
        <f t="shared" si="105"/>
        <v>19</v>
      </c>
      <c r="H420" s="1434">
        <f t="shared" si="105"/>
        <v>22</v>
      </c>
      <c r="I420" s="1434">
        <f t="shared" si="105"/>
        <v>10</v>
      </c>
      <c r="J420" s="1434">
        <f t="shared" si="105"/>
        <v>26</v>
      </c>
      <c r="K420" s="1434">
        <f t="shared" ref="K420:P420" si="106">SUM(K404:K419)</f>
        <v>28</v>
      </c>
      <c r="L420" s="1434">
        <f t="shared" si="106"/>
        <v>33</v>
      </c>
      <c r="M420" s="1434">
        <f t="shared" si="106"/>
        <v>37</v>
      </c>
      <c r="N420" s="1434">
        <f t="shared" si="106"/>
        <v>33</v>
      </c>
      <c r="O420" s="1434">
        <f t="shared" si="106"/>
        <v>28</v>
      </c>
      <c r="P420" s="1434">
        <f t="shared" si="106"/>
        <v>31</v>
      </c>
      <c r="Q420" s="1434">
        <f>SUM(Q404:Q419)</f>
        <v>29</v>
      </c>
      <c r="R420" s="1434">
        <f t="shared" si="103"/>
        <v>31.6</v>
      </c>
      <c r="S420" s="1439">
        <f t="shared" si="104"/>
        <v>5.197132616487455E-2</v>
      </c>
      <c r="T420" s="1440"/>
    </row>
    <row r="421" spans="1:20" x14ac:dyDescent="0.25">
      <c r="A421" s="1478" t="s">
        <v>380</v>
      </c>
      <c r="B421" s="1425" t="s">
        <v>908</v>
      </c>
      <c r="C421" s="1425" t="s">
        <v>617</v>
      </c>
      <c r="D421" s="1425" t="s">
        <v>1360</v>
      </c>
      <c r="E421" s="1426" t="s">
        <v>592</v>
      </c>
      <c r="F421" s="1425" t="s">
        <v>921</v>
      </c>
      <c r="G421" s="1426" t="s">
        <v>676</v>
      </c>
      <c r="H421" s="1427" t="s">
        <v>777</v>
      </c>
      <c r="I421" s="1428" t="s">
        <v>969</v>
      </c>
      <c r="J421" s="1428" t="s">
        <v>1419</v>
      </c>
      <c r="K421" s="1428" t="s">
        <v>1443</v>
      </c>
      <c r="L421" s="1480" t="s">
        <v>1444</v>
      </c>
      <c r="M421" s="1477" t="s">
        <v>1445</v>
      </c>
      <c r="N421" s="1477" t="s">
        <v>1566</v>
      </c>
      <c r="O421" s="1477" t="s">
        <v>1613</v>
      </c>
      <c r="P421" s="1477" t="s">
        <v>1660</v>
      </c>
      <c r="Q421" s="1477" t="s">
        <v>1749</v>
      </c>
      <c r="R421" s="1481" t="s">
        <v>31</v>
      </c>
      <c r="S421" s="1481" t="s">
        <v>32</v>
      </c>
      <c r="T421" s="1440"/>
    </row>
    <row r="422" spans="1:20" x14ac:dyDescent="0.25">
      <c r="A422" s="1445" t="s">
        <v>381</v>
      </c>
      <c r="B422" s="1430">
        <v>2</v>
      </c>
      <c r="C422" s="1430">
        <v>1</v>
      </c>
      <c r="D422" s="1430">
        <v>0</v>
      </c>
      <c r="E422" s="1431">
        <v>0</v>
      </c>
      <c r="F422" s="1430">
        <v>1</v>
      </c>
      <c r="G422" s="1431">
        <v>1</v>
      </c>
      <c r="H422" s="1432">
        <v>0</v>
      </c>
      <c r="I422" s="1432">
        <v>0</v>
      </c>
      <c r="J422" s="1432">
        <v>2</v>
      </c>
      <c r="K422" s="1432">
        <v>2</v>
      </c>
      <c r="L422" s="1432">
        <v>1</v>
      </c>
      <c r="M422" s="1433">
        <v>1</v>
      </c>
      <c r="N422" s="1433">
        <v>0</v>
      </c>
      <c r="O422" s="1433">
        <v>0</v>
      </c>
      <c r="P422" s="1433">
        <v>0</v>
      </c>
      <c r="Q422" s="1433">
        <v>2</v>
      </c>
      <c r="R422" s="1434">
        <f t="shared" ref="R422:R433" si="107">IF(Q422+P422+O422+N422+M422=0," ",AVERAGEIF(M422:Q422,"&lt;&gt;0"))</f>
        <v>1.5</v>
      </c>
      <c r="S422" s="1435">
        <f t="shared" ref="S422:S433" si="108">+Q422/$Q$466</f>
        <v>3.5842293906810036E-3</v>
      </c>
      <c r="T422" s="1440"/>
    </row>
    <row r="423" spans="1:20" x14ac:dyDescent="0.25">
      <c r="A423" s="1445" t="s">
        <v>382</v>
      </c>
      <c r="B423" s="1430">
        <v>0</v>
      </c>
      <c r="C423" s="1430">
        <v>0</v>
      </c>
      <c r="D423" s="1430">
        <v>0</v>
      </c>
      <c r="E423" s="1431">
        <v>0</v>
      </c>
      <c r="F423" s="1430">
        <v>0</v>
      </c>
      <c r="G423" s="1431">
        <v>0</v>
      </c>
      <c r="H423" s="1432">
        <v>0</v>
      </c>
      <c r="I423" s="1432">
        <v>0</v>
      </c>
      <c r="J423" s="1432">
        <v>0</v>
      </c>
      <c r="K423" s="1432">
        <v>0</v>
      </c>
      <c r="L423" s="1432">
        <v>0</v>
      </c>
      <c r="M423" s="1433">
        <v>0</v>
      </c>
      <c r="N423" s="1433">
        <v>0</v>
      </c>
      <c r="O423" s="1433">
        <v>0</v>
      </c>
      <c r="P423" s="1433">
        <v>0</v>
      </c>
      <c r="Q423" s="1433">
        <v>0</v>
      </c>
      <c r="R423" s="1434" t="str">
        <f t="shared" si="107"/>
        <v xml:space="preserve"> </v>
      </c>
      <c r="S423" s="1435">
        <f t="shared" si="108"/>
        <v>0</v>
      </c>
      <c r="T423" s="1440"/>
    </row>
    <row r="424" spans="1:20" x14ac:dyDescent="0.25">
      <c r="A424" s="1455" t="s">
        <v>222</v>
      </c>
      <c r="B424" s="1451">
        <v>0</v>
      </c>
      <c r="C424" s="1451">
        <v>0</v>
      </c>
      <c r="D424" s="1451">
        <v>0</v>
      </c>
      <c r="E424" s="1452">
        <v>0</v>
      </c>
      <c r="F424" s="1451">
        <v>0</v>
      </c>
      <c r="G424" s="1452">
        <v>0</v>
      </c>
      <c r="H424" s="1453">
        <v>0</v>
      </c>
      <c r="I424" s="1453">
        <v>0</v>
      </c>
      <c r="J424" s="1453">
        <v>0</v>
      </c>
      <c r="K424" s="1453">
        <v>0</v>
      </c>
      <c r="L424" s="1453">
        <v>0</v>
      </c>
      <c r="M424" s="1433">
        <v>1</v>
      </c>
      <c r="N424" s="1433">
        <v>0</v>
      </c>
      <c r="O424" s="1433">
        <v>0</v>
      </c>
      <c r="P424" s="1433">
        <v>0</v>
      </c>
      <c r="Q424" s="1433">
        <v>0</v>
      </c>
      <c r="R424" s="1434">
        <f t="shared" si="107"/>
        <v>1</v>
      </c>
      <c r="S424" s="1435">
        <f t="shared" si="108"/>
        <v>0</v>
      </c>
      <c r="T424" s="1440"/>
    </row>
    <row r="425" spans="1:20" x14ac:dyDescent="0.25">
      <c r="A425" s="1455" t="s">
        <v>383</v>
      </c>
      <c r="B425" s="1451">
        <v>0</v>
      </c>
      <c r="C425" s="1451">
        <v>0</v>
      </c>
      <c r="D425" s="1451">
        <v>1</v>
      </c>
      <c r="E425" s="1452">
        <v>0</v>
      </c>
      <c r="F425" s="1451">
        <v>0</v>
      </c>
      <c r="G425" s="1452">
        <v>0</v>
      </c>
      <c r="H425" s="1453">
        <v>0</v>
      </c>
      <c r="I425" s="1453">
        <v>0</v>
      </c>
      <c r="J425" s="1453">
        <v>0</v>
      </c>
      <c r="K425" s="1453">
        <v>0</v>
      </c>
      <c r="L425" s="1453">
        <v>1</v>
      </c>
      <c r="M425" s="1433">
        <v>0</v>
      </c>
      <c r="N425" s="1433">
        <v>0</v>
      </c>
      <c r="O425" s="1433">
        <v>0</v>
      </c>
      <c r="P425" s="1433">
        <v>0</v>
      </c>
      <c r="Q425" s="1433">
        <v>0</v>
      </c>
      <c r="R425" s="1434" t="str">
        <f t="shared" si="107"/>
        <v xml:space="preserve"> </v>
      </c>
      <c r="S425" s="1435">
        <f t="shared" si="108"/>
        <v>0</v>
      </c>
      <c r="T425" s="1440"/>
    </row>
    <row r="426" spans="1:20" x14ac:dyDescent="0.25">
      <c r="A426" s="1445" t="s">
        <v>384</v>
      </c>
      <c r="B426" s="1430">
        <v>1</v>
      </c>
      <c r="C426" s="1430">
        <v>2</v>
      </c>
      <c r="D426" s="1430">
        <v>0</v>
      </c>
      <c r="E426" s="1431">
        <v>0</v>
      </c>
      <c r="F426" s="1430">
        <v>0</v>
      </c>
      <c r="G426" s="1431">
        <v>1</v>
      </c>
      <c r="H426" s="1432">
        <v>0</v>
      </c>
      <c r="I426" s="1432">
        <v>1</v>
      </c>
      <c r="J426" s="1432">
        <v>0</v>
      </c>
      <c r="K426" s="1432">
        <v>2</v>
      </c>
      <c r="L426" s="1432">
        <v>0</v>
      </c>
      <c r="M426" s="1433">
        <v>3</v>
      </c>
      <c r="N426" s="1433">
        <v>0</v>
      </c>
      <c r="O426" s="1433">
        <v>0</v>
      </c>
      <c r="P426" s="1433">
        <v>0</v>
      </c>
      <c r="Q426" s="1433">
        <v>0</v>
      </c>
      <c r="R426" s="1434">
        <f t="shared" si="107"/>
        <v>3</v>
      </c>
      <c r="S426" s="1435">
        <f t="shared" si="108"/>
        <v>0</v>
      </c>
      <c r="T426" s="1440"/>
    </row>
    <row r="427" spans="1:20" x14ac:dyDescent="0.25">
      <c r="A427" s="1445" t="s">
        <v>385</v>
      </c>
      <c r="B427" s="1430">
        <v>0</v>
      </c>
      <c r="C427" s="1430">
        <v>0</v>
      </c>
      <c r="D427" s="1430">
        <v>0</v>
      </c>
      <c r="E427" s="1431">
        <v>0</v>
      </c>
      <c r="F427" s="1430">
        <v>0</v>
      </c>
      <c r="G427" s="1431">
        <v>0</v>
      </c>
      <c r="H427" s="1432">
        <v>0</v>
      </c>
      <c r="I427" s="1432">
        <v>0</v>
      </c>
      <c r="J427" s="1432">
        <v>0</v>
      </c>
      <c r="K427" s="1432">
        <v>0</v>
      </c>
      <c r="L427" s="1432">
        <v>0</v>
      </c>
      <c r="M427" s="1433">
        <v>0</v>
      </c>
      <c r="N427" s="1433">
        <v>0</v>
      </c>
      <c r="O427" s="1433">
        <v>0</v>
      </c>
      <c r="P427" s="1433">
        <v>0</v>
      </c>
      <c r="Q427" s="1433">
        <v>0</v>
      </c>
      <c r="R427" s="1434" t="str">
        <f t="shared" si="107"/>
        <v xml:space="preserve"> </v>
      </c>
      <c r="S427" s="1435">
        <f t="shared" si="108"/>
        <v>0</v>
      </c>
      <c r="T427" s="1440"/>
    </row>
    <row r="428" spans="1:20" x14ac:dyDescent="0.25">
      <c r="A428" s="1445" t="s">
        <v>1657</v>
      </c>
      <c r="B428" s="1430">
        <v>0</v>
      </c>
      <c r="C428" s="1430">
        <v>0</v>
      </c>
      <c r="D428" s="1430">
        <v>0</v>
      </c>
      <c r="E428" s="1431">
        <v>0</v>
      </c>
      <c r="F428" s="1430">
        <v>0</v>
      </c>
      <c r="G428" s="1431">
        <v>0</v>
      </c>
      <c r="H428" s="1432">
        <v>0</v>
      </c>
      <c r="I428" s="1432">
        <v>0</v>
      </c>
      <c r="J428" s="1432">
        <v>0</v>
      </c>
      <c r="K428" s="1432">
        <v>0</v>
      </c>
      <c r="L428" s="1432">
        <v>0</v>
      </c>
      <c r="M428" s="1433">
        <v>0</v>
      </c>
      <c r="N428" s="1433">
        <v>0</v>
      </c>
      <c r="O428" s="1433">
        <v>1</v>
      </c>
      <c r="P428" s="1433">
        <v>0</v>
      </c>
      <c r="Q428" s="1433">
        <v>0</v>
      </c>
      <c r="R428" s="1434">
        <f t="shared" si="107"/>
        <v>1</v>
      </c>
      <c r="S428" s="1435">
        <f t="shared" si="108"/>
        <v>0</v>
      </c>
      <c r="T428" s="1440"/>
    </row>
    <row r="429" spans="1:20" x14ac:dyDescent="0.25">
      <c r="A429" s="1445" t="s">
        <v>386</v>
      </c>
      <c r="B429" s="1430">
        <v>0</v>
      </c>
      <c r="C429" s="1430">
        <v>0</v>
      </c>
      <c r="D429" s="1430">
        <v>0</v>
      </c>
      <c r="E429" s="1431">
        <v>0</v>
      </c>
      <c r="F429" s="1430">
        <v>0</v>
      </c>
      <c r="G429" s="1431">
        <v>0</v>
      </c>
      <c r="H429" s="1432">
        <v>0</v>
      </c>
      <c r="I429" s="1432">
        <v>0</v>
      </c>
      <c r="J429" s="1432">
        <v>0</v>
      </c>
      <c r="K429" s="1432">
        <v>0</v>
      </c>
      <c r="L429" s="1432">
        <v>0</v>
      </c>
      <c r="M429" s="1433">
        <v>0</v>
      </c>
      <c r="N429" s="1433">
        <v>0</v>
      </c>
      <c r="O429" s="1433">
        <v>0</v>
      </c>
      <c r="P429" s="1433">
        <v>0</v>
      </c>
      <c r="Q429" s="1433">
        <v>0</v>
      </c>
      <c r="R429" s="1434" t="str">
        <f t="shared" si="107"/>
        <v xml:space="preserve"> </v>
      </c>
      <c r="S429" s="1435">
        <f t="shared" si="108"/>
        <v>0</v>
      </c>
      <c r="T429" s="1440"/>
    </row>
    <row r="430" spans="1:20" x14ac:dyDescent="0.25">
      <c r="A430" s="1445" t="s">
        <v>406</v>
      </c>
      <c r="B430" s="1430">
        <v>9</v>
      </c>
      <c r="C430" s="1430">
        <v>4</v>
      </c>
      <c r="D430" s="1430">
        <v>2</v>
      </c>
      <c r="E430" s="1431">
        <v>1</v>
      </c>
      <c r="F430" s="1430">
        <v>1</v>
      </c>
      <c r="G430" s="1431">
        <v>6</v>
      </c>
      <c r="H430" s="1432">
        <v>0</v>
      </c>
      <c r="I430" s="1432">
        <v>1</v>
      </c>
      <c r="J430" s="1432">
        <v>3</v>
      </c>
      <c r="K430" s="1432">
        <v>3</v>
      </c>
      <c r="L430" s="1432">
        <v>6</v>
      </c>
      <c r="M430" s="1433">
        <v>2</v>
      </c>
      <c r="N430" s="1433">
        <v>2</v>
      </c>
      <c r="O430" s="1433">
        <v>2</v>
      </c>
      <c r="P430" s="1433">
        <v>3</v>
      </c>
      <c r="Q430" s="1433">
        <v>4</v>
      </c>
      <c r="R430" s="1434">
        <f t="shared" si="107"/>
        <v>2.6</v>
      </c>
      <c r="S430" s="1435">
        <f t="shared" si="108"/>
        <v>7.1684587813620072E-3</v>
      </c>
      <c r="T430" s="1440"/>
    </row>
    <row r="431" spans="1:20" x14ac:dyDescent="0.25">
      <c r="A431" s="1445" t="s">
        <v>407</v>
      </c>
      <c r="B431" s="1430">
        <v>2</v>
      </c>
      <c r="C431" s="1430">
        <v>3</v>
      </c>
      <c r="D431" s="1430">
        <v>2</v>
      </c>
      <c r="E431" s="1431">
        <v>0</v>
      </c>
      <c r="F431" s="1430">
        <v>1</v>
      </c>
      <c r="G431" s="1431">
        <v>0</v>
      </c>
      <c r="H431" s="1432">
        <v>3</v>
      </c>
      <c r="I431" s="1432">
        <v>0</v>
      </c>
      <c r="J431" s="1432">
        <v>0</v>
      </c>
      <c r="K431" s="1432">
        <v>3</v>
      </c>
      <c r="L431" s="1432">
        <v>0</v>
      </c>
      <c r="M431" s="1433">
        <v>0</v>
      </c>
      <c r="N431" s="1433">
        <v>0</v>
      </c>
      <c r="O431" s="1433">
        <v>0</v>
      </c>
      <c r="P431" s="1433">
        <v>0</v>
      </c>
      <c r="Q431" s="1433">
        <v>0</v>
      </c>
      <c r="R431" s="1434" t="str">
        <f t="shared" si="107"/>
        <v xml:space="preserve"> </v>
      </c>
      <c r="S431" s="1435">
        <f t="shared" si="108"/>
        <v>0</v>
      </c>
      <c r="T431" s="1440"/>
    </row>
    <row r="432" spans="1:20" x14ac:dyDescent="0.25">
      <c r="A432" s="1445" t="s">
        <v>408</v>
      </c>
      <c r="B432" s="1430">
        <v>0</v>
      </c>
      <c r="C432" s="1430">
        <v>0</v>
      </c>
      <c r="D432" s="1430">
        <v>2</v>
      </c>
      <c r="E432" s="1431">
        <v>0</v>
      </c>
      <c r="F432" s="1430">
        <v>0</v>
      </c>
      <c r="G432" s="1431">
        <v>0</v>
      </c>
      <c r="H432" s="1432">
        <v>0</v>
      </c>
      <c r="I432" s="1432">
        <v>0</v>
      </c>
      <c r="J432" s="1432">
        <v>0</v>
      </c>
      <c r="K432" s="1432">
        <v>1</v>
      </c>
      <c r="L432" s="1432">
        <v>0</v>
      </c>
      <c r="M432" s="1432">
        <v>0</v>
      </c>
      <c r="N432" s="1432">
        <v>0</v>
      </c>
      <c r="O432" s="1432">
        <v>1</v>
      </c>
      <c r="P432" s="1432">
        <v>0</v>
      </c>
      <c r="Q432" s="1432">
        <v>0</v>
      </c>
      <c r="R432" s="1434">
        <f t="shared" si="107"/>
        <v>1</v>
      </c>
      <c r="S432" s="1435">
        <f t="shared" si="108"/>
        <v>0</v>
      </c>
      <c r="T432" s="1440"/>
    </row>
    <row r="433" spans="1:20" x14ac:dyDescent="0.25">
      <c r="A433" s="1449" t="s">
        <v>36</v>
      </c>
      <c r="B433" s="1437">
        <f t="shared" ref="B433:J433" si="109">SUM(B422:B432)</f>
        <v>14</v>
      </c>
      <c r="C433" s="1437">
        <f t="shared" si="109"/>
        <v>10</v>
      </c>
      <c r="D433" s="1437">
        <f t="shared" si="109"/>
        <v>7</v>
      </c>
      <c r="E433" s="1438">
        <f t="shared" si="109"/>
        <v>1</v>
      </c>
      <c r="F433" s="1437">
        <f t="shared" si="109"/>
        <v>3</v>
      </c>
      <c r="G433" s="1438">
        <f t="shared" si="109"/>
        <v>8</v>
      </c>
      <c r="H433" s="1434">
        <f t="shared" si="109"/>
        <v>3</v>
      </c>
      <c r="I433" s="1434">
        <f t="shared" si="109"/>
        <v>2</v>
      </c>
      <c r="J433" s="1434">
        <f t="shared" si="109"/>
        <v>5</v>
      </c>
      <c r="K433" s="1434">
        <f t="shared" ref="K433:P433" si="110">SUM(K422:K432)</f>
        <v>11</v>
      </c>
      <c r="L433" s="1434">
        <f t="shared" si="110"/>
        <v>8</v>
      </c>
      <c r="M433" s="1434">
        <f t="shared" si="110"/>
        <v>7</v>
      </c>
      <c r="N433" s="1434">
        <f t="shared" si="110"/>
        <v>2</v>
      </c>
      <c r="O433" s="1434">
        <f t="shared" si="110"/>
        <v>4</v>
      </c>
      <c r="P433" s="1434">
        <f t="shared" si="110"/>
        <v>3</v>
      </c>
      <c r="Q433" s="1434">
        <f>SUM(Q422:Q432)</f>
        <v>6</v>
      </c>
      <c r="R433" s="1434">
        <f t="shared" si="107"/>
        <v>4.4000000000000004</v>
      </c>
      <c r="S433" s="1439">
        <f t="shared" si="108"/>
        <v>1.0752688172043012E-2</v>
      </c>
      <c r="T433" s="1440"/>
    </row>
    <row r="434" spans="1:20" x14ac:dyDescent="0.25">
      <c r="A434" s="1478" t="s">
        <v>438</v>
      </c>
      <c r="B434" s="1425" t="s">
        <v>908</v>
      </c>
      <c r="C434" s="1425" t="s">
        <v>617</v>
      </c>
      <c r="D434" s="1425" t="s">
        <v>1360</v>
      </c>
      <c r="E434" s="1426" t="s">
        <v>592</v>
      </c>
      <c r="F434" s="1425" t="s">
        <v>921</v>
      </c>
      <c r="G434" s="1426" t="s">
        <v>676</v>
      </c>
      <c r="H434" s="1427" t="s">
        <v>777</v>
      </c>
      <c r="I434" s="1428" t="s">
        <v>969</v>
      </c>
      <c r="J434" s="1428" t="s">
        <v>1419</v>
      </c>
      <c r="K434" s="1428" t="s">
        <v>1443</v>
      </c>
      <c r="L434" s="1480" t="s">
        <v>1444</v>
      </c>
      <c r="M434" s="1477" t="s">
        <v>1445</v>
      </c>
      <c r="N434" s="1477" t="s">
        <v>1566</v>
      </c>
      <c r="O434" s="1477" t="s">
        <v>1613</v>
      </c>
      <c r="P434" s="1477" t="s">
        <v>1660</v>
      </c>
      <c r="Q434" s="1477" t="s">
        <v>1749</v>
      </c>
      <c r="R434" s="1481" t="s">
        <v>31</v>
      </c>
      <c r="S434" s="1481" t="s">
        <v>32</v>
      </c>
      <c r="T434" s="1440"/>
    </row>
    <row r="435" spans="1:20" x14ac:dyDescent="0.25">
      <c r="A435" s="1455" t="s">
        <v>439</v>
      </c>
      <c r="B435" s="1451">
        <v>0</v>
      </c>
      <c r="C435" s="1451">
        <v>0</v>
      </c>
      <c r="D435" s="1451">
        <v>1</v>
      </c>
      <c r="E435" s="1452">
        <v>0</v>
      </c>
      <c r="F435" s="1451">
        <v>0</v>
      </c>
      <c r="G435" s="1452">
        <v>1</v>
      </c>
      <c r="H435" s="1453">
        <v>1</v>
      </c>
      <c r="I435" s="1453">
        <v>0</v>
      </c>
      <c r="J435" s="1453">
        <v>0</v>
      </c>
      <c r="K435" s="1453">
        <v>0</v>
      </c>
      <c r="L435" s="1453">
        <v>0</v>
      </c>
      <c r="M435" s="1453">
        <v>0</v>
      </c>
      <c r="N435" s="1453">
        <v>0</v>
      </c>
      <c r="O435" s="1453">
        <v>0</v>
      </c>
      <c r="P435" s="1453">
        <v>0</v>
      </c>
      <c r="Q435" s="1453">
        <v>0</v>
      </c>
      <c r="R435" s="1434" t="str">
        <f>IF(Q435+P435+O435+N435+M435=0," ",AVERAGEIF(M435:Q435,"&lt;&gt;0"))</f>
        <v xml:space="preserve"> </v>
      </c>
      <c r="S435" s="1435">
        <f>+Q435/$Q$466</f>
        <v>0</v>
      </c>
      <c r="T435" s="1440"/>
    </row>
    <row r="436" spans="1:20" x14ac:dyDescent="0.25">
      <c r="A436" s="1455" t="s">
        <v>440</v>
      </c>
      <c r="B436" s="1451">
        <v>0</v>
      </c>
      <c r="C436" s="1451">
        <v>1</v>
      </c>
      <c r="D436" s="1451">
        <v>2</v>
      </c>
      <c r="E436" s="1452">
        <v>0</v>
      </c>
      <c r="F436" s="1451">
        <v>0</v>
      </c>
      <c r="G436" s="1452">
        <v>2</v>
      </c>
      <c r="H436" s="1453">
        <v>0</v>
      </c>
      <c r="I436" s="1453">
        <v>0</v>
      </c>
      <c r="J436" s="1453">
        <v>0</v>
      </c>
      <c r="K436" s="1453">
        <v>0</v>
      </c>
      <c r="L436" s="1453">
        <v>0</v>
      </c>
      <c r="M436" s="1453">
        <v>0</v>
      </c>
      <c r="N436" s="1453">
        <v>0</v>
      </c>
      <c r="O436" s="1453">
        <v>0</v>
      </c>
      <c r="P436" s="1453">
        <v>0</v>
      </c>
      <c r="Q436" s="1453">
        <v>0</v>
      </c>
      <c r="R436" s="1434" t="str">
        <f>IF(Q436+P436+O436+N436+M436=0," ",AVERAGEIF(M436:Q436,"&lt;&gt;0"))</f>
        <v xml:space="preserve"> </v>
      </c>
      <c r="S436" s="1435">
        <f>+Q436/$Q$466</f>
        <v>0</v>
      </c>
      <c r="T436" s="1440"/>
    </row>
    <row r="437" spans="1:20" x14ac:dyDescent="0.25">
      <c r="A437" s="1445" t="s">
        <v>441</v>
      </c>
      <c r="B437" s="1430">
        <v>6</v>
      </c>
      <c r="C437" s="1430">
        <v>2</v>
      </c>
      <c r="D437" s="1430">
        <v>2</v>
      </c>
      <c r="E437" s="1431">
        <v>8</v>
      </c>
      <c r="F437" s="1430">
        <v>10</v>
      </c>
      <c r="G437" s="1431">
        <v>13</v>
      </c>
      <c r="H437" s="1432">
        <v>7</v>
      </c>
      <c r="I437" s="1432">
        <v>1</v>
      </c>
      <c r="J437" s="1432">
        <v>6</v>
      </c>
      <c r="K437" s="1432">
        <v>2</v>
      </c>
      <c r="L437" s="1432">
        <v>12</v>
      </c>
      <c r="M437" s="1433">
        <v>10</v>
      </c>
      <c r="N437" s="1433">
        <v>2</v>
      </c>
      <c r="O437" s="1433">
        <v>4</v>
      </c>
      <c r="P437" s="1433">
        <v>1</v>
      </c>
      <c r="Q437" s="1433">
        <v>4</v>
      </c>
      <c r="R437" s="1434">
        <f>IF(Q437+P437+O437+N437+M437=0," ",AVERAGEIF(M437:Q437,"&lt;&gt;0"))</f>
        <v>4.2</v>
      </c>
      <c r="S437" s="1435">
        <f>+Q437/$Q$466</f>
        <v>7.1684587813620072E-3</v>
      </c>
      <c r="T437" s="1440"/>
    </row>
    <row r="438" spans="1:20" x14ac:dyDescent="0.25">
      <c r="A438" s="1445" t="s">
        <v>518</v>
      </c>
      <c r="B438" s="1430">
        <v>0</v>
      </c>
      <c r="C438" s="1430">
        <v>0</v>
      </c>
      <c r="D438" s="1430">
        <v>0</v>
      </c>
      <c r="E438" s="1431">
        <v>0</v>
      </c>
      <c r="F438" s="1430">
        <v>0</v>
      </c>
      <c r="G438" s="1431">
        <v>1</v>
      </c>
      <c r="H438" s="1432">
        <v>0</v>
      </c>
      <c r="I438" s="1432">
        <v>0</v>
      </c>
      <c r="J438" s="1432">
        <v>0</v>
      </c>
      <c r="K438" s="1432">
        <v>0</v>
      </c>
      <c r="L438" s="1432">
        <v>0</v>
      </c>
      <c r="M438" s="1432">
        <v>0</v>
      </c>
      <c r="N438" s="1432">
        <v>0</v>
      </c>
      <c r="O438" s="1432">
        <v>0</v>
      </c>
      <c r="P438" s="1432">
        <v>0</v>
      </c>
      <c r="Q438" s="1432">
        <v>0</v>
      </c>
      <c r="R438" s="1434" t="str">
        <f>IF(Q438+P438+O438+N438+M438=0," ",AVERAGEIF(M438:Q438,"&lt;&gt;0"))</f>
        <v xml:space="preserve"> </v>
      </c>
      <c r="S438" s="1435">
        <f>+Q438/$Q$466</f>
        <v>0</v>
      </c>
      <c r="T438" s="1440"/>
    </row>
    <row r="439" spans="1:20" x14ac:dyDescent="0.25">
      <c r="A439" s="1449" t="s">
        <v>36</v>
      </c>
      <c r="B439" s="1437">
        <f>SUM(B435:B437)</f>
        <v>6</v>
      </c>
      <c r="C439" s="1437">
        <f>SUM(C435:C437)</f>
        <v>3</v>
      </c>
      <c r="D439" s="1437">
        <f>SUM(D435:D437)</f>
        <v>5</v>
      </c>
      <c r="E439" s="1438">
        <f>SUM(E435:E437)</f>
        <v>8</v>
      </c>
      <c r="F439" s="1437">
        <f>SUM(F435:F437)</f>
        <v>10</v>
      </c>
      <c r="G439" s="1438">
        <f t="shared" ref="G439:N439" si="111">SUM(G435:G438)</f>
        <v>17</v>
      </c>
      <c r="H439" s="1434">
        <f t="shared" si="111"/>
        <v>8</v>
      </c>
      <c r="I439" s="1434">
        <f t="shared" si="111"/>
        <v>1</v>
      </c>
      <c r="J439" s="1434">
        <f t="shared" si="111"/>
        <v>6</v>
      </c>
      <c r="K439" s="1434">
        <f t="shared" si="111"/>
        <v>2</v>
      </c>
      <c r="L439" s="1434">
        <f t="shared" si="111"/>
        <v>12</v>
      </c>
      <c r="M439" s="1434">
        <f t="shared" si="111"/>
        <v>10</v>
      </c>
      <c r="N439" s="1434">
        <f t="shared" si="111"/>
        <v>2</v>
      </c>
      <c r="O439" s="1434">
        <f>SUM(O435:O438)</f>
        <v>4</v>
      </c>
      <c r="P439" s="1434">
        <f>SUM(P435:P438)</f>
        <v>1</v>
      </c>
      <c r="Q439" s="1434">
        <f>SUM(Q435:Q438)</f>
        <v>4</v>
      </c>
      <c r="R439" s="1434">
        <f>IF(Q439+P439+O439+N439+M439=0," ",AVERAGEIF(M439:Q439,"&lt;&gt;0"))</f>
        <v>4.2</v>
      </c>
      <c r="S439" s="1439">
        <f>+Q439/$Q$466</f>
        <v>7.1684587813620072E-3</v>
      </c>
      <c r="T439" s="1440"/>
    </row>
    <row r="440" spans="1:20" x14ac:dyDescent="0.25">
      <c r="A440" s="1478" t="s">
        <v>442</v>
      </c>
      <c r="B440" s="1425" t="s">
        <v>908</v>
      </c>
      <c r="C440" s="1425" t="s">
        <v>617</v>
      </c>
      <c r="D440" s="1425" t="s">
        <v>1360</v>
      </c>
      <c r="E440" s="1426" t="s">
        <v>592</v>
      </c>
      <c r="F440" s="1425" t="s">
        <v>921</v>
      </c>
      <c r="G440" s="1426" t="s">
        <v>676</v>
      </c>
      <c r="H440" s="1427" t="s">
        <v>777</v>
      </c>
      <c r="I440" s="1428" t="s">
        <v>969</v>
      </c>
      <c r="J440" s="1428" t="s">
        <v>1419</v>
      </c>
      <c r="K440" s="1428" t="s">
        <v>1443</v>
      </c>
      <c r="L440" s="1480" t="s">
        <v>1444</v>
      </c>
      <c r="M440" s="1477" t="s">
        <v>1445</v>
      </c>
      <c r="N440" s="1477" t="s">
        <v>1566</v>
      </c>
      <c r="O440" s="1477" t="s">
        <v>1613</v>
      </c>
      <c r="P440" s="1477" t="s">
        <v>1660</v>
      </c>
      <c r="Q440" s="1477" t="s">
        <v>1749</v>
      </c>
      <c r="R440" s="1481" t="s">
        <v>31</v>
      </c>
      <c r="S440" s="1481" t="s">
        <v>32</v>
      </c>
      <c r="T440" s="1440"/>
    </row>
    <row r="441" spans="1:20" x14ac:dyDescent="0.25">
      <c r="A441" s="1455" t="s">
        <v>443</v>
      </c>
      <c r="B441" s="1451">
        <v>0</v>
      </c>
      <c r="C441" s="1451">
        <v>1</v>
      </c>
      <c r="D441" s="1451">
        <v>0</v>
      </c>
      <c r="E441" s="1452">
        <v>0</v>
      </c>
      <c r="F441" s="1451">
        <v>1</v>
      </c>
      <c r="G441" s="1452">
        <v>0</v>
      </c>
      <c r="H441" s="1453">
        <v>0</v>
      </c>
      <c r="I441" s="1453">
        <v>0</v>
      </c>
      <c r="J441" s="1453">
        <v>2</v>
      </c>
      <c r="K441" s="1453">
        <v>0</v>
      </c>
      <c r="L441" s="1453">
        <v>0</v>
      </c>
      <c r="M441" s="1453">
        <v>0</v>
      </c>
      <c r="N441" s="1453">
        <v>0</v>
      </c>
      <c r="O441" s="1453">
        <v>0</v>
      </c>
      <c r="P441" s="1453">
        <v>0</v>
      </c>
      <c r="Q441" s="1453">
        <v>0</v>
      </c>
      <c r="R441" s="1434" t="str">
        <f t="shared" ref="R441:R446" si="112">IF(Q441+P441+O441+N441+M441=0," ",AVERAGEIF(M441:Q441,"&lt;&gt;0"))</f>
        <v xml:space="preserve"> </v>
      </c>
      <c r="S441" s="1435">
        <f t="shared" ref="S441:S446" si="113">+Q441/$Q$466</f>
        <v>0</v>
      </c>
      <c r="T441" s="1440"/>
    </row>
    <row r="442" spans="1:20" x14ac:dyDescent="0.25">
      <c r="A442" s="1455" t="s">
        <v>444</v>
      </c>
      <c r="B442" s="1451">
        <v>0</v>
      </c>
      <c r="C442" s="1451">
        <v>0</v>
      </c>
      <c r="D442" s="1451">
        <v>1</v>
      </c>
      <c r="E442" s="1452">
        <v>0</v>
      </c>
      <c r="F442" s="1451">
        <v>1</v>
      </c>
      <c r="G442" s="1452">
        <v>0</v>
      </c>
      <c r="H442" s="1453">
        <v>1</v>
      </c>
      <c r="I442" s="1453">
        <v>0</v>
      </c>
      <c r="J442" s="1453">
        <v>0</v>
      </c>
      <c r="K442" s="1453">
        <v>1</v>
      </c>
      <c r="L442" s="1453">
        <v>1</v>
      </c>
      <c r="M442" s="1453">
        <v>0</v>
      </c>
      <c r="N442" s="1453">
        <v>0</v>
      </c>
      <c r="O442" s="1453">
        <v>0</v>
      </c>
      <c r="P442" s="1453">
        <v>0</v>
      </c>
      <c r="Q442" s="1453">
        <v>0</v>
      </c>
      <c r="R442" s="1434" t="str">
        <f t="shared" si="112"/>
        <v xml:space="preserve"> </v>
      </c>
      <c r="S442" s="1435">
        <f t="shared" si="113"/>
        <v>0</v>
      </c>
      <c r="T442" s="1440"/>
    </row>
    <row r="443" spans="1:20" x14ac:dyDescent="0.25">
      <c r="A443" s="1445" t="s">
        <v>445</v>
      </c>
      <c r="B443" s="1430">
        <v>0</v>
      </c>
      <c r="C443" s="1430">
        <v>4</v>
      </c>
      <c r="D443" s="1430">
        <v>0</v>
      </c>
      <c r="E443" s="1431">
        <v>1</v>
      </c>
      <c r="F443" s="1430">
        <v>1</v>
      </c>
      <c r="G443" s="1431">
        <v>1</v>
      </c>
      <c r="H443" s="1432">
        <v>1</v>
      </c>
      <c r="I443" s="1432">
        <v>1</v>
      </c>
      <c r="J443" s="1432">
        <v>1</v>
      </c>
      <c r="K443" s="1432">
        <v>0</v>
      </c>
      <c r="L443" s="1432">
        <v>0</v>
      </c>
      <c r="M443" s="1432">
        <v>0</v>
      </c>
      <c r="N443" s="1432">
        <v>2</v>
      </c>
      <c r="O443" s="1432">
        <v>0</v>
      </c>
      <c r="P443" s="1432">
        <v>0</v>
      </c>
      <c r="Q443" s="1432">
        <v>0</v>
      </c>
      <c r="R443" s="1434">
        <f t="shared" si="112"/>
        <v>2</v>
      </c>
      <c r="S443" s="1435">
        <f t="shared" si="113"/>
        <v>0</v>
      </c>
      <c r="T443" s="1440"/>
    </row>
    <row r="444" spans="1:20" x14ac:dyDescent="0.25">
      <c r="A444" s="1445" t="s">
        <v>446</v>
      </c>
      <c r="B444" s="1430">
        <v>1</v>
      </c>
      <c r="C444" s="1430">
        <v>0</v>
      </c>
      <c r="D444" s="1430">
        <v>1</v>
      </c>
      <c r="E444" s="1431">
        <v>0</v>
      </c>
      <c r="F444" s="1430">
        <v>0</v>
      </c>
      <c r="G444" s="1431">
        <v>0</v>
      </c>
      <c r="H444" s="1432">
        <v>0</v>
      </c>
      <c r="I444" s="1432">
        <v>0</v>
      </c>
      <c r="J444" s="1432">
        <v>0</v>
      </c>
      <c r="K444" s="1432">
        <v>2</v>
      </c>
      <c r="L444" s="1432">
        <v>1</v>
      </c>
      <c r="M444" s="1432">
        <v>0</v>
      </c>
      <c r="N444" s="1432">
        <v>1</v>
      </c>
      <c r="O444" s="1432">
        <v>1</v>
      </c>
      <c r="P444" s="1432">
        <v>0</v>
      </c>
      <c r="Q444" s="1432">
        <v>1</v>
      </c>
      <c r="R444" s="1434">
        <f t="shared" si="112"/>
        <v>1</v>
      </c>
      <c r="S444" s="1435">
        <f t="shared" si="113"/>
        <v>1.7921146953405018E-3</v>
      </c>
      <c r="T444" s="1440"/>
    </row>
    <row r="445" spans="1:20" x14ac:dyDescent="0.25">
      <c r="A445" s="1445" t="s">
        <v>447</v>
      </c>
      <c r="B445" s="1430">
        <v>3</v>
      </c>
      <c r="C445" s="1430">
        <v>2</v>
      </c>
      <c r="D445" s="1430">
        <v>0</v>
      </c>
      <c r="E445" s="1431">
        <v>0</v>
      </c>
      <c r="F445" s="1430">
        <v>1</v>
      </c>
      <c r="G445" s="1431">
        <v>1</v>
      </c>
      <c r="H445" s="1432">
        <v>0</v>
      </c>
      <c r="I445" s="1432">
        <v>0</v>
      </c>
      <c r="J445" s="1432">
        <v>1</v>
      </c>
      <c r="K445" s="1432">
        <v>1</v>
      </c>
      <c r="L445" s="1432">
        <v>0</v>
      </c>
      <c r="M445" s="1433">
        <v>1</v>
      </c>
      <c r="N445" s="1433">
        <v>1</v>
      </c>
      <c r="O445" s="1433">
        <v>0</v>
      </c>
      <c r="P445" s="1433">
        <v>0</v>
      </c>
      <c r="Q445" s="1433">
        <v>0</v>
      </c>
      <c r="R445" s="1434">
        <f t="shared" si="112"/>
        <v>1</v>
      </c>
      <c r="S445" s="1435">
        <f t="shared" si="113"/>
        <v>0</v>
      </c>
      <c r="T445" s="1440"/>
    </row>
    <row r="446" spans="1:20" x14ac:dyDescent="0.25">
      <c r="A446" s="1449" t="s">
        <v>36</v>
      </c>
      <c r="B446" s="1437">
        <f t="shared" ref="B446:J446" si="114">SUM(B441:B445)</f>
        <v>4</v>
      </c>
      <c r="C446" s="1437">
        <f t="shared" si="114"/>
        <v>7</v>
      </c>
      <c r="D446" s="1437">
        <f t="shared" si="114"/>
        <v>2</v>
      </c>
      <c r="E446" s="1438">
        <f t="shared" si="114"/>
        <v>1</v>
      </c>
      <c r="F446" s="1437">
        <f t="shared" si="114"/>
        <v>4</v>
      </c>
      <c r="G446" s="1438">
        <f t="shared" si="114"/>
        <v>2</v>
      </c>
      <c r="H446" s="1434">
        <f t="shared" si="114"/>
        <v>2</v>
      </c>
      <c r="I446" s="1434">
        <f t="shared" si="114"/>
        <v>1</v>
      </c>
      <c r="J446" s="1434">
        <f t="shared" si="114"/>
        <v>4</v>
      </c>
      <c r="K446" s="1434">
        <f t="shared" ref="K446:P446" si="115">SUM(K441:K445)</f>
        <v>4</v>
      </c>
      <c r="L446" s="1434">
        <f t="shared" si="115"/>
        <v>2</v>
      </c>
      <c r="M446" s="1434">
        <f t="shared" si="115"/>
        <v>1</v>
      </c>
      <c r="N446" s="1434">
        <f t="shared" si="115"/>
        <v>4</v>
      </c>
      <c r="O446" s="1434">
        <f t="shared" si="115"/>
        <v>1</v>
      </c>
      <c r="P446" s="1434">
        <f t="shared" si="115"/>
        <v>0</v>
      </c>
      <c r="Q446" s="1434">
        <f>SUM(Q441:Q445)</f>
        <v>1</v>
      </c>
      <c r="R446" s="1434">
        <f t="shared" si="112"/>
        <v>1.75</v>
      </c>
      <c r="S446" s="1439">
        <f t="shared" si="113"/>
        <v>1.7921146953405018E-3</v>
      </c>
      <c r="T446" s="1440"/>
    </row>
    <row r="447" spans="1:20" x14ac:dyDescent="0.25">
      <c r="A447" s="1478" t="s">
        <v>448</v>
      </c>
      <c r="B447" s="1425" t="s">
        <v>908</v>
      </c>
      <c r="C447" s="1425" t="s">
        <v>617</v>
      </c>
      <c r="D447" s="1425" t="s">
        <v>1360</v>
      </c>
      <c r="E447" s="1426" t="s">
        <v>592</v>
      </c>
      <c r="F447" s="1425" t="s">
        <v>921</v>
      </c>
      <c r="G447" s="1426" t="s">
        <v>676</v>
      </c>
      <c r="H447" s="1427" t="s">
        <v>777</v>
      </c>
      <c r="I447" s="1428" t="s">
        <v>969</v>
      </c>
      <c r="J447" s="1428" t="s">
        <v>1419</v>
      </c>
      <c r="K447" s="1428" t="s">
        <v>1443</v>
      </c>
      <c r="L447" s="1480" t="s">
        <v>1444</v>
      </c>
      <c r="M447" s="1477" t="s">
        <v>1445</v>
      </c>
      <c r="N447" s="1477" t="s">
        <v>1566</v>
      </c>
      <c r="O447" s="1477" t="s">
        <v>1613</v>
      </c>
      <c r="P447" s="1477" t="s">
        <v>1660</v>
      </c>
      <c r="Q447" s="1477" t="s">
        <v>1749</v>
      </c>
      <c r="R447" s="1481" t="s">
        <v>31</v>
      </c>
      <c r="S447" s="1481" t="s">
        <v>32</v>
      </c>
      <c r="T447" s="1440"/>
    </row>
    <row r="448" spans="1:20" x14ac:dyDescent="0.25">
      <c r="A448" s="1445" t="s">
        <v>449</v>
      </c>
      <c r="B448" s="1430">
        <v>0</v>
      </c>
      <c r="C448" s="1430">
        <v>0</v>
      </c>
      <c r="D448" s="1430">
        <v>0</v>
      </c>
      <c r="E448" s="1431">
        <v>0</v>
      </c>
      <c r="F448" s="1430">
        <v>0</v>
      </c>
      <c r="G448" s="1431">
        <v>0</v>
      </c>
      <c r="H448" s="1432">
        <v>0</v>
      </c>
      <c r="I448" s="1432">
        <v>0</v>
      </c>
      <c r="J448" s="1432">
        <v>0</v>
      </c>
      <c r="K448" s="1432">
        <v>0</v>
      </c>
      <c r="L448" s="1432">
        <v>0</v>
      </c>
      <c r="M448" s="1433">
        <v>0</v>
      </c>
      <c r="N448" s="1433">
        <v>0</v>
      </c>
      <c r="O448" s="1433">
        <v>1</v>
      </c>
      <c r="P448" s="1433">
        <v>0</v>
      </c>
      <c r="Q448" s="1433">
        <v>0</v>
      </c>
      <c r="R448" s="1434">
        <f t="shared" ref="R448:R466" si="116">IF(Q448+P448+O448+N448+M448=0," ",AVERAGEIF(M448:Q448,"&lt;&gt;0"))</f>
        <v>1</v>
      </c>
      <c r="S448" s="1435">
        <f t="shared" ref="S448:S466" si="117">+Q448/$Q$466</f>
        <v>0</v>
      </c>
      <c r="T448" s="1440"/>
    </row>
    <row r="449" spans="1:20" x14ac:dyDescent="0.25">
      <c r="A449" s="1445" t="s">
        <v>450</v>
      </c>
      <c r="B449" s="1430">
        <v>2</v>
      </c>
      <c r="C449" s="1430">
        <v>4</v>
      </c>
      <c r="D449" s="1430">
        <v>0</v>
      </c>
      <c r="E449" s="1431">
        <v>1</v>
      </c>
      <c r="F449" s="1430">
        <v>1</v>
      </c>
      <c r="G449" s="1431">
        <v>0</v>
      </c>
      <c r="H449" s="1432">
        <v>3</v>
      </c>
      <c r="I449" s="1432">
        <v>1</v>
      </c>
      <c r="J449" s="1432">
        <v>3</v>
      </c>
      <c r="K449" s="1432">
        <v>3</v>
      </c>
      <c r="L449" s="1432">
        <v>2</v>
      </c>
      <c r="M449" s="1433">
        <v>5</v>
      </c>
      <c r="N449" s="1433">
        <v>3</v>
      </c>
      <c r="O449" s="1433">
        <v>6</v>
      </c>
      <c r="P449" s="1433">
        <v>3</v>
      </c>
      <c r="Q449" s="1433">
        <v>9</v>
      </c>
      <c r="R449" s="1434">
        <f t="shared" si="116"/>
        <v>5.2</v>
      </c>
      <c r="S449" s="1435">
        <f t="shared" si="117"/>
        <v>1.6129032258064516E-2</v>
      </c>
      <c r="T449" s="1440"/>
    </row>
    <row r="450" spans="1:20" x14ac:dyDescent="0.25">
      <c r="A450" s="1445" t="s">
        <v>451</v>
      </c>
      <c r="B450" s="1430">
        <v>2</v>
      </c>
      <c r="C450" s="1430">
        <v>5</v>
      </c>
      <c r="D450" s="1430">
        <v>6</v>
      </c>
      <c r="E450" s="1431">
        <v>2</v>
      </c>
      <c r="F450" s="1430">
        <v>1</v>
      </c>
      <c r="G450" s="1431">
        <v>2</v>
      </c>
      <c r="H450" s="1432">
        <v>2</v>
      </c>
      <c r="I450" s="1432">
        <v>1</v>
      </c>
      <c r="J450" s="1432">
        <v>2</v>
      </c>
      <c r="K450" s="1432">
        <v>0</v>
      </c>
      <c r="L450" s="1432">
        <v>0</v>
      </c>
      <c r="M450" s="1433">
        <v>2</v>
      </c>
      <c r="N450" s="1433">
        <v>3</v>
      </c>
      <c r="O450" s="1433">
        <v>3</v>
      </c>
      <c r="P450" s="1433">
        <v>0</v>
      </c>
      <c r="Q450" s="1433">
        <v>1</v>
      </c>
      <c r="R450" s="1434">
        <f t="shared" si="116"/>
        <v>2.25</v>
      </c>
      <c r="S450" s="1435">
        <f t="shared" si="117"/>
        <v>1.7921146953405018E-3</v>
      </c>
      <c r="T450" s="1440"/>
    </row>
    <row r="451" spans="1:20" x14ac:dyDescent="0.25">
      <c r="A451" s="1457" t="s">
        <v>1497</v>
      </c>
      <c r="B451" s="1430">
        <v>0</v>
      </c>
      <c r="C451" s="1430">
        <v>0</v>
      </c>
      <c r="D451" s="1430">
        <v>0</v>
      </c>
      <c r="E451" s="1431">
        <v>0</v>
      </c>
      <c r="F451" s="1430">
        <v>0</v>
      </c>
      <c r="G451" s="1431">
        <v>0</v>
      </c>
      <c r="H451" s="1432">
        <v>0</v>
      </c>
      <c r="I451" s="1432">
        <v>0</v>
      </c>
      <c r="J451" s="1432">
        <v>0</v>
      </c>
      <c r="K451" s="1432">
        <v>0</v>
      </c>
      <c r="L451" s="1432">
        <v>0</v>
      </c>
      <c r="M451" s="1433">
        <v>2</v>
      </c>
      <c r="N451" s="1433">
        <v>5</v>
      </c>
      <c r="O451" s="1433">
        <v>3</v>
      </c>
      <c r="P451" s="1433">
        <v>1</v>
      </c>
      <c r="Q451" s="1433">
        <v>0</v>
      </c>
      <c r="R451" s="1434">
        <f t="shared" si="116"/>
        <v>2.75</v>
      </c>
      <c r="S451" s="1435">
        <f t="shared" si="117"/>
        <v>0</v>
      </c>
      <c r="T451" s="1440"/>
    </row>
    <row r="452" spans="1:20" x14ac:dyDescent="0.25">
      <c r="A452" s="1445" t="s">
        <v>452</v>
      </c>
      <c r="B452" s="1430">
        <v>4</v>
      </c>
      <c r="C452" s="1430">
        <v>5</v>
      </c>
      <c r="D452" s="1430">
        <v>4</v>
      </c>
      <c r="E452" s="1431">
        <v>3</v>
      </c>
      <c r="F452" s="1430">
        <v>8</v>
      </c>
      <c r="G452" s="1431">
        <v>3</v>
      </c>
      <c r="H452" s="1432">
        <v>3</v>
      </c>
      <c r="I452" s="1432">
        <v>3</v>
      </c>
      <c r="J452" s="1432">
        <v>0</v>
      </c>
      <c r="K452" s="1432">
        <v>0</v>
      </c>
      <c r="L452" s="1432">
        <v>7</v>
      </c>
      <c r="M452" s="1433">
        <v>3</v>
      </c>
      <c r="N452" s="1433">
        <v>2</v>
      </c>
      <c r="O452" s="1433">
        <v>0</v>
      </c>
      <c r="P452" s="1433">
        <v>4</v>
      </c>
      <c r="Q452" s="1433">
        <v>1</v>
      </c>
      <c r="R452" s="1434">
        <f t="shared" si="116"/>
        <v>2.5</v>
      </c>
      <c r="S452" s="1435">
        <f t="shared" si="117"/>
        <v>1.7921146953405018E-3</v>
      </c>
      <c r="T452" s="1440"/>
    </row>
    <row r="453" spans="1:20" x14ac:dyDescent="0.25">
      <c r="A453" s="1445" t="s">
        <v>453</v>
      </c>
      <c r="B453" s="1430">
        <v>2</v>
      </c>
      <c r="C453" s="1430">
        <v>4</v>
      </c>
      <c r="D453" s="1430">
        <v>3</v>
      </c>
      <c r="E453" s="1431">
        <v>5</v>
      </c>
      <c r="F453" s="1430">
        <v>9</v>
      </c>
      <c r="G453" s="1431">
        <v>2</v>
      </c>
      <c r="H453" s="1432">
        <v>3</v>
      </c>
      <c r="I453" s="1432">
        <v>0</v>
      </c>
      <c r="J453" s="1432">
        <v>0</v>
      </c>
      <c r="K453" s="1432">
        <v>2</v>
      </c>
      <c r="L453" s="1432">
        <v>5</v>
      </c>
      <c r="M453" s="1433">
        <v>1</v>
      </c>
      <c r="N453" s="1433">
        <v>4</v>
      </c>
      <c r="O453" s="1433">
        <v>2</v>
      </c>
      <c r="P453" s="1433">
        <v>3</v>
      </c>
      <c r="Q453" s="1433">
        <v>0</v>
      </c>
      <c r="R453" s="1434">
        <f t="shared" si="116"/>
        <v>2.5</v>
      </c>
      <c r="S453" s="1435">
        <f t="shared" si="117"/>
        <v>0</v>
      </c>
      <c r="T453" s="1440"/>
    </row>
    <row r="454" spans="1:20" x14ac:dyDescent="0.25">
      <c r="A454" s="1445" t="s">
        <v>1498</v>
      </c>
      <c r="B454" s="1430"/>
      <c r="C454" s="1430"/>
      <c r="D454" s="1430"/>
      <c r="E454" s="1431">
        <v>0</v>
      </c>
      <c r="F454" s="1430">
        <v>0</v>
      </c>
      <c r="G454" s="1431">
        <v>0</v>
      </c>
      <c r="H454" s="1432">
        <v>0</v>
      </c>
      <c r="I454" s="1432">
        <v>0</v>
      </c>
      <c r="J454" s="1432">
        <v>0</v>
      </c>
      <c r="K454" s="1432">
        <v>0</v>
      </c>
      <c r="L454" s="1432">
        <v>1</v>
      </c>
      <c r="M454" s="1433">
        <v>1</v>
      </c>
      <c r="N454" s="1433">
        <v>6</v>
      </c>
      <c r="O454" s="1433">
        <v>2</v>
      </c>
      <c r="P454" s="1433">
        <v>5</v>
      </c>
      <c r="Q454" s="1433">
        <v>7</v>
      </c>
      <c r="R454" s="1434">
        <f t="shared" si="116"/>
        <v>4.2</v>
      </c>
      <c r="S454" s="1435">
        <f t="shared" si="117"/>
        <v>1.2544802867383513E-2</v>
      </c>
      <c r="T454" s="1440"/>
    </row>
    <row r="455" spans="1:20" x14ac:dyDescent="0.25">
      <c r="A455" s="1445" t="s">
        <v>454</v>
      </c>
      <c r="B455" s="1430">
        <v>0</v>
      </c>
      <c r="C455" s="1430">
        <v>0</v>
      </c>
      <c r="D455" s="1430">
        <v>1</v>
      </c>
      <c r="E455" s="1431">
        <v>0</v>
      </c>
      <c r="F455" s="1430">
        <v>0</v>
      </c>
      <c r="G455" s="1431">
        <v>0</v>
      </c>
      <c r="H455" s="1432">
        <v>0</v>
      </c>
      <c r="I455" s="1432">
        <v>1</v>
      </c>
      <c r="J455" s="1432">
        <v>0</v>
      </c>
      <c r="K455" s="1432">
        <v>0</v>
      </c>
      <c r="L455" s="1432">
        <v>0</v>
      </c>
      <c r="M455" s="1433">
        <v>0</v>
      </c>
      <c r="N455" s="1433">
        <v>1</v>
      </c>
      <c r="O455" s="1433">
        <v>0</v>
      </c>
      <c r="P455" s="1433">
        <v>0</v>
      </c>
      <c r="Q455" s="1433">
        <v>0</v>
      </c>
      <c r="R455" s="1434">
        <f t="shared" si="116"/>
        <v>1</v>
      </c>
      <c r="S455" s="1435">
        <f t="shared" si="117"/>
        <v>0</v>
      </c>
      <c r="T455" s="1440"/>
    </row>
    <row r="456" spans="1:20" x14ac:dyDescent="0.25">
      <c r="A456" s="1445" t="s">
        <v>455</v>
      </c>
      <c r="B456" s="1430">
        <v>0</v>
      </c>
      <c r="C456" s="1430">
        <v>1</v>
      </c>
      <c r="D456" s="1430">
        <v>0</v>
      </c>
      <c r="E456" s="1431">
        <v>0</v>
      </c>
      <c r="F456" s="1430">
        <v>1</v>
      </c>
      <c r="G456" s="1431">
        <v>1</v>
      </c>
      <c r="H456" s="1432">
        <v>0</v>
      </c>
      <c r="I456" s="1432">
        <v>0</v>
      </c>
      <c r="J456" s="1432">
        <v>0</v>
      </c>
      <c r="K456" s="1432">
        <v>0</v>
      </c>
      <c r="L456" s="1432">
        <v>0</v>
      </c>
      <c r="M456" s="1433">
        <v>0</v>
      </c>
      <c r="N456" s="1433">
        <v>2</v>
      </c>
      <c r="O456" s="1433">
        <v>0</v>
      </c>
      <c r="P456" s="1433">
        <v>0</v>
      </c>
      <c r="Q456" s="1433">
        <v>1</v>
      </c>
      <c r="R456" s="1434">
        <f t="shared" si="116"/>
        <v>1.5</v>
      </c>
      <c r="S456" s="1435">
        <f t="shared" si="117"/>
        <v>1.7921146953405018E-3</v>
      </c>
      <c r="T456" s="1440"/>
    </row>
    <row r="457" spans="1:20" x14ac:dyDescent="0.25">
      <c r="A457" s="1445" t="s">
        <v>456</v>
      </c>
      <c r="B457" s="1430">
        <v>1</v>
      </c>
      <c r="C457" s="1430">
        <v>3</v>
      </c>
      <c r="D457" s="1430">
        <v>6</v>
      </c>
      <c r="E457" s="1431">
        <v>5</v>
      </c>
      <c r="F457" s="1430">
        <v>7</v>
      </c>
      <c r="G457" s="1431">
        <v>4</v>
      </c>
      <c r="H457" s="1432">
        <v>4</v>
      </c>
      <c r="I457" s="1432">
        <v>2</v>
      </c>
      <c r="J457" s="1432">
        <v>2</v>
      </c>
      <c r="K457" s="1432">
        <v>2</v>
      </c>
      <c r="L457" s="1432">
        <v>1</v>
      </c>
      <c r="M457" s="1433">
        <v>1</v>
      </c>
      <c r="N457" s="1433">
        <v>5</v>
      </c>
      <c r="O457" s="1433">
        <v>4</v>
      </c>
      <c r="P457" s="1433">
        <v>2</v>
      </c>
      <c r="Q457" s="1433">
        <v>2</v>
      </c>
      <c r="R457" s="1434">
        <f t="shared" si="116"/>
        <v>2.8</v>
      </c>
      <c r="S457" s="1435">
        <f t="shared" si="117"/>
        <v>3.5842293906810036E-3</v>
      </c>
      <c r="T457" s="1440"/>
    </row>
    <row r="458" spans="1:20" x14ac:dyDescent="0.25">
      <c r="A458" s="1449" t="s">
        <v>36</v>
      </c>
      <c r="B458" s="1437">
        <f t="shared" ref="B458:J458" si="118">SUM(B448:B457)</f>
        <v>11</v>
      </c>
      <c r="C458" s="1437">
        <f t="shared" si="118"/>
        <v>22</v>
      </c>
      <c r="D458" s="1437">
        <f t="shared" si="118"/>
        <v>20</v>
      </c>
      <c r="E458" s="1438">
        <f t="shared" si="118"/>
        <v>16</v>
      </c>
      <c r="F458" s="1437">
        <f t="shared" si="118"/>
        <v>27</v>
      </c>
      <c r="G458" s="1438">
        <f t="shared" si="118"/>
        <v>12</v>
      </c>
      <c r="H458" s="1434">
        <f t="shared" si="118"/>
        <v>15</v>
      </c>
      <c r="I458" s="1434">
        <f>SUM(I448:I457)</f>
        <v>8</v>
      </c>
      <c r="J458" s="1434">
        <f t="shared" si="118"/>
        <v>7</v>
      </c>
      <c r="K458" s="1434">
        <f t="shared" ref="K458:P458" si="119">SUM(K448:K457)</f>
        <v>7</v>
      </c>
      <c r="L458" s="1434">
        <f t="shared" si="119"/>
        <v>16</v>
      </c>
      <c r="M458" s="1434">
        <f t="shared" si="119"/>
        <v>15</v>
      </c>
      <c r="N458" s="1434">
        <f t="shared" si="119"/>
        <v>31</v>
      </c>
      <c r="O458" s="1434">
        <f t="shared" si="119"/>
        <v>21</v>
      </c>
      <c r="P458" s="1434">
        <f t="shared" si="119"/>
        <v>18</v>
      </c>
      <c r="Q458" s="1434">
        <f>SUM(Q448:Q457)</f>
        <v>21</v>
      </c>
      <c r="R458" s="1434">
        <f t="shared" si="116"/>
        <v>21.2</v>
      </c>
      <c r="S458" s="1439">
        <f t="shared" si="117"/>
        <v>3.7634408602150539E-2</v>
      </c>
      <c r="T458" s="1440"/>
    </row>
    <row r="459" spans="1:20" x14ac:dyDescent="0.25">
      <c r="A459" s="1478" t="s">
        <v>457</v>
      </c>
      <c r="B459" s="1465">
        <f t="shared" ref="B459:H459" si="120">+B9+B23+B26+B39+B44+B51+B64+B79+B83+B120+B125+B130+B137+B144+B150+B157+B164+B176+B181+B185+B198+B207+B237+B249+B254+B267+B273+B280+B286+B292+B299+B320+B324+B332+B336+B342+B349+B363+B370+B398+B402+B420+B433+B439+B446+B458</f>
        <v>937</v>
      </c>
      <c r="C459" s="1465">
        <f t="shared" si="120"/>
        <v>846</v>
      </c>
      <c r="D459" s="1465">
        <f t="shared" si="120"/>
        <v>952</v>
      </c>
      <c r="E459" s="1466">
        <f t="shared" si="120"/>
        <v>518</v>
      </c>
      <c r="F459" s="1465">
        <f t="shared" si="120"/>
        <v>610</v>
      </c>
      <c r="G459" s="1466">
        <f t="shared" si="120"/>
        <v>548</v>
      </c>
      <c r="H459" s="1467">
        <f t="shared" si="120"/>
        <v>536</v>
      </c>
      <c r="I459" s="1467">
        <f t="shared" ref="I459:O459" si="121">+I9+I23+I26+I39+I44+I51+I64+I79+I83+I120+I125+I130+I137+I144+I150+I157+I164+I176+I181+I185+I198+I207+I237+I249+I254+I267+I273+I280+I286+I292+I299+I320+I324+I332+I336+I342+I349+I363+I370+I398+I402+I420+I433+I439+I446+I458+I26</f>
        <v>395</v>
      </c>
      <c r="J459" s="1467">
        <f t="shared" si="121"/>
        <v>497</v>
      </c>
      <c r="K459" s="1467">
        <f t="shared" si="121"/>
        <v>513</v>
      </c>
      <c r="L459" s="1476">
        <f t="shared" si="121"/>
        <v>636</v>
      </c>
      <c r="M459" s="1476">
        <f t="shared" si="121"/>
        <v>558</v>
      </c>
      <c r="N459" s="1476">
        <f t="shared" si="121"/>
        <v>513</v>
      </c>
      <c r="O459" s="1476">
        <f t="shared" si="121"/>
        <v>469</v>
      </c>
      <c r="P459" s="1476">
        <f>+P9+P23+P26+P39+P44+P51+P64+P79+P83+P120+P125+P130+P137+P144+P150+P157+P164+P176+P181+P185+P198+P207+P237+P249+P254+P267+P273+P280+P286+P292+P299+P320+P324+P332+P336+P342+P349+P363+P370+P398+P402+P420+P433+P439+P446+P458</f>
        <v>499</v>
      </c>
      <c r="Q459" s="1476">
        <f>+Q9+Q23+Q26+Q39+Q44+Q51+Q64+Q79+Q83+Q120+Q125+Q130+Q137+Q144+Q150+Q157+Q164+Q176+Q181+Q185+Q198+Q207+Q237+Q249+Q254+Q267+Q273+Q280+Q286+Q292+Q299+Q320+Q324+Q332+Q336+Q342+Q349+Q363+Q370+Q398+Q402+Q420+Q433+Q439+Q446+Q458</f>
        <v>497</v>
      </c>
      <c r="R459" s="1475">
        <f t="shared" si="116"/>
        <v>507.2</v>
      </c>
      <c r="S459" s="2025">
        <f t="shared" si="117"/>
        <v>0.89068100358422941</v>
      </c>
      <c r="T459" s="1440"/>
    </row>
    <row r="460" spans="1:20" x14ac:dyDescent="0.25">
      <c r="A460" s="1445" t="s">
        <v>1318</v>
      </c>
      <c r="B460" s="1430">
        <v>28</v>
      </c>
      <c r="C460" s="1430">
        <v>23</v>
      </c>
      <c r="D460" s="1447">
        <v>20</v>
      </c>
      <c r="E460" s="1468">
        <v>18</v>
      </c>
      <c r="F460" s="1447">
        <v>28</v>
      </c>
      <c r="G460" s="1468">
        <v>25</v>
      </c>
      <c r="H460" s="1433">
        <v>34</v>
      </c>
      <c r="I460" s="1433">
        <v>30</v>
      </c>
      <c r="J460" s="1433">
        <v>46</v>
      </c>
      <c r="K460" s="1433">
        <v>38</v>
      </c>
      <c r="L460" s="1433">
        <v>40</v>
      </c>
      <c r="M460" s="1433">
        <v>26</v>
      </c>
      <c r="N460" s="1433">
        <v>40</v>
      </c>
      <c r="O460" s="1433">
        <v>36</v>
      </c>
      <c r="P460" s="1433">
        <v>33</v>
      </c>
      <c r="Q460" s="1433">
        <v>42</v>
      </c>
      <c r="R460" s="1434">
        <f t="shared" si="116"/>
        <v>35.4</v>
      </c>
      <c r="S460" s="1435">
        <f t="shared" si="117"/>
        <v>7.5268817204301078E-2</v>
      </c>
      <c r="T460" s="1440"/>
    </row>
    <row r="461" spans="1:20" x14ac:dyDescent="0.25">
      <c r="A461" s="1445" t="s">
        <v>1260</v>
      </c>
      <c r="B461" s="1430">
        <v>11</v>
      </c>
      <c r="C461" s="1430">
        <v>9</v>
      </c>
      <c r="D461" s="1447">
        <v>6</v>
      </c>
      <c r="E461" s="1468">
        <v>6</v>
      </c>
      <c r="F461" s="1447">
        <v>10</v>
      </c>
      <c r="G461" s="1468">
        <v>3</v>
      </c>
      <c r="H461" s="1433">
        <v>8</v>
      </c>
      <c r="I461" s="1433">
        <v>2</v>
      </c>
      <c r="J461" s="1433">
        <v>8</v>
      </c>
      <c r="K461" s="1433">
        <v>23</v>
      </c>
      <c r="L461" s="1433">
        <v>6</v>
      </c>
      <c r="M461" s="1433">
        <v>6</v>
      </c>
      <c r="N461" s="1433">
        <v>6</v>
      </c>
      <c r="O461" s="1433">
        <v>5</v>
      </c>
      <c r="P461" s="1433">
        <v>13</v>
      </c>
      <c r="Q461" s="1433">
        <v>19</v>
      </c>
      <c r="R461" s="1434">
        <f t="shared" si="116"/>
        <v>9.8000000000000007</v>
      </c>
      <c r="S461" s="1435">
        <f t="shared" si="117"/>
        <v>3.4050179211469536E-2</v>
      </c>
      <c r="T461" s="1440"/>
    </row>
    <row r="462" spans="1:20" x14ac:dyDescent="0.25">
      <c r="A462" s="1445" t="s">
        <v>458</v>
      </c>
      <c r="B462" s="1430">
        <v>0</v>
      </c>
      <c r="C462" s="1430">
        <v>2</v>
      </c>
      <c r="D462" s="1430">
        <v>2</v>
      </c>
      <c r="E462" s="1431">
        <v>4</v>
      </c>
      <c r="F462" s="1430">
        <v>1</v>
      </c>
      <c r="G462" s="1431">
        <v>1</v>
      </c>
      <c r="H462" s="1432">
        <v>1</v>
      </c>
      <c r="I462" s="1432">
        <v>2</v>
      </c>
      <c r="J462" s="1432">
        <v>0</v>
      </c>
      <c r="K462" s="1432">
        <v>1</v>
      </c>
      <c r="L462" s="1432">
        <v>0</v>
      </c>
      <c r="M462" s="1432">
        <v>0</v>
      </c>
      <c r="N462" s="1432">
        <v>9</v>
      </c>
      <c r="O462" s="1432">
        <v>0</v>
      </c>
      <c r="P462" s="1432">
        <v>1</v>
      </c>
      <c r="Q462" s="1432">
        <v>0</v>
      </c>
      <c r="R462" s="1434">
        <f t="shared" si="116"/>
        <v>5</v>
      </c>
      <c r="S462" s="1435">
        <f t="shared" si="117"/>
        <v>0</v>
      </c>
      <c r="T462" s="1440"/>
    </row>
    <row r="463" spans="1:20" x14ac:dyDescent="0.25">
      <c r="A463" s="1445" t="s">
        <v>459</v>
      </c>
      <c r="B463" s="1430">
        <v>0</v>
      </c>
      <c r="C463" s="1430">
        <v>2</v>
      </c>
      <c r="D463" s="1430">
        <v>1</v>
      </c>
      <c r="E463" s="1431">
        <v>1</v>
      </c>
      <c r="F463" s="1430">
        <v>3</v>
      </c>
      <c r="G463" s="1431">
        <v>0</v>
      </c>
      <c r="H463" s="1432">
        <v>1</v>
      </c>
      <c r="I463" s="1432">
        <v>3</v>
      </c>
      <c r="J463" s="1432">
        <v>4</v>
      </c>
      <c r="K463" s="1432">
        <v>5</v>
      </c>
      <c r="L463" s="1432">
        <v>4</v>
      </c>
      <c r="M463" s="1432">
        <v>3</v>
      </c>
      <c r="N463" s="1432">
        <v>3</v>
      </c>
      <c r="O463" s="1432">
        <v>3</v>
      </c>
      <c r="P463" s="1432">
        <v>4</v>
      </c>
      <c r="Q463" s="1432">
        <v>0</v>
      </c>
      <c r="R463" s="1434">
        <f t="shared" si="116"/>
        <v>3.25</v>
      </c>
      <c r="S463" s="1435">
        <f t="shared" si="117"/>
        <v>0</v>
      </c>
      <c r="T463" s="1440"/>
    </row>
    <row r="464" spans="1:20" x14ac:dyDescent="0.25">
      <c r="A464" s="1445" t="s">
        <v>460</v>
      </c>
      <c r="B464" s="1430">
        <v>0</v>
      </c>
      <c r="C464" s="1430">
        <v>0</v>
      </c>
      <c r="D464" s="1430">
        <v>0</v>
      </c>
      <c r="E464" s="1431">
        <v>0</v>
      </c>
      <c r="F464" s="1430">
        <v>0</v>
      </c>
      <c r="G464" s="1431">
        <v>0</v>
      </c>
      <c r="H464" s="1432">
        <v>0</v>
      </c>
      <c r="I464" s="1432">
        <v>1</v>
      </c>
      <c r="J464" s="1432">
        <v>0</v>
      </c>
      <c r="K464" s="1432">
        <v>0</v>
      </c>
      <c r="L464" s="1432">
        <v>0</v>
      </c>
      <c r="M464" s="1432">
        <v>0</v>
      </c>
      <c r="N464" s="1432">
        <v>0</v>
      </c>
      <c r="O464" s="1432">
        <v>0</v>
      </c>
      <c r="P464" s="1432">
        <v>0</v>
      </c>
      <c r="Q464" s="1432">
        <v>0</v>
      </c>
      <c r="R464" s="1434" t="str">
        <f t="shared" si="116"/>
        <v xml:space="preserve"> </v>
      </c>
      <c r="S464" s="1435">
        <f t="shared" si="117"/>
        <v>0</v>
      </c>
      <c r="T464" s="1440"/>
    </row>
    <row r="465" spans="1:20" x14ac:dyDescent="0.25">
      <c r="A465" s="1445" t="s">
        <v>461</v>
      </c>
      <c r="B465" s="1430">
        <v>0</v>
      </c>
      <c r="C465" s="1430">
        <v>0</v>
      </c>
      <c r="D465" s="1430">
        <v>0</v>
      </c>
      <c r="E465" s="1431">
        <v>0</v>
      </c>
      <c r="F465" s="1430">
        <v>3</v>
      </c>
      <c r="G465" s="1431">
        <v>0</v>
      </c>
      <c r="H465" s="1432">
        <v>0</v>
      </c>
      <c r="I465" s="1432">
        <v>0</v>
      </c>
      <c r="J465" s="1432">
        <v>0</v>
      </c>
      <c r="K465" s="1432">
        <v>2</v>
      </c>
      <c r="L465" s="1432">
        <v>0</v>
      </c>
      <c r="M465" s="1432">
        <v>2</v>
      </c>
      <c r="N465" s="1432">
        <v>0</v>
      </c>
      <c r="O465" s="1432">
        <v>4</v>
      </c>
      <c r="P465" s="1432">
        <v>4</v>
      </c>
      <c r="Q465" s="1432">
        <v>0</v>
      </c>
      <c r="R465" s="1434">
        <f t="shared" si="116"/>
        <v>3.3333333333333335</v>
      </c>
      <c r="S465" s="1435">
        <f t="shared" si="117"/>
        <v>0</v>
      </c>
      <c r="T465" s="1440"/>
    </row>
    <row r="466" spans="1:20" ht="13.8" thickBot="1" x14ac:dyDescent="0.3">
      <c r="A466" s="1479" t="s">
        <v>1003</v>
      </c>
      <c r="B466" s="1469">
        <f>SUM($B$459:$B$465)</f>
        <v>976</v>
      </c>
      <c r="C466" s="1469">
        <f>SUM($C$459:$C$465)</f>
        <v>882</v>
      </c>
      <c r="D466" s="1469">
        <f>SUM($D$459:$D$465)</f>
        <v>981</v>
      </c>
      <c r="E466" s="1470">
        <f>SUM($E$459:$E$465)</f>
        <v>547</v>
      </c>
      <c r="F466" s="1469">
        <f>SUM($F$459:$F$465)</f>
        <v>655</v>
      </c>
      <c r="G466" s="1470">
        <f>SUM($G$459:$G$465)</f>
        <v>577</v>
      </c>
      <c r="H466" s="1471">
        <f>SUM($H$459:$H$465)</f>
        <v>580</v>
      </c>
      <c r="I466" s="1471">
        <f>SUM($I$459:$I$465)</f>
        <v>433</v>
      </c>
      <c r="J466" s="1471">
        <f>SUM($J$459:$J$465)</f>
        <v>555</v>
      </c>
      <c r="K466" s="1471">
        <f>SUM($K$459:$K$465)</f>
        <v>582</v>
      </c>
      <c r="L466" s="1474">
        <f>SUM($L$459:$L$465)</f>
        <v>686</v>
      </c>
      <c r="M466" s="1474">
        <f>SUM($M$459:$M$465)</f>
        <v>595</v>
      </c>
      <c r="N466" s="1474">
        <f>SUM($N$459:$N$465)</f>
        <v>571</v>
      </c>
      <c r="O466" s="1474">
        <f>SUM(O459:O465)</f>
        <v>517</v>
      </c>
      <c r="P466" s="1474">
        <f>SUM(P459:P465)</f>
        <v>554</v>
      </c>
      <c r="Q466" s="1474">
        <f>SUM(Q459:Q465)</f>
        <v>558</v>
      </c>
      <c r="R466" s="1474">
        <f t="shared" si="116"/>
        <v>559</v>
      </c>
      <c r="S466" s="2026">
        <f t="shared" si="117"/>
        <v>1</v>
      </c>
      <c r="T466" s="1440"/>
    </row>
    <row r="467" spans="1:20" x14ac:dyDescent="0.25">
      <c r="A467" s="952" t="s">
        <v>1658</v>
      </c>
      <c r="B467" s="1440"/>
      <c r="C467" s="1440"/>
      <c r="D467" s="1440"/>
      <c r="E467" s="1472"/>
      <c r="F467" s="1472"/>
      <c r="G467" s="1472"/>
      <c r="H467" s="1472"/>
      <c r="I467" s="1472"/>
      <c r="J467" s="1472"/>
      <c r="K467" s="1472"/>
      <c r="L467" s="1472"/>
      <c r="M467" s="1472"/>
      <c r="N467" s="1472"/>
      <c r="O467" s="1440"/>
      <c r="P467" s="1440"/>
      <c r="Q467" s="1440"/>
      <c r="R467" s="1440"/>
    </row>
    <row r="468" spans="1:20" x14ac:dyDescent="0.25">
      <c r="A468" s="952" t="s">
        <v>1659</v>
      </c>
      <c r="O468" s="1201"/>
      <c r="P468" s="1201"/>
      <c r="Q468" s="1201"/>
    </row>
  </sheetData>
  <mergeCells count="3">
    <mergeCell ref="A1:S1"/>
    <mergeCell ref="A2:S2"/>
    <mergeCell ref="B4:Q4"/>
  </mergeCells>
  <pageMargins left="0.7" right="0.7" top="0.75" bottom="0.75" header="0.3" footer="0.3"/>
  <pageSetup scale="60" orientation="portrait" r:id="rId1"/>
  <rowBreaks count="5" manualBreakCount="5">
    <brk id="79" max="16383" man="1"/>
    <brk id="157" max="16383" man="1"/>
    <brk id="237" max="16383" man="1"/>
    <brk id="320" max="16383" man="1"/>
    <brk id="402"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P30"/>
  <sheetViews>
    <sheetView workbookViewId="0">
      <selection sqref="A1:G1"/>
    </sheetView>
  </sheetViews>
  <sheetFormatPr defaultColWidth="6.6640625" defaultRowHeight="13.2" x14ac:dyDescent="0.25"/>
  <cols>
    <col min="1" max="1" width="6.6640625" style="1" customWidth="1"/>
    <col min="2" max="3" width="15.6640625" style="1" customWidth="1"/>
    <col min="4" max="4" width="15.6640625" style="91" customWidth="1"/>
    <col min="5" max="5" width="15.6640625" style="1" customWidth="1"/>
    <col min="6" max="6" width="15.6640625" style="91" customWidth="1"/>
    <col min="7" max="7" width="15.6640625" style="1" customWidth="1"/>
    <col min="8" max="9" width="12.33203125" style="1" customWidth="1"/>
    <col min="10" max="10" width="5.88671875" style="752" customWidth="1"/>
    <col min="11" max="11" width="15.5546875" style="752" customWidth="1"/>
    <col min="12" max="13" width="16" style="752" customWidth="1"/>
    <col min="14" max="14" width="6.6640625" style="752" customWidth="1"/>
    <col min="15" max="16384" width="6.6640625" style="1"/>
  </cols>
  <sheetData>
    <row r="1" spans="1:16" ht="20.100000000000001" customHeight="1" x14ac:dyDescent="0.25">
      <c r="A1" s="2110" t="s">
        <v>861</v>
      </c>
      <c r="B1" s="2110"/>
      <c r="C1" s="2110"/>
      <c r="D1" s="2110"/>
      <c r="E1" s="2110"/>
      <c r="F1" s="2110"/>
      <c r="G1" s="2110"/>
    </row>
    <row r="2" spans="1:16" ht="20.100000000000001" customHeight="1" x14ac:dyDescent="0.25">
      <c r="A2" s="14"/>
      <c r="B2" s="15"/>
      <c r="C2" s="15"/>
      <c r="D2" s="92"/>
      <c r="E2" s="15"/>
      <c r="F2" s="92"/>
      <c r="I2" s="2074"/>
      <c r="J2" s="2074"/>
      <c r="K2" s="2074"/>
      <c r="L2" s="2074"/>
      <c r="M2" s="2074"/>
    </row>
    <row r="3" spans="1:16" s="13" customFormat="1" ht="36.9" customHeight="1" x14ac:dyDescent="0.3">
      <c r="A3" s="16" t="s">
        <v>819</v>
      </c>
      <c r="B3" s="17" t="s">
        <v>820</v>
      </c>
      <c r="C3" s="18" t="s">
        <v>821</v>
      </c>
      <c r="D3" s="93" t="s">
        <v>822</v>
      </c>
      <c r="E3" s="18" t="s">
        <v>823</v>
      </c>
      <c r="F3" s="93" t="s">
        <v>824</v>
      </c>
      <c r="G3" s="93" t="s">
        <v>1371</v>
      </c>
      <c r="H3" s="1"/>
      <c r="I3" s="1574"/>
      <c r="J3" s="1575" t="s">
        <v>825</v>
      </c>
      <c r="K3" s="1576" t="s">
        <v>820</v>
      </c>
      <c r="L3" s="1576" t="s">
        <v>821</v>
      </c>
      <c r="M3" s="1576" t="s">
        <v>823</v>
      </c>
      <c r="N3" s="2079"/>
    </row>
    <row r="4" spans="1:16" hidden="1" x14ac:dyDescent="0.25">
      <c r="A4" s="381"/>
      <c r="B4" s="397"/>
      <c r="C4" s="397"/>
      <c r="D4" s="398"/>
      <c r="E4" s="397"/>
      <c r="F4" s="398"/>
      <c r="G4" s="418"/>
      <c r="I4" s="1574"/>
      <c r="J4" s="1575"/>
      <c r="K4" s="1576"/>
      <c r="L4" s="1576"/>
      <c r="M4" s="1576"/>
      <c r="N4" s="2080"/>
      <c r="O4" s="8"/>
      <c r="P4" s="8"/>
    </row>
    <row r="5" spans="1:16" hidden="1" x14ac:dyDescent="0.25">
      <c r="A5" s="20">
        <v>2008</v>
      </c>
      <c r="B5" s="19">
        <v>611</v>
      </c>
      <c r="C5" s="19">
        <v>298</v>
      </c>
      <c r="D5" s="21">
        <f>C5/B5</f>
        <v>0.48772504091653029</v>
      </c>
      <c r="E5" s="19">
        <v>215</v>
      </c>
      <c r="F5" s="21">
        <f>E5/B5</f>
        <v>0.35188216039279868</v>
      </c>
      <c r="G5" s="417">
        <f>+E5/C5</f>
        <v>0.72147651006711411</v>
      </c>
      <c r="I5" s="1574"/>
      <c r="J5" s="1575">
        <f>A5</f>
        <v>2008</v>
      </c>
      <c r="K5" s="1576">
        <f>B5</f>
        <v>611</v>
      </c>
      <c r="L5" s="1576">
        <f>C5</f>
        <v>298</v>
      </c>
      <c r="M5" s="1576">
        <f>E5</f>
        <v>215</v>
      </c>
      <c r="N5" s="2080"/>
    </row>
    <row r="6" spans="1:16" hidden="1" x14ac:dyDescent="0.25">
      <c r="A6" s="381"/>
      <c r="B6" s="397"/>
      <c r="C6" s="397"/>
      <c r="D6" s="398"/>
      <c r="E6" s="397"/>
      <c r="F6" s="398"/>
      <c r="G6" s="418"/>
      <c r="I6" s="1574"/>
      <c r="J6" s="1575"/>
      <c r="K6" s="1576"/>
      <c r="L6" s="1576"/>
      <c r="M6" s="1576"/>
      <c r="N6" s="2080"/>
    </row>
    <row r="7" spans="1:16" hidden="1" x14ac:dyDescent="0.25">
      <c r="A7" s="2075">
        <v>2009</v>
      </c>
      <c r="B7" s="2076">
        <v>585</v>
      </c>
      <c r="C7" s="2076">
        <v>343</v>
      </c>
      <c r="D7" s="2077">
        <f>C7/B7</f>
        <v>0.58632478632478635</v>
      </c>
      <c r="E7" s="2076">
        <v>248</v>
      </c>
      <c r="F7" s="2077">
        <f>E7/B7</f>
        <v>0.42393162393162392</v>
      </c>
      <c r="G7" s="2078">
        <f>+E7/C7</f>
        <v>0.72303206997084546</v>
      </c>
      <c r="I7" s="1574"/>
      <c r="J7" s="1575">
        <f>+A7</f>
        <v>2009</v>
      </c>
      <c r="K7" s="1576">
        <f>+B7</f>
        <v>585</v>
      </c>
      <c r="L7" s="1576">
        <f>+C7</f>
        <v>343</v>
      </c>
      <c r="M7" s="1576">
        <f>+E7</f>
        <v>248</v>
      </c>
      <c r="N7" s="2080"/>
    </row>
    <row r="8" spans="1:16" hidden="1" x14ac:dyDescent="0.25">
      <c r="A8" s="381"/>
      <c r="B8" s="397"/>
      <c r="C8" s="397"/>
      <c r="D8" s="398"/>
      <c r="E8" s="397"/>
      <c r="F8" s="398"/>
      <c r="G8" s="418"/>
      <c r="I8" s="1574"/>
      <c r="J8" s="1575"/>
      <c r="K8" s="1576"/>
      <c r="L8" s="1576"/>
      <c r="M8" s="1576"/>
      <c r="N8" s="2080"/>
      <c r="O8" s="8"/>
      <c r="P8" s="8"/>
    </row>
    <row r="9" spans="1:16" hidden="1" x14ac:dyDescent="0.25">
      <c r="A9" s="20">
        <v>2010</v>
      </c>
      <c r="B9" s="19">
        <v>617</v>
      </c>
      <c r="C9" s="19">
        <v>334</v>
      </c>
      <c r="D9" s="21">
        <f>C9/B9</f>
        <v>0.54132901134521882</v>
      </c>
      <c r="E9" s="19">
        <v>216</v>
      </c>
      <c r="F9" s="21">
        <f>E9/B9</f>
        <v>0.35008103727714751</v>
      </c>
      <c r="G9" s="417">
        <f>+E9/C9</f>
        <v>0.6467065868263473</v>
      </c>
      <c r="I9" s="1574"/>
      <c r="J9" s="1575">
        <f>A9</f>
        <v>2010</v>
      </c>
      <c r="K9" s="1576">
        <f>B9</f>
        <v>617</v>
      </c>
      <c r="L9" s="1576">
        <f>C9</f>
        <v>334</v>
      </c>
      <c r="M9" s="1576">
        <f>E9</f>
        <v>216</v>
      </c>
      <c r="N9" s="2080"/>
    </row>
    <row r="10" spans="1:16" x14ac:dyDescent="0.25">
      <c r="A10" s="381"/>
      <c r="B10" s="397"/>
      <c r="C10" s="397"/>
      <c r="D10" s="398"/>
      <c r="E10" s="397"/>
      <c r="F10" s="398"/>
      <c r="G10" s="418"/>
      <c r="I10" s="1574"/>
      <c r="J10" s="1575"/>
      <c r="K10" s="1576"/>
      <c r="L10" s="1576"/>
      <c r="M10" s="1576"/>
      <c r="N10" s="2080"/>
      <c r="O10" s="8"/>
      <c r="P10" s="8"/>
    </row>
    <row r="11" spans="1:16" x14ac:dyDescent="0.25">
      <c r="A11" s="20">
        <v>2011</v>
      </c>
      <c r="B11" s="19">
        <v>639</v>
      </c>
      <c r="C11" s="19">
        <v>299</v>
      </c>
      <c r="D11" s="21">
        <f>C11/B11</f>
        <v>0.46791862284820029</v>
      </c>
      <c r="E11" s="19">
        <v>201</v>
      </c>
      <c r="F11" s="21">
        <f>E11/B11</f>
        <v>0.31455399061032863</v>
      </c>
      <c r="G11" s="417">
        <f>+E11/C11</f>
        <v>0.67224080267558528</v>
      </c>
      <c r="I11" s="1574"/>
      <c r="J11" s="1575">
        <f>A11</f>
        <v>2011</v>
      </c>
      <c r="K11" s="1576">
        <f>B11</f>
        <v>639</v>
      </c>
      <c r="L11" s="1576">
        <f>C11</f>
        <v>299</v>
      </c>
      <c r="M11" s="1576">
        <f>E11</f>
        <v>201</v>
      </c>
      <c r="N11" s="2080"/>
    </row>
    <row r="12" spans="1:16" x14ac:dyDescent="0.25">
      <c r="A12" s="381"/>
      <c r="B12" s="397"/>
      <c r="C12" s="397"/>
      <c r="D12" s="398"/>
      <c r="E12" s="397"/>
      <c r="F12" s="398"/>
      <c r="G12" s="418"/>
      <c r="I12" s="1574"/>
      <c r="J12" s="1575"/>
      <c r="K12" s="1576"/>
      <c r="L12" s="1576"/>
      <c r="M12" s="1576"/>
      <c r="N12" s="2080"/>
      <c r="O12" s="8"/>
      <c r="P12" s="8"/>
    </row>
    <row r="13" spans="1:16" x14ac:dyDescent="0.25">
      <c r="A13" s="20">
        <v>2012</v>
      </c>
      <c r="B13" s="19">
        <v>598</v>
      </c>
      <c r="C13" s="19">
        <v>311</v>
      </c>
      <c r="D13" s="21">
        <f>C13/B13</f>
        <v>0.52006688963210701</v>
      </c>
      <c r="E13" s="19">
        <v>203</v>
      </c>
      <c r="F13" s="21">
        <f>E13/B13</f>
        <v>0.33946488294314381</v>
      </c>
      <c r="G13" s="417">
        <f>+E13/C13</f>
        <v>0.65273311897106112</v>
      </c>
      <c r="I13" s="1574"/>
      <c r="J13" s="1575">
        <f>A13</f>
        <v>2012</v>
      </c>
      <c r="K13" s="1576">
        <f>B13</f>
        <v>598</v>
      </c>
      <c r="L13" s="1576">
        <f>C13</f>
        <v>311</v>
      </c>
      <c r="M13" s="1576">
        <f>E13</f>
        <v>203</v>
      </c>
      <c r="N13" s="2080"/>
    </row>
    <row r="14" spans="1:16" x14ac:dyDescent="0.25">
      <c r="A14" s="381"/>
      <c r="B14" s="397"/>
      <c r="C14" s="397"/>
      <c r="D14" s="398"/>
      <c r="E14" s="397"/>
      <c r="F14" s="398"/>
      <c r="G14" s="418"/>
      <c r="I14" s="1574"/>
      <c r="J14" s="1575"/>
      <c r="K14" s="1576"/>
      <c r="L14" s="1576"/>
      <c r="M14" s="1576"/>
      <c r="N14" s="2080"/>
      <c r="O14" s="8"/>
      <c r="P14" s="8"/>
    </row>
    <row r="15" spans="1:16" x14ac:dyDescent="0.25">
      <c r="A15" s="20">
        <v>2013</v>
      </c>
      <c r="B15" s="19">
        <v>591</v>
      </c>
      <c r="C15" s="19">
        <v>311</v>
      </c>
      <c r="D15" s="21">
        <f>C15/B15</f>
        <v>0.52622673434856171</v>
      </c>
      <c r="E15" s="19">
        <v>194</v>
      </c>
      <c r="F15" s="21">
        <f>E15/B15</f>
        <v>0.32825719120135366</v>
      </c>
      <c r="G15" s="417">
        <f>+E15/C15</f>
        <v>0.6237942122186495</v>
      </c>
      <c r="I15" s="1574"/>
      <c r="J15" s="1575">
        <f>A15</f>
        <v>2013</v>
      </c>
      <c r="K15" s="1576">
        <f>B15</f>
        <v>591</v>
      </c>
      <c r="L15" s="1576">
        <f>C15</f>
        <v>311</v>
      </c>
      <c r="M15" s="1576">
        <f>E15</f>
        <v>194</v>
      </c>
      <c r="N15" s="2080"/>
    </row>
    <row r="16" spans="1:16" x14ac:dyDescent="0.25">
      <c r="A16" s="381"/>
      <c r="B16" s="397"/>
      <c r="C16" s="397"/>
      <c r="D16" s="398"/>
      <c r="E16" s="397"/>
      <c r="F16" s="398"/>
      <c r="G16" s="418"/>
      <c r="I16" s="1574"/>
      <c r="J16" s="1575"/>
      <c r="K16" s="1576"/>
      <c r="L16" s="1576"/>
      <c r="M16" s="1576"/>
      <c r="N16" s="2080"/>
    </row>
    <row r="17" spans="1:15" x14ac:dyDescent="0.25">
      <c r="A17" s="20">
        <v>2014</v>
      </c>
      <c r="B17" s="19">
        <v>590</v>
      </c>
      <c r="C17" s="19">
        <v>329</v>
      </c>
      <c r="D17" s="21">
        <f>C17/B17</f>
        <v>0.55762711864406778</v>
      </c>
      <c r="E17" s="19">
        <v>207</v>
      </c>
      <c r="F17" s="21">
        <f>E17/B17</f>
        <v>0.35084745762711866</v>
      </c>
      <c r="G17" s="417">
        <f>+E17/C17</f>
        <v>0.62917933130699089</v>
      </c>
      <c r="I17" s="1574"/>
      <c r="J17" s="1575">
        <f>A17</f>
        <v>2014</v>
      </c>
      <c r="K17" s="1576">
        <f>B17</f>
        <v>590</v>
      </c>
      <c r="L17" s="1576">
        <f>C17</f>
        <v>329</v>
      </c>
      <c r="M17" s="1576">
        <f>E17</f>
        <v>207</v>
      </c>
      <c r="N17" s="2080"/>
    </row>
    <row r="18" spans="1:15" x14ac:dyDescent="0.25">
      <c r="A18" s="381"/>
      <c r="B18" s="397"/>
      <c r="C18" s="397"/>
      <c r="D18" s="398"/>
      <c r="E18" s="397"/>
      <c r="F18" s="398"/>
      <c r="G18" s="418"/>
      <c r="I18" s="1574"/>
      <c r="J18" s="1575"/>
      <c r="K18" s="1576"/>
      <c r="L18" s="1576"/>
      <c r="M18" s="1576"/>
      <c r="N18" s="2080"/>
    </row>
    <row r="19" spans="1:15" x14ac:dyDescent="0.25">
      <c r="A19" s="20">
        <v>2015</v>
      </c>
      <c r="B19" s="19">
        <v>459</v>
      </c>
      <c r="C19" s="19">
        <v>271</v>
      </c>
      <c r="D19" s="21">
        <f>C19/B19</f>
        <v>0.59041394335511987</v>
      </c>
      <c r="E19" s="19">
        <v>164</v>
      </c>
      <c r="F19" s="21">
        <f>E19/B19</f>
        <v>0.35729847494553379</v>
      </c>
      <c r="G19" s="417">
        <f>+E19/C19</f>
        <v>0.60516605166051662</v>
      </c>
      <c r="I19" s="2080"/>
      <c r="J19" s="1575">
        <f>+A19</f>
        <v>2015</v>
      </c>
      <c r="K19" s="1576">
        <f>+B19</f>
        <v>459</v>
      </c>
      <c r="L19" s="1576">
        <f>+C19</f>
        <v>271</v>
      </c>
      <c r="M19" s="1576">
        <f>+E19</f>
        <v>164</v>
      </c>
      <c r="N19" s="2080"/>
    </row>
    <row r="20" spans="1:15" x14ac:dyDescent="0.25">
      <c r="I20" s="2080"/>
      <c r="J20" s="2080"/>
      <c r="K20" s="2080"/>
      <c r="L20" s="2080"/>
      <c r="M20" s="2080"/>
      <c r="N20" s="2080"/>
    </row>
    <row r="21" spans="1:15" x14ac:dyDescent="0.25">
      <c r="I21" s="321"/>
      <c r="J21" s="1577"/>
      <c r="K21" s="1577"/>
      <c r="L21" s="1575"/>
      <c r="M21" s="1576"/>
      <c r="N21" s="1576"/>
      <c r="O21" s="1256"/>
    </row>
    <row r="22" spans="1:15" x14ac:dyDescent="0.25">
      <c r="I22" s="321"/>
      <c r="J22" s="1577"/>
      <c r="K22" s="1577"/>
      <c r="L22" s="1577"/>
      <c r="M22" s="1577"/>
      <c r="N22" s="1577"/>
    </row>
    <row r="30" spans="1:15" x14ac:dyDescent="0.25">
      <c r="L30" s="1578"/>
    </row>
  </sheetData>
  <mergeCells count="1">
    <mergeCell ref="A1:G1"/>
  </mergeCells>
  <phoneticPr fontId="16" type="noConversion"/>
  <printOptions horizontalCentered="1" verticalCentered="1"/>
  <pageMargins left="0.75" right="0.75" top="1" bottom="0.7" header="0.5" footer="0.5"/>
  <pageSetup orientation="landscape" r:id="rId1"/>
  <headerFooter alignWithMargins="0">
    <oddHeader xml:space="preserve">&amp;C </oddHeader>
    <oddFooter>&amp;C &amp;R&amp;8Source: Office of Admissions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G50"/>
  <sheetViews>
    <sheetView workbookViewId="0">
      <selection sqref="A1:F1"/>
    </sheetView>
  </sheetViews>
  <sheetFormatPr defaultColWidth="6.6640625" defaultRowHeight="13.2" x14ac:dyDescent="0.25"/>
  <cols>
    <col min="1" max="1" width="23.33203125" style="22" customWidth="1"/>
    <col min="2" max="2" width="10.88671875" style="22" customWidth="1"/>
    <col min="3" max="3" width="14" style="23" customWidth="1"/>
    <col min="4" max="4" width="10.88671875" style="22" customWidth="1"/>
    <col min="5" max="5" width="14" style="23" customWidth="1"/>
    <col min="6" max="6" width="8.5546875" style="22" customWidth="1"/>
    <col min="7" max="16384" width="6.6640625" style="22"/>
  </cols>
  <sheetData>
    <row r="1" spans="1:6" s="24" customFormat="1" ht="17.399999999999999" x14ac:dyDescent="0.3">
      <c r="A1" s="2111" t="s">
        <v>863</v>
      </c>
      <c r="B1" s="2111"/>
      <c r="C1" s="2111"/>
      <c r="D1" s="2111"/>
      <c r="E1" s="2111"/>
      <c r="F1" s="2111"/>
    </row>
    <row r="2" spans="1:6" s="24" customFormat="1" ht="18" thickBot="1" x14ac:dyDescent="0.35">
      <c r="A2" s="25"/>
      <c r="B2" s="25"/>
      <c r="C2" s="26"/>
      <c r="D2" s="25"/>
      <c r="E2" s="26"/>
      <c r="F2" s="25"/>
    </row>
    <row r="3" spans="1:6" x14ac:dyDescent="0.25">
      <c r="A3" s="27" t="s">
        <v>827</v>
      </c>
      <c r="B3" s="28" t="s">
        <v>828</v>
      </c>
      <c r="C3" s="29"/>
      <c r="D3" s="28" t="s">
        <v>830</v>
      </c>
      <c r="E3" s="30"/>
      <c r="F3" s="31" t="s">
        <v>831</v>
      </c>
    </row>
    <row r="4" spans="1:6" x14ac:dyDescent="0.25">
      <c r="A4" s="94" t="s">
        <v>832</v>
      </c>
      <c r="B4" s="95" t="s">
        <v>833</v>
      </c>
      <c r="C4" s="96" t="s">
        <v>834</v>
      </c>
      <c r="D4" s="95" t="s">
        <v>833</v>
      </c>
      <c r="E4" s="97" t="s">
        <v>834</v>
      </c>
      <c r="F4" s="98" t="s">
        <v>835</v>
      </c>
    </row>
    <row r="5" spans="1:6" ht="12" hidden="1" customHeight="1" x14ac:dyDescent="0.25">
      <c r="A5" s="390"/>
      <c r="B5" s="1587"/>
      <c r="C5" s="1588"/>
      <c r="D5" s="1587"/>
      <c r="E5" s="393"/>
      <c r="F5" s="394"/>
    </row>
    <row r="6" spans="1:6" hidden="1" x14ac:dyDescent="0.25">
      <c r="A6" s="46">
        <v>2001</v>
      </c>
      <c r="B6" s="1589">
        <v>176</v>
      </c>
      <c r="C6" s="1590">
        <f>B6/F6</f>
        <v>0.41411764705882353</v>
      </c>
      <c r="D6" s="1589">
        <v>249</v>
      </c>
      <c r="E6" s="1591">
        <f>D6/F6</f>
        <v>0.58588235294117652</v>
      </c>
      <c r="F6" s="1592">
        <f>SUM(B6,D6)</f>
        <v>425</v>
      </c>
    </row>
    <row r="7" spans="1:6" hidden="1" x14ac:dyDescent="0.25">
      <c r="A7" s="1605"/>
      <c r="B7" s="1602"/>
      <c r="C7" s="1586"/>
      <c r="D7" s="1586"/>
      <c r="E7" s="1593"/>
      <c r="F7" s="1595"/>
    </row>
    <row r="8" spans="1:6" hidden="1" x14ac:dyDescent="0.25">
      <c r="A8" s="38">
        <v>2010</v>
      </c>
      <c r="B8" s="1603">
        <v>209</v>
      </c>
      <c r="C8" s="1582">
        <f>B8/F8</f>
        <v>0.3387358184764992</v>
      </c>
      <c r="D8" s="1581">
        <v>408</v>
      </c>
      <c r="E8" s="1598">
        <f>D8/F8</f>
        <v>0.66126418152350086</v>
      </c>
      <c r="F8" s="42">
        <f>SUM(B8,D8)</f>
        <v>617</v>
      </c>
    </row>
    <row r="9" spans="1:6" x14ac:dyDescent="0.25">
      <c r="A9" s="1605"/>
      <c r="B9" s="1602"/>
      <c r="C9" s="1586"/>
      <c r="D9" s="1586"/>
      <c r="E9" s="1593"/>
      <c r="F9" s="1595"/>
    </row>
    <row r="10" spans="1:6" x14ac:dyDescent="0.25">
      <c r="A10" s="38">
        <v>2011</v>
      </c>
      <c r="B10" s="1603">
        <v>227</v>
      </c>
      <c r="C10" s="1582">
        <f>B10/F10</f>
        <v>0.35524256651017216</v>
      </c>
      <c r="D10" s="1581">
        <v>412</v>
      </c>
      <c r="E10" s="1598">
        <f>D10/F10</f>
        <v>0.64475743348982784</v>
      </c>
      <c r="F10" s="42">
        <f>SUM(B10,D10)</f>
        <v>639</v>
      </c>
    </row>
    <row r="11" spans="1:6" x14ac:dyDescent="0.25">
      <c r="A11" s="1605"/>
      <c r="B11" s="1602"/>
      <c r="C11" s="1586"/>
      <c r="D11" s="1586"/>
      <c r="E11" s="1593"/>
      <c r="F11" s="1595"/>
    </row>
    <row r="12" spans="1:6" x14ac:dyDescent="0.25">
      <c r="A12" s="38">
        <v>2012</v>
      </c>
      <c r="B12" s="1603">
        <v>203</v>
      </c>
      <c r="C12" s="1582">
        <f>B12/F12</f>
        <v>0.33946488294314381</v>
      </c>
      <c r="D12" s="1581">
        <v>395</v>
      </c>
      <c r="E12" s="1598">
        <f>D12/F12</f>
        <v>0.66053511705685619</v>
      </c>
      <c r="F12" s="42">
        <f>SUM(B12,D12)</f>
        <v>598</v>
      </c>
    </row>
    <row r="13" spans="1:6" x14ac:dyDescent="0.25">
      <c r="A13" s="1605"/>
      <c r="B13" s="1602"/>
      <c r="C13" s="1586"/>
      <c r="D13" s="1586"/>
      <c r="E13" s="1593"/>
      <c r="F13" s="1595"/>
    </row>
    <row r="14" spans="1:6" x14ac:dyDescent="0.25">
      <c r="A14" s="38">
        <v>2013</v>
      </c>
      <c r="B14" s="1603">
        <v>215</v>
      </c>
      <c r="C14" s="1582">
        <f>B14/F14</f>
        <v>0.36379018612521152</v>
      </c>
      <c r="D14" s="1581">
        <v>376</v>
      </c>
      <c r="E14" s="1598">
        <f>D14/F14</f>
        <v>0.63620981387478848</v>
      </c>
      <c r="F14" s="42">
        <f>SUM(B14,D14)</f>
        <v>591</v>
      </c>
    </row>
    <row r="15" spans="1:6" x14ac:dyDescent="0.25">
      <c r="A15" s="1605"/>
      <c r="B15" s="1602"/>
      <c r="C15" s="1586"/>
      <c r="D15" s="1586"/>
      <c r="E15" s="1593"/>
      <c r="F15" s="1595"/>
    </row>
    <row r="16" spans="1:6" x14ac:dyDescent="0.25">
      <c r="A16" s="38">
        <v>2014</v>
      </c>
      <c r="B16" s="1603">
        <v>218</v>
      </c>
      <c r="C16" s="1582">
        <f>B16/F16</f>
        <v>0.36949152542372882</v>
      </c>
      <c r="D16" s="1581">
        <v>372</v>
      </c>
      <c r="E16" s="1598">
        <f>D16/F16</f>
        <v>0.63050847457627124</v>
      </c>
      <c r="F16" s="42">
        <f>SUM(B16,D16)</f>
        <v>590</v>
      </c>
    </row>
    <row r="17" spans="1:6" x14ac:dyDescent="0.25">
      <c r="A17" s="1605"/>
      <c r="B17" s="1602"/>
      <c r="C17" s="1586"/>
      <c r="D17" s="1586"/>
      <c r="E17" s="1593"/>
      <c r="F17" s="1595"/>
    </row>
    <row r="18" spans="1:6" x14ac:dyDescent="0.25">
      <c r="A18" s="38">
        <v>2015</v>
      </c>
      <c r="B18" s="1603">
        <v>161</v>
      </c>
      <c r="C18" s="1582">
        <f>B18/F18</f>
        <v>0.35076252723311546</v>
      </c>
      <c r="D18" s="1581">
        <v>298</v>
      </c>
      <c r="E18" s="1598">
        <f>D18/F18</f>
        <v>0.64923747276688448</v>
      </c>
      <c r="F18" s="42">
        <f>SUM(B18,D18)</f>
        <v>459</v>
      </c>
    </row>
    <row r="19" spans="1:6" ht="12" customHeight="1" x14ac:dyDescent="0.25">
      <c r="A19" s="1606" t="s">
        <v>827</v>
      </c>
      <c r="B19" s="2122" t="s">
        <v>828</v>
      </c>
      <c r="C19" s="2123"/>
      <c r="D19" s="2123" t="s">
        <v>830</v>
      </c>
      <c r="E19" s="2124"/>
      <c r="F19" s="1596"/>
    </row>
    <row r="20" spans="1:6" x14ac:dyDescent="0.25">
      <c r="A20" s="1607" t="s">
        <v>836</v>
      </c>
      <c r="B20" s="1604" t="s">
        <v>833</v>
      </c>
      <c r="C20" s="1584" t="s">
        <v>834</v>
      </c>
      <c r="D20" s="1583" t="s">
        <v>833</v>
      </c>
      <c r="E20" s="1599" t="s">
        <v>834</v>
      </c>
      <c r="F20" s="1597" t="s">
        <v>835</v>
      </c>
    </row>
    <row r="21" spans="1:6" hidden="1" x14ac:dyDescent="0.25">
      <c r="A21" s="390"/>
      <c r="B21" s="1587"/>
      <c r="C21" s="1580"/>
      <c r="D21" s="1579"/>
      <c r="E21" s="1600"/>
      <c r="F21" s="394"/>
    </row>
    <row r="22" spans="1:6" hidden="1" x14ac:dyDescent="0.25">
      <c r="A22" s="38">
        <v>2001</v>
      </c>
      <c r="B22" s="1603">
        <v>130</v>
      </c>
      <c r="C22" s="1582">
        <f>B22/F22</f>
        <v>0.39755351681957185</v>
      </c>
      <c r="D22" s="1581">
        <v>197</v>
      </c>
      <c r="E22" s="1598">
        <f>D22/F22</f>
        <v>0.60244648318042815</v>
      </c>
      <c r="F22" s="42">
        <f>SUM(B22,D22)</f>
        <v>327</v>
      </c>
    </row>
    <row r="23" spans="1:6" ht="13.2" hidden="1" customHeight="1" x14ac:dyDescent="0.25">
      <c r="A23" s="1605"/>
      <c r="B23" s="1602"/>
      <c r="C23" s="1586"/>
      <c r="D23" s="1586"/>
      <c r="E23" s="1593"/>
      <c r="F23" s="1595"/>
    </row>
    <row r="24" spans="1:6" ht="13.2" hidden="1" customHeight="1" x14ac:dyDescent="0.25">
      <c r="A24" s="38">
        <v>2010</v>
      </c>
      <c r="B24" s="1603">
        <v>109</v>
      </c>
      <c r="C24" s="1582">
        <f>B24/F24</f>
        <v>0.32634730538922158</v>
      </c>
      <c r="D24" s="1581">
        <v>225</v>
      </c>
      <c r="E24" s="1598">
        <f>D24/F24</f>
        <v>0.67365269461077848</v>
      </c>
      <c r="F24" s="42">
        <f>SUM(B24,D24)</f>
        <v>334</v>
      </c>
    </row>
    <row r="25" spans="1:6" ht="13.2" customHeight="1" x14ac:dyDescent="0.25">
      <c r="A25" s="1605"/>
      <c r="B25" s="1602"/>
      <c r="C25" s="1586"/>
      <c r="D25" s="1586"/>
      <c r="E25" s="1593"/>
      <c r="F25" s="1595"/>
    </row>
    <row r="26" spans="1:6" ht="13.2" customHeight="1" x14ac:dyDescent="0.25">
      <c r="A26" s="38">
        <v>2011</v>
      </c>
      <c r="B26" s="1603">
        <v>103</v>
      </c>
      <c r="C26" s="1582">
        <f>B26/F26</f>
        <v>0.34448160535117056</v>
      </c>
      <c r="D26" s="1581">
        <v>196</v>
      </c>
      <c r="E26" s="1598">
        <f>D26/F26</f>
        <v>0.65551839464882944</v>
      </c>
      <c r="F26" s="42">
        <f>SUM(B26,D26)</f>
        <v>299</v>
      </c>
    </row>
    <row r="27" spans="1:6" ht="13.2" customHeight="1" x14ac:dyDescent="0.25">
      <c r="A27" s="1605"/>
      <c r="B27" s="1602"/>
      <c r="C27" s="1586"/>
      <c r="D27" s="1586"/>
      <c r="E27" s="1593"/>
      <c r="F27" s="1595"/>
    </row>
    <row r="28" spans="1:6" ht="13.2" customHeight="1" x14ac:dyDescent="0.25">
      <c r="A28" s="38">
        <v>2012</v>
      </c>
      <c r="B28" s="1603">
        <v>118</v>
      </c>
      <c r="C28" s="1582">
        <f>B28/F28</f>
        <v>0.37942122186495175</v>
      </c>
      <c r="D28" s="1581">
        <v>193</v>
      </c>
      <c r="E28" s="1598">
        <f>D28/F28</f>
        <v>0.62057877813504825</v>
      </c>
      <c r="F28" s="42">
        <f>SUM(B28,D28)</f>
        <v>311</v>
      </c>
    </row>
    <row r="29" spans="1:6" ht="13.2" customHeight="1" x14ac:dyDescent="0.25">
      <c r="A29" s="1605"/>
      <c r="B29" s="1602"/>
      <c r="C29" s="1586"/>
      <c r="D29" s="1586"/>
      <c r="E29" s="1593"/>
      <c r="F29" s="1595"/>
    </row>
    <row r="30" spans="1:6" ht="13.2" customHeight="1" x14ac:dyDescent="0.25">
      <c r="A30" s="38">
        <v>2013</v>
      </c>
      <c r="B30" s="1603">
        <v>124</v>
      </c>
      <c r="C30" s="1582">
        <f>B30/F30</f>
        <v>0.3987138263665595</v>
      </c>
      <c r="D30" s="1581">
        <v>187</v>
      </c>
      <c r="E30" s="1598">
        <f>D30/F30</f>
        <v>0.6012861736334405</v>
      </c>
      <c r="F30" s="42">
        <f>SUM(B30,D30)</f>
        <v>311</v>
      </c>
    </row>
    <row r="31" spans="1:6" ht="13.2" customHeight="1" x14ac:dyDescent="0.25">
      <c r="A31" s="1605"/>
      <c r="B31" s="1602"/>
      <c r="C31" s="1586"/>
      <c r="D31" s="1586"/>
      <c r="E31" s="1593"/>
      <c r="F31" s="1595"/>
    </row>
    <row r="32" spans="1:6" ht="13.2" customHeight="1" x14ac:dyDescent="0.25">
      <c r="A32" s="38">
        <v>2014</v>
      </c>
      <c r="B32" s="1603">
        <v>128</v>
      </c>
      <c r="C32" s="1582">
        <f>B32/F32</f>
        <v>0.38905775075987842</v>
      </c>
      <c r="D32" s="1581">
        <v>201</v>
      </c>
      <c r="E32" s="1598">
        <f>D32/F32</f>
        <v>0.61094224924012153</v>
      </c>
      <c r="F32" s="42">
        <f>SUM(B32,D32)</f>
        <v>329</v>
      </c>
    </row>
    <row r="33" spans="1:7" ht="13.2" customHeight="1" x14ac:dyDescent="0.25">
      <c r="A33" s="1605"/>
      <c r="B33" s="1602"/>
      <c r="C33" s="1586"/>
      <c r="D33" s="1586"/>
      <c r="E33" s="1593"/>
      <c r="F33" s="1595"/>
    </row>
    <row r="34" spans="1:7" ht="13.2" customHeight="1" x14ac:dyDescent="0.25">
      <c r="A34" s="38">
        <v>2015</v>
      </c>
      <c r="B34" s="1603">
        <v>104</v>
      </c>
      <c r="C34" s="1582">
        <f>B34/F34</f>
        <v>0.3837638376383764</v>
      </c>
      <c r="D34" s="1581">
        <v>167</v>
      </c>
      <c r="E34" s="1598">
        <f>D34/F34</f>
        <v>0.6162361623616236</v>
      </c>
      <c r="F34" s="42">
        <f>SUM(B34,D34)</f>
        <v>271</v>
      </c>
    </row>
    <row r="35" spans="1:7" x14ac:dyDescent="0.25">
      <c r="A35" s="1606" t="s">
        <v>827</v>
      </c>
      <c r="B35" s="2122" t="s">
        <v>828</v>
      </c>
      <c r="C35" s="2123"/>
      <c r="D35" s="2123" t="s">
        <v>830</v>
      </c>
      <c r="E35" s="2124"/>
      <c r="F35" s="1596"/>
    </row>
    <row r="36" spans="1:7" ht="12" customHeight="1" x14ac:dyDescent="0.25">
      <c r="A36" s="1608" t="s">
        <v>837</v>
      </c>
      <c r="B36" s="1604" t="s">
        <v>833</v>
      </c>
      <c r="C36" s="1585" t="s">
        <v>834</v>
      </c>
      <c r="D36" s="1583" t="s">
        <v>833</v>
      </c>
      <c r="E36" s="1601" t="s">
        <v>834</v>
      </c>
      <c r="F36" s="1597" t="s">
        <v>835</v>
      </c>
    </row>
    <row r="37" spans="1:7" hidden="1" x14ac:dyDescent="0.25">
      <c r="A37" s="390"/>
      <c r="B37" s="1587"/>
      <c r="C37" s="1580"/>
      <c r="D37" s="1579"/>
      <c r="E37" s="1600"/>
      <c r="F37" s="394"/>
    </row>
    <row r="38" spans="1:7" hidden="1" x14ac:dyDescent="0.25">
      <c r="A38" s="38">
        <v>2001</v>
      </c>
      <c r="B38" s="1603">
        <v>93</v>
      </c>
      <c r="C38" s="1582">
        <f>B38/F38</f>
        <v>0.45145631067961167</v>
      </c>
      <c r="D38" s="1581">
        <v>113</v>
      </c>
      <c r="E38" s="1598">
        <f>D38/F38</f>
        <v>0.54854368932038833</v>
      </c>
      <c r="F38" s="42">
        <f>SUM(B38,D38)</f>
        <v>206</v>
      </c>
    </row>
    <row r="39" spans="1:7" hidden="1" x14ac:dyDescent="0.25">
      <c r="A39" s="1605"/>
      <c r="B39" s="1602"/>
      <c r="C39" s="1586"/>
      <c r="D39" s="1586"/>
      <c r="E39" s="1593"/>
      <c r="F39" s="1595"/>
    </row>
    <row r="40" spans="1:7" hidden="1" x14ac:dyDescent="0.25">
      <c r="A40" s="38">
        <v>2010</v>
      </c>
      <c r="B40" s="1603">
        <v>78</v>
      </c>
      <c r="C40" s="1582">
        <f>B40/F40</f>
        <v>0.3611111111111111</v>
      </c>
      <c r="D40" s="1581">
        <v>138</v>
      </c>
      <c r="E40" s="1598">
        <f>D40/F40</f>
        <v>0.63888888888888884</v>
      </c>
      <c r="F40" s="42">
        <f>SUM(B40,D40)</f>
        <v>216</v>
      </c>
    </row>
    <row r="41" spans="1:7" x14ac:dyDescent="0.25">
      <c r="A41" s="1605"/>
      <c r="B41" s="1602"/>
      <c r="C41" s="1586"/>
      <c r="D41" s="1586"/>
      <c r="E41" s="1593"/>
      <c r="F41" s="1595"/>
    </row>
    <row r="42" spans="1:7" x14ac:dyDescent="0.25">
      <c r="A42" s="38">
        <v>2011</v>
      </c>
      <c r="B42" s="1603">
        <v>75</v>
      </c>
      <c r="C42" s="1582">
        <f>B42/F42</f>
        <v>0.37313432835820898</v>
      </c>
      <c r="D42" s="1581">
        <v>126</v>
      </c>
      <c r="E42" s="1598">
        <f>D42/F42</f>
        <v>0.62686567164179108</v>
      </c>
      <c r="F42" s="42">
        <f>SUM(B42,D42)</f>
        <v>201</v>
      </c>
    </row>
    <row r="43" spans="1:7" x14ac:dyDescent="0.25">
      <c r="A43" s="1605"/>
      <c r="B43" s="1602"/>
      <c r="C43" s="1586"/>
      <c r="D43" s="1586"/>
      <c r="E43" s="1593"/>
      <c r="F43" s="1595"/>
    </row>
    <row r="44" spans="1:7" x14ac:dyDescent="0.25">
      <c r="A44" s="38">
        <v>2012</v>
      </c>
      <c r="B44" s="1603">
        <v>83</v>
      </c>
      <c r="C44" s="1582">
        <f>B44/F44</f>
        <v>0.40886699507389163</v>
      </c>
      <c r="D44" s="1581">
        <v>120</v>
      </c>
      <c r="E44" s="1598">
        <f>D44/F44</f>
        <v>0.59113300492610843</v>
      </c>
      <c r="F44" s="42">
        <f>SUM(B44,D44)</f>
        <v>203</v>
      </c>
      <c r="G44" s="1089"/>
    </row>
    <row r="45" spans="1:7" x14ac:dyDescent="0.25">
      <c r="A45" s="1605"/>
      <c r="B45" s="1602"/>
      <c r="C45" s="1586"/>
      <c r="D45" s="1586"/>
      <c r="E45" s="1593"/>
      <c r="F45" s="1595"/>
    </row>
    <row r="46" spans="1:7" x14ac:dyDescent="0.25">
      <c r="A46" s="38">
        <v>2013</v>
      </c>
      <c r="B46" s="1603">
        <v>88</v>
      </c>
      <c r="C46" s="1582">
        <f>B46/F46</f>
        <v>0.45360824742268041</v>
      </c>
      <c r="D46" s="1581">
        <v>106</v>
      </c>
      <c r="E46" s="1598">
        <f>D46/F46</f>
        <v>0.54639175257731953</v>
      </c>
      <c r="F46" s="42">
        <f>SUM(B46,D46)</f>
        <v>194</v>
      </c>
    </row>
    <row r="47" spans="1:7" x14ac:dyDescent="0.25">
      <c r="A47" s="1605"/>
      <c r="B47" s="1602"/>
      <c r="C47" s="1586"/>
      <c r="D47" s="1586"/>
      <c r="E47" s="1593"/>
      <c r="F47" s="1595"/>
    </row>
    <row r="48" spans="1:7" ht="13.8" thickBot="1" x14ac:dyDescent="0.3">
      <c r="A48" s="47">
        <v>2014</v>
      </c>
      <c r="B48" s="100">
        <v>95</v>
      </c>
      <c r="C48" s="1419">
        <f>B48/F48</f>
        <v>0.45893719806763283</v>
      </c>
      <c r="D48" s="1594">
        <v>112</v>
      </c>
      <c r="E48" s="1420">
        <f>D48/F48</f>
        <v>0.54106280193236711</v>
      </c>
      <c r="F48" s="48">
        <f>SUM(B48,D48)</f>
        <v>207</v>
      </c>
    </row>
    <row r="49" spans="1:6" x14ac:dyDescent="0.25">
      <c r="A49" s="1605"/>
      <c r="B49" s="1602"/>
      <c r="C49" s="1586"/>
      <c r="D49" s="1586"/>
      <c r="E49" s="1593"/>
      <c r="F49" s="1595"/>
    </row>
    <row r="50" spans="1:6" ht="13.8" thickBot="1" x14ac:dyDescent="0.3">
      <c r="A50" s="47">
        <v>2015</v>
      </c>
      <c r="B50" s="100">
        <v>62</v>
      </c>
      <c r="C50" s="1419">
        <f>B50/F50</f>
        <v>0.37804878048780488</v>
      </c>
      <c r="D50" s="1594">
        <v>102</v>
      </c>
      <c r="E50" s="1420">
        <f>D50/F50</f>
        <v>0.62195121951219512</v>
      </c>
      <c r="F50" s="48">
        <f>SUM(B50,D50)</f>
        <v>164</v>
      </c>
    </row>
  </sheetData>
  <mergeCells count="5">
    <mergeCell ref="B19:C19"/>
    <mergeCell ref="D19:E19"/>
    <mergeCell ref="B35:C35"/>
    <mergeCell ref="D35:E35"/>
    <mergeCell ref="A1:F1"/>
  </mergeCells>
  <phoneticPr fontId="16" type="noConversion"/>
  <printOptions horizontalCentered="1" verticalCentered="1"/>
  <pageMargins left="0.75" right="0.75" top="0" bottom="0.05" header="0.25" footer="0.25"/>
  <pageSetup scale="84" orientation="portrait" r:id="rId1"/>
  <headerFooter alignWithMargins="0">
    <oddFooter>&amp;LSource: Office of Admissions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Q31"/>
  <sheetViews>
    <sheetView workbookViewId="0"/>
  </sheetViews>
  <sheetFormatPr defaultColWidth="6.6640625" defaultRowHeight="13.2" x14ac:dyDescent="0.25"/>
  <cols>
    <col min="1" max="1" width="1.33203125" style="49" customWidth="1"/>
    <col min="2" max="2" width="25.44140625" style="49" customWidth="1"/>
    <col min="3" max="3" width="10.6640625" style="49" customWidth="1"/>
    <col min="4" max="4" width="10.6640625" style="50" customWidth="1"/>
    <col min="5" max="5" width="10.6640625" style="49" customWidth="1"/>
    <col min="6" max="6" width="10.6640625" style="50" customWidth="1"/>
    <col min="7" max="7" width="10.6640625" style="49" customWidth="1"/>
    <col min="8" max="8" width="10.6640625" style="50" customWidth="1"/>
    <col min="9" max="9" width="10.6640625" style="49" customWidth="1"/>
    <col min="10" max="10" width="10.6640625" style="50" customWidth="1"/>
    <col min="11" max="11" width="10.6640625" style="49" customWidth="1"/>
    <col min="12" max="12" width="10.6640625" style="50" customWidth="1"/>
    <col min="13" max="13" width="10.6640625" style="49" customWidth="1"/>
    <col min="14" max="14" width="10.6640625" style="50" customWidth="1"/>
    <col min="15" max="16" width="10.6640625" style="49" customWidth="1"/>
    <col min="17" max="16384" width="6.6640625" style="49"/>
  </cols>
  <sheetData>
    <row r="1" spans="1:17" s="51" customFormat="1" ht="17.399999999999999" x14ac:dyDescent="0.3">
      <c r="B1" s="2116" t="s">
        <v>902</v>
      </c>
      <c r="C1" s="2116"/>
      <c r="D1" s="2116"/>
      <c r="E1" s="2116"/>
      <c r="F1" s="2116"/>
      <c r="G1" s="2116"/>
      <c r="H1" s="2116"/>
      <c r="I1" s="2116"/>
      <c r="J1" s="2116"/>
      <c r="K1" s="2116"/>
      <c r="L1" s="2116"/>
      <c r="M1" s="2116"/>
      <c r="N1" s="2116"/>
      <c r="O1" s="2116"/>
      <c r="P1" s="2116"/>
      <c r="Q1" s="2116"/>
    </row>
    <row r="2" spans="1:17" s="51" customFormat="1" ht="12.75" customHeight="1" thickBot="1" x14ac:dyDescent="0.35">
      <c r="A2" s="52"/>
      <c r="B2" s="52"/>
      <c r="C2" s="52"/>
      <c r="D2" s="53"/>
      <c r="F2" s="53"/>
      <c r="H2" s="53"/>
      <c r="J2" s="53"/>
      <c r="L2" s="53"/>
      <c r="N2" s="53"/>
    </row>
    <row r="3" spans="1:17" ht="20.399999999999999" x14ac:dyDescent="0.25">
      <c r="B3" s="101" t="s">
        <v>842</v>
      </c>
      <c r="C3" s="102" t="s">
        <v>843</v>
      </c>
      <c r="D3" s="57"/>
      <c r="E3" s="56" t="s">
        <v>844</v>
      </c>
      <c r="F3" s="57"/>
      <c r="G3" s="56" t="s">
        <v>845</v>
      </c>
      <c r="H3" s="57"/>
      <c r="I3" s="55" t="s">
        <v>846</v>
      </c>
      <c r="J3" s="54"/>
      <c r="K3" s="55" t="s">
        <v>847</v>
      </c>
      <c r="L3" s="54"/>
      <c r="M3" s="56" t="s">
        <v>848</v>
      </c>
      <c r="N3" s="1090"/>
      <c r="O3" s="1091" t="s">
        <v>519</v>
      </c>
      <c r="P3" s="1095"/>
      <c r="Q3" s="58" t="s">
        <v>831</v>
      </c>
    </row>
    <row r="4" spans="1:17" x14ac:dyDescent="0.25">
      <c r="B4" s="103" t="s">
        <v>849</v>
      </c>
      <c r="C4" s="104" t="s">
        <v>850</v>
      </c>
      <c r="D4" s="59" t="s">
        <v>851</v>
      </c>
      <c r="E4" s="60" t="s">
        <v>850</v>
      </c>
      <c r="F4" s="59" t="s">
        <v>851</v>
      </c>
      <c r="G4" s="60" t="s">
        <v>850</v>
      </c>
      <c r="H4" s="59" t="s">
        <v>851</v>
      </c>
      <c r="I4" s="60" t="s">
        <v>850</v>
      </c>
      <c r="J4" s="59" t="s">
        <v>851</v>
      </c>
      <c r="K4" s="60" t="s">
        <v>850</v>
      </c>
      <c r="L4" s="59" t="s">
        <v>851</v>
      </c>
      <c r="M4" s="60" t="s">
        <v>850</v>
      </c>
      <c r="N4" s="59" t="s">
        <v>851</v>
      </c>
      <c r="O4" s="59" t="s">
        <v>850</v>
      </c>
      <c r="P4" s="599" t="s">
        <v>851</v>
      </c>
      <c r="Q4" s="61" t="s">
        <v>835</v>
      </c>
    </row>
    <row r="5" spans="1:17" ht="14.25" customHeight="1" x14ac:dyDescent="0.25">
      <c r="B5" s="400" t="s">
        <v>820</v>
      </c>
      <c r="C5" s="401"/>
      <c r="D5" s="395"/>
      <c r="E5" s="396"/>
      <c r="F5" s="395"/>
      <c r="G5" s="396"/>
      <c r="H5" s="395"/>
      <c r="I5" s="396"/>
      <c r="J5" s="395"/>
      <c r="K5" s="396"/>
      <c r="L5" s="395"/>
      <c r="M5" s="396"/>
      <c r="N5" s="395"/>
      <c r="O5" s="533"/>
      <c r="P5" s="402"/>
      <c r="Q5" s="403"/>
    </row>
    <row r="6" spans="1:17" ht="14.25" hidden="1" customHeight="1" x14ac:dyDescent="0.25">
      <c r="B6" s="105">
        <v>2001</v>
      </c>
      <c r="C6" s="106">
        <v>112</v>
      </c>
      <c r="D6" s="62">
        <f t="shared" ref="D6:D13" si="0">C6/$Q6</f>
        <v>0.2635294117647059</v>
      </c>
      <c r="E6" s="63">
        <v>285</v>
      </c>
      <c r="F6" s="62">
        <f t="shared" ref="F6:F13" si="1">E6/$Q6</f>
        <v>0.6705882352941176</v>
      </c>
      <c r="G6" s="63">
        <v>7</v>
      </c>
      <c r="H6" s="62">
        <f t="shared" ref="H6:H13" si="2">G6/$Q6</f>
        <v>1.6470588235294119E-2</v>
      </c>
      <c r="I6" s="63">
        <v>2</v>
      </c>
      <c r="J6" s="62">
        <f t="shared" ref="J6:J13" si="3">I6/$Q6</f>
        <v>4.7058823529411761E-3</v>
      </c>
      <c r="K6" s="63">
        <v>0</v>
      </c>
      <c r="L6" s="62">
        <f t="shared" ref="L6:L13" si="4">K6/$Q6</f>
        <v>0</v>
      </c>
      <c r="M6" s="63">
        <v>19</v>
      </c>
      <c r="N6" s="62">
        <f t="shared" ref="N6:N13" si="5">M6/$Q6</f>
        <v>4.4705882352941179E-2</v>
      </c>
      <c r="O6" s="1092">
        <v>0</v>
      </c>
      <c r="P6" s="107">
        <f t="shared" ref="P6:P13" si="6">O6/$Q6</f>
        <v>0</v>
      </c>
      <c r="Q6" s="108">
        <f>SUM(C6,E6,G6,I6,K6,M6)</f>
        <v>425</v>
      </c>
    </row>
    <row r="7" spans="1:17" ht="14.25" hidden="1" customHeight="1" x14ac:dyDescent="0.25">
      <c r="B7" s="105">
        <v>2008</v>
      </c>
      <c r="C7" s="106">
        <v>209</v>
      </c>
      <c r="D7" s="62">
        <f t="shared" si="0"/>
        <v>0.34206219312602293</v>
      </c>
      <c r="E7" s="63">
        <v>316</v>
      </c>
      <c r="F7" s="62">
        <f t="shared" si="1"/>
        <v>0.51718494271685767</v>
      </c>
      <c r="G7" s="63">
        <v>8</v>
      </c>
      <c r="H7" s="62">
        <f t="shared" si="2"/>
        <v>1.3093289689034371E-2</v>
      </c>
      <c r="I7" s="63">
        <v>5</v>
      </c>
      <c r="J7" s="62">
        <f t="shared" si="3"/>
        <v>8.1833060556464818E-3</v>
      </c>
      <c r="K7" s="63">
        <v>7</v>
      </c>
      <c r="L7" s="62">
        <f t="shared" si="4"/>
        <v>1.1456628477905073E-2</v>
      </c>
      <c r="M7" s="63">
        <v>17</v>
      </c>
      <c r="N7" s="62">
        <f t="shared" si="5"/>
        <v>2.7823240589198037E-2</v>
      </c>
      <c r="O7" s="1092">
        <v>49</v>
      </c>
      <c r="P7" s="107">
        <f t="shared" si="6"/>
        <v>8.0196399345335512E-2</v>
      </c>
      <c r="Q7" s="600">
        <f t="shared" ref="Q7:Q13" si="7">SUM(C7,E7,G7,I7,K7,M7,O7)</f>
        <v>611</v>
      </c>
    </row>
    <row r="8" spans="1:17" ht="14.25" hidden="1" customHeight="1" x14ac:dyDescent="0.25">
      <c r="B8" s="105">
        <v>2010</v>
      </c>
      <c r="C8" s="106">
        <v>197</v>
      </c>
      <c r="D8" s="62">
        <f t="shared" si="0"/>
        <v>0.31928687196110211</v>
      </c>
      <c r="E8" s="63">
        <v>341</v>
      </c>
      <c r="F8" s="62">
        <f t="shared" si="1"/>
        <v>0.55267423014586714</v>
      </c>
      <c r="G8" s="63">
        <v>10</v>
      </c>
      <c r="H8" s="62">
        <f t="shared" si="2"/>
        <v>1.6207455429497569E-2</v>
      </c>
      <c r="I8" s="63">
        <v>9</v>
      </c>
      <c r="J8" s="62">
        <f t="shared" si="3"/>
        <v>1.4586709886547812E-2</v>
      </c>
      <c r="K8" s="63">
        <v>5</v>
      </c>
      <c r="L8" s="62">
        <f t="shared" si="4"/>
        <v>8.1037277147487843E-3</v>
      </c>
      <c r="M8" s="63">
        <v>11</v>
      </c>
      <c r="N8" s="62">
        <f t="shared" si="5"/>
        <v>1.7828200972447326E-2</v>
      </c>
      <c r="O8" s="1092">
        <v>44</v>
      </c>
      <c r="P8" s="107">
        <f t="shared" si="6"/>
        <v>7.1312803889789306E-2</v>
      </c>
      <c r="Q8" s="600">
        <f t="shared" si="7"/>
        <v>617</v>
      </c>
    </row>
    <row r="9" spans="1:17" ht="14.25" customHeight="1" x14ac:dyDescent="0.25">
      <c r="B9" s="105">
        <f>+B8+1</f>
        <v>2011</v>
      </c>
      <c r="C9" s="106">
        <v>231</v>
      </c>
      <c r="D9" s="62">
        <f t="shared" si="0"/>
        <v>0.36150234741784038</v>
      </c>
      <c r="E9" s="63">
        <v>310</v>
      </c>
      <c r="F9" s="62">
        <f t="shared" si="1"/>
        <v>0.48513302034428796</v>
      </c>
      <c r="G9" s="63">
        <v>11</v>
      </c>
      <c r="H9" s="62">
        <f t="shared" si="2"/>
        <v>1.7214397496087636E-2</v>
      </c>
      <c r="I9" s="63">
        <v>1</v>
      </c>
      <c r="J9" s="62">
        <f t="shared" si="3"/>
        <v>1.5649452269170579E-3</v>
      </c>
      <c r="K9" s="63">
        <v>3</v>
      </c>
      <c r="L9" s="62">
        <f t="shared" si="4"/>
        <v>4.6948356807511738E-3</v>
      </c>
      <c r="M9" s="63">
        <v>30</v>
      </c>
      <c r="N9" s="62">
        <f t="shared" si="5"/>
        <v>4.6948356807511735E-2</v>
      </c>
      <c r="O9" s="1092">
        <v>53</v>
      </c>
      <c r="P9" s="107">
        <f t="shared" si="6"/>
        <v>8.2942097026604072E-2</v>
      </c>
      <c r="Q9" s="600">
        <f t="shared" si="7"/>
        <v>639</v>
      </c>
    </row>
    <row r="10" spans="1:17" ht="14.25" customHeight="1" x14ac:dyDescent="0.25">
      <c r="B10" s="105">
        <f>+B9+1</f>
        <v>2012</v>
      </c>
      <c r="C10" s="106">
        <v>134</v>
      </c>
      <c r="D10" s="62">
        <f t="shared" si="0"/>
        <v>0.22408026755852842</v>
      </c>
      <c r="E10" s="63">
        <v>165</v>
      </c>
      <c r="F10" s="62">
        <f t="shared" si="1"/>
        <v>0.27591973244147155</v>
      </c>
      <c r="G10" s="63">
        <v>4</v>
      </c>
      <c r="H10" s="62">
        <f t="shared" si="2"/>
        <v>6.688963210702341E-3</v>
      </c>
      <c r="I10" s="63">
        <v>4</v>
      </c>
      <c r="J10" s="62">
        <f t="shared" si="3"/>
        <v>6.688963210702341E-3</v>
      </c>
      <c r="K10" s="63">
        <v>1</v>
      </c>
      <c r="L10" s="62">
        <f t="shared" si="4"/>
        <v>1.6722408026755853E-3</v>
      </c>
      <c r="M10" s="63">
        <v>27</v>
      </c>
      <c r="N10" s="62">
        <f t="shared" si="5"/>
        <v>4.51505016722408E-2</v>
      </c>
      <c r="O10" s="1092">
        <v>263</v>
      </c>
      <c r="P10" s="107">
        <f t="shared" si="6"/>
        <v>0.43979933110367891</v>
      </c>
      <c r="Q10" s="600">
        <f t="shared" si="7"/>
        <v>598</v>
      </c>
    </row>
    <row r="11" spans="1:17" ht="14.25" customHeight="1" x14ac:dyDescent="0.25">
      <c r="B11" s="105">
        <v>2013</v>
      </c>
      <c r="C11" s="106">
        <v>151</v>
      </c>
      <c r="D11" s="62">
        <f t="shared" si="0"/>
        <v>0.25549915397631134</v>
      </c>
      <c r="E11" s="63">
        <v>203</v>
      </c>
      <c r="F11" s="62">
        <f t="shared" si="1"/>
        <v>0.34348561759729274</v>
      </c>
      <c r="G11" s="63">
        <v>5</v>
      </c>
      <c r="H11" s="62">
        <f t="shared" si="2"/>
        <v>8.4602368866328256E-3</v>
      </c>
      <c r="I11" s="63">
        <v>6</v>
      </c>
      <c r="J11" s="62">
        <f t="shared" si="3"/>
        <v>1.015228426395939E-2</v>
      </c>
      <c r="K11" s="63">
        <v>1</v>
      </c>
      <c r="L11" s="62">
        <f t="shared" si="4"/>
        <v>1.6920473773265651E-3</v>
      </c>
      <c r="M11" s="63">
        <v>16</v>
      </c>
      <c r="N11" s="62">
        <f t="shared" si="5"/>
        <v>2.7072758037225041E-2</v>
      </c>
      <c r="O11" s="1092">
        <v>209</v>
      </c>
      <c r="P11" s="107">
        <f t="shared" si="6"/>
        <v>0.3536379018612521</v>
      </c>
      <c r="Q11" s="600">
        <f t="shared" si="7"/>
        <v>591</v>
      </c>
    </row>
    <row r="12" spans="1:17" ht="14.25" customHeight="1" x14ac:dyDescent="0.25">
      <c r="B12" s="105">
        <v>2014</v>
      </c>
      <c r="C12" s="1573">
        <v>189</v>
      </c>
      <c r="D12" s="62">
        <f t="shared" si="0"/>
        <v>0.32033898305084746</v>
      </c>
      <c r="E12" s="63">
        <v>243</v>
      </c>
      <c r="F12" s="62">
        <f t="shared" si="1"/>
        <v>0.41186440677966102</v>
      </c>
      <c r="G12" s="63">
        <v>5</v>
      </c>
      <c r="H12" s="62">
        <f t="shared" si="2"/>
        <v>8.4745762711864406E-3</v>
      </c>
      <c r="I12" s="63">
        <v>3</v>
      </c>
      <c r="J12" s="62">
        <f t="shared" si="3"/>
        <v>5.084745762711864E-3</v>
      </c>
      <c r="K12" s="63">
        <v>2</v>
      </c>
      <c r="L12" s="62">
        <f t="shared" si="4"/>
        <v>3.3898305084745762E-3</v>
      </c>
      <c r="M12" s="63">
        <v>21</v>
      </c>
      <c r="N12" s="62">
        <f t="shared" si="5"/>
        <v>3.5593220338983052E-2</v>
      </c>
      <c r="O12" s="1092">
        <v>127</v>
      </c>
      <c r="P12" s="107">
        <f t="shared" si="6"/>
        <v>0.21525423728813559</v>
      </c>
      <c r="Q12" s="600">
        <f t="shared" si="7"/>
        <v>590</v>
      </c>
    </row>
    <row r="13" spans="1:17" ht="14.25" customHeight="1" x14ac:dyDescent="0.25">
      <c r="B13" s="105">
        <v>2015</v>
      </c>
      <c r="C13" s="1573">
        <v>158</v>
      </c>
      <c r="D13" s="62">
        <f t="shared" si="0"/>
        <v>0.34422657952069718</v>
      </c>
      <c r="E13" s="63">
        <v>221</v>
      </c>
      <c r="F13" s="62">
        <f t="shared" si="1"/>
        <v>0.48148148148148145</v>
      </c>
      <c r="G13" s="63">
        <v>2</v>
      </c>
      <c r="H13" s="62">
        <f t="shared" si="2"/>
        <v>4.3572984749455342E-3</v>
      </c>
      <c r="I13" s="63">
        <v>9</v>
      </c>
      <c r="J13" s="62">
        <f t="shared" si="3"/>
        <v>1.9607843137254902E-2</v>
      </c>
      <c r="K13" s="63">
        <v>5</v>
      </c>
      <c r="L13" s="62">
        <f t="shared" si="4"/>
        <v>1.0893246187363835E-2</v>
      </c>
      <c r="M13" s="63">
        <v>26</v>
      </c>
      <c r="N13" s="62">
        <f t="shared" si="5"/>
        <v>5.6644880174291937E-2</v>
      </c>
      <c r="O13" s="1092">
        <v>38</v>
      </c>
      <c r="P13" s="107">
        <f t="shared" si="6"/>
        <v>8.2788671023965144E-2</v>
      </c>
      <c r="Q13" s="600">
        <f t="shared" si="7"/>
        <v>459</v>
      </c>
    </row>
    <row r="14" spans="1:17" ht="14.25" customHeight="1" x14ac:dyDescent="0.25">
      <c r="B14" s="400" t="s">
        <v>821</v>
      </c>
      <c r="C14" s="401"/>
      <c r="D14" s="395"/>
      <c r="E14" s="396"/>
      <c r="F14" s="395"/>
      <c r="G14" s="396"/>
      <c r="H14" s="395"/>
      <c r="I14" s="396"/>
      <c r="J14" s="395"/>
      <c r="K14" s="396"/>
      <c r="L14" s="395"/>
      <c r="M14" s="396"/>
      <c r="N14" s="395"/>
      <c r="O14" s="533"/>
      <c r="P14" s="402"/>
      <c r="Q14" s="403"/>
    </row>
    <row r="15" spans="1:17" hidden="1" x14ac:dyDescent="0.25">
      <c r="B15" s="105">
        <v>2001</v>
      </c>
      <c r="C15" s="106">
        <v>77</v>
      </c>
      <c r="D15" s="62">
        <f t="shared" ref="D15:D22" si="8">C15/$Q15</f>
        <v>0.23547400611620795</v>
      </c>
      <c r="E15" s="63">
        <v>230</v>
      </c>
      <c r="F15" s="62">
        <f t="shared" ref="F15:F22" si="9">E15/$Q15</f>
        <v>0.70336391437308865</v>
      </c>
      <c r="G15" s="63">
        <v>6</v>
      </c>
      <c r="H15" s="62">
        <f t="shared" ref="H15:H22" si="10">G15/$Q15</f>
        <v>1.834862385321101E-2</v>
      </c>
      <c r="I15" s="63">
        <v>2</v>
      </c>
      <c r="J15" s="62">
        <f t="shared" ref="J15:J22" si="11">I15/$Q15</f>
        <v>6.1162079510703364E-3</v>
      </c>
      <c r="K15" s="63">
        <v>0</v>
      </c>
      <c r="L15" s="62">
        <f t="shared" ref="L15:L22" si="12">K15/$Q15</f>
        <v>0</v>
      </c>
      <c r="M15" s="63">
        <v>12</v>
      </c>
      <c r="N15" s="62">
        <f t="shared" ref="N15:N22" si="13">M15/$Q15</f>
        <v>3.669724770642202E-2</v>
      </c>
      <c r="O15" s="1092">
        <v>0</v>
      </c>
      <c r="P15" s="107">
        <f t="shared" ref="P15:P22" si="14">O15/$Q15</f>
        <v>0</v>
      </c>
      <c r="Q15" s="108">
        <f>SUM(C15,E15,G15,I15,K15,M15)</f>
        <v>327</v>
      </c>
    </row>
    <row r="16" spans="1:17" hidden="1" x14ac:dyDescent="0.25">
      <c r="B16" s="105">
        <v>2008</v>
      </c>
      <c r="C16" s="106">
        <v>76</v>
      </c>
      <c r="D16" s="536">
        <f t="shared" si="8"/>
        <v>0.25503355704697989</v>
      </c>
      <c r="E16" s="63">
        <v>186</v>
      </c>
      <c r="F16" s="65">
        <f t="shared" si="9"/>
        <v>0.62416107382550334</v>
      </c>
      <c r="G16" s="63">
        <v>2</v>
      </c>
      <c r="H16" s="65">
        <f t="shared" si="10"/>
        <v>6.7114093959731542E-3</v>
      </c>
      <c r="I16" s="63">
        <v>3</v>
      </c>
      <c r="J16" s="65">
        <f t="shared" si="11"/>
        <v>1.0067114093959731E-2</v>
      </c>
      <c r="K16" s="63">
        <v>5</v>
      </c>
      <c r="L16" s="65">
        <f t="shared" si="12"/>
        <v>1.6778523489932886E-2</v>
      </c>
      <c r="M16" s="63">
        <v>7</v>
      </c>
      <c r="N16" s="65">
        <f t="shared" si="13"/>
        <v>2.3489932885906041E-2</v>
      </c>
      <c r="O16" s="64">
        <v>19</v>
      </c>
      <c r="P16" s="107">
        <f t="shared" si="14"/>
        <v>6.3758389261744972E-2</v>
      </c>
      <c r="Q16" s="600">
        <f t="shared" ref="Q16:Q22" si="15">SUM(C16,E16,G16,I16,K16,M16,O16)</f>
        <v>298</v>
      </c>
    </row>
    <row r="17" spans="2:17" hidden="1" x14ac:dyDescent="0.25">
      <c r="B17" s="105">
        <v>2010</v>
      </c>
      <c r="C17" s="106">
        <v>78</v>
      </c>
      <c r="D17" s="62">
        <f t="shared" si="8"/>
        <v>0.23353293413173654</v>
      </c>
      <c r="E17" s="63">
        <v>212</v>
      </c>
      <c r="F17" s="62">
        <f t="shared" si="9"/>
        <v>0.6347305389221557</v>
      </c>
      <c r="G17" s="63">
        <v>7</v>
      </c>
      <c r="H17" s="62">
        <f t="shared" si="10"/>
        <v>2.0958083832335328E-2</v>
      </c>
      <c r="I17" s="63">
        <v>7</v>
      </c>
      <c r="J17" s="62">
        <f t="shared" si="11"/>
        <v>2.0958083832335328E-2</v>
      </c>
      <c r="K17" s="63">
        <v>2</v>
      </c>
      <c r="L17" s="62">
        <f t="shared" si="12"/>
        <v>5.9880239520958087E-3</v>
      </c>
      <c r="M17" s="63">
        <v>7</v>
      </c>
      <c r="N17" s="62">
        <f t="shared" si="13"/>
        <v>2.0958083832335328E-2</v>
      </c>
      <c r="O17" s="1092">
        <v>21</v>
      </c>
      <c r="P17" s="107">
        <f t="shared" si="14"/>
        <v>6.2874251497005984E-2</v>
      </c>
      <c r="Q17" s="600">
        <f>SUM(C17,E17,G17,I17,K17,M17,O17)</f>
        <v>334</v>
      </c>
    </row>
    <row r="18" spans="2:17" x14ac:dyDescent="0.25">
      <c r="B18" s="105">
        <f>+B17+1</f>
        <v>2011</v>
      </c>
      <c r="C18" s="106">
        <v>78</v>
      </c>
      <c r="D18" s="62">
        <f t="shared" si="8"/>
        <v>0.2608695652173913</v>
      </c>
      <c r="E18" s="63">
        <v>170</v>
      </c>
      <c r="F18" s="62">
        <f t="shared" si="9"/>
        <v>0.56856187290969895</v>
      </c>
      <c r="G18" s="63">
        <v>4</v>
      </c>
      <c r="H18" s="62">
        <f t="shared" si="10"/>
        <v>1.3377926421404682E-2</v>
      </c>
      <c r="I18" s="63">
        <v>1</v>
      </c>
      <c r="J18" s="62">
        <f t="shared" si="11"/>
        <v>3.3444816053511705E-3</v>
      </c>
      <c r="K18" s="63">
        <v>3</v>
      </c>
      <c r="L18" s="62">
        <f t="shared" si="12"/>
        <v>1.0033444816053512E-2</v>
      </c>
      <c r="M18" s="63">
        <v>13</v>
      </c>
      <c r="N18" s="62">
        <f t="shared" si="13"/>
        <v>4.3478260869565216E-2</v>
      </c>
      <c r="O18" s="1092">
        <v>30</v>
      </c>
      <c r="P18" s="107">
        <f t="shared" si="14"/>
        <v>0.10033444816053512</v>
      </c>
      <c r="Q18" s="600">
        <f>SUM(C18,E18,G18,I18,K18,M18,O18)</f>
        <v>299</v>
      </c>
    </row>
    <row r="19" spans="2:17" ht="14.25" customHeight="1" x14ac:dyDescent="0.25">
      <c r="B19" s="105">
        <f>+B18+1</f>
        <v>2012</v>
      </c>
      <c r="C19" s="106">
        <v>56</v>
      </c>
      <c r="D19" s="62">
        <f t="shared" si="8"/>
        <v>0.18006430868167203</v>
      </c>
      <c r="E19" s="63">
        <v>107</v>
      </c>
      <c r="F19" s="62">
        <f t="shared" si="9"/>
        <v>0.34405144694533762</v>
      </c>
      <c r="G19" s="63">
        <v>3</v>
      </c>
      <c r="H19" s="62">
        <f t="shared" si="10"/>
        <v>9.6463022508038593E-3</v>
      </c>
      <c r="I19" s="63">
        <v>3</v>
      </c>
      <c r="J19" s="62">
        <f t="shared" si="11"/>
        <v>9.6463022508038593E-3</v>
      </c>
      <c r="K19" s="63">
        <v>1</v>
      </c>
      <c r="L19" s="62">
        <f t="shared" si="12"/>
        <v>3.2154340836012861E-3</v>
      </c>
      <c r="M19" s="63">
        <v>19</v>
      </c>
      <c r="N19" s="62">
        <f t="shared" si="13"/>
        <v>6.1093247588424437E-2</v>
      </c>
      <c r="O19" s="1092">
        <v>122</v>
      </c>
      <c r="P19" s="107">
        <f t="shared" si="14"/>
        <v>0.39228295819935693</v>
      </c>
      <c r="Q19" s="600">
        <f>SUM(C19,E19,G19,I19,K19,M19,O19)</f>
        <v>311</v>
      </c>
    </row>
    <row r="20" spans="2:17" ht="14.25" customHeight="1" x14ac:dyDescent="0.25">
      <c r="B20" s="105">
        <v>2013</v>
      </c>
      <c r="C20" s="106">
        <v>59</v>
      </c>
      <c r="D20" s="62">
        <f t="shared" si="8"/>
        <v>0.18971061093247588</v>
      </c>
      <c r="E20" s="63">
        <v>128</v>
      </c>
      <c r="F20" s="62">
        <f t="shared" si="9"/>
        <v>0.41157556270096463</v>
      </c>
      <c r="G20" s="63">
        <v>5</v>
      </c>
      <c r="H20" s="62">
        <f t="shared" si="10"/>
        <v>1.607717041800643E-2</v>
      </c>
      <c r="I20" s="63">
        <v>4</v>
      </c>
      <c r="J20" s="62">
        <f t="shared" si="11"/>
        <v>1.2861736334405145E-2</v>
      </c>
      <c r="K20" s="63">
        <v>1</v>
      </c>
      <c r="L20" s="62">
        <f t="shared" si="12"/>
        <v>3.2154340836012861E-3</v>
      </c>
      <c r="M20" s="63">
        <v>7</v>
      </c>
      <c r="N20" s="62">
        <f t="shared" si="13"/>
        <v>2.2508038585209004E-2</v>
      </c>
      <c r="O20" s="1092">
        <v>107</v>
      </c>
      <c r="P20" s="107">
        <f t="shared" si="14"/>
        <v>0.34405144694533762</v>
      </c>
      <c r="Q20" s="600">
        <f>SUM(C20,E20,G20,I20,K20,M20,O20)</f>
        <v>311</v>
      </c>
    </row>
    <row r="21" spans="2:17" ht="14.25" customHeight="1" x14ac:dyDescent="0.25">
      <c r="B21" s="105">
        <v>2014</v>
      </c>
      <c r="C21" s="1573">
        <v>87</v>
      </c>
      <c r="D21" s="62">
        <f t="shared" si="8"/>
        <v>0.26443768996960487</v>
      </c>
      <c r="E21" s="63">
        <v>165</v>
      </c>
      <c r="F21" s="62">
        <f t="shared" si="9"/>
        <v>0.50151975683890582</v>
      </c>
      <c r="G21" s="63">
        <v>3</v>
      </c>
      <c r="H21" s="62">
        <f t="shared" si="10"/>
        <v>9.11854103343465E-3</v>
      </c>
      <c r="I21" s="63">
        <v>1</v>
      </c>
      <c r="J21" s="62">
        <f t="shared" si="11"/>
        <v>3.0395136778115501E-3</v>
      </c>
      <c r="K21" s="63">
        <v>0</v>
      </c>
      <c r="L21" s="62">
        <f t="shared" si="12"/>
        <v>0</v>
      </c>
      <c r="M21" s="63">
        <v>11</v>
      </c>
      <c r="N21" s="62">
        <f t="shared" si="13"/>
        <v>3.3434650455927049E-2</v>
      </c>
      <c r="O21" s="1092">
        <v>62</v>
      </c>
      <c r="P21" s="107">
        <f t="shared" si="14"/>
        <v>0.18844984802431611</v>
      </c>
      <c r="Q21" s="600">
        <f t="shared" si="15"/>
        <v>329</v>
      </c>
    </row>
    <row r="22" spans="2:17" ht="14.25" customHeight="1" x14ac:dyDescent="0.25">
      <c r="B22" s="105">
        <v>2015</v>
      </c>
      <c r="C22" s="1573">
        <v>65</v>
      </c>
      <c r="D22" s="62">
        <f t="shared" si="8"/>
        <v>0.23985239852398524</v>
      </c>
      <c r="E22" s="63">
        <v>160</v>
      </c>
      <c r="F22" s="62">
        <f t="shared" si="9"/>
        <v>0.59040590405904059</v>
      </c>
      <c r="G22" s="63">
        <v>2</v>
      </c>
      <c r="H22" s="62">
        <f t="shared" si="10"/>
        <v>7.3800738007380072E-3</v>
      </c>
      <c r="I22" s="63">
        <v>6</v>
      </c>
      <c r="J22" s="62">
        <f t="shared" si="11"/>
        <v>2.2140221402214021E-2</v>
      </c>
      <c r="K22" s="63">
        <v>3</v>
      </c>
      <c r="L22" s="62">
        <f t="shared" si="12"/>
        <v>1.107011070110701E-2</v>
      </c>
      <c r="M22" s="63">
        <v>14</v>
      </c>
      <c r="N22" s="62">
        <f t="shared" si="13"/>
        <v>5.1660516605166053E-2</v>
      </c>
      <c r="O22" s="1092">
        <v>21</v>
      </c>
      <c r="P22" s="107">
        <f t="shared" si="14"/>
        <v>7.7490774907749083E-2</v>
      </c>
      <c r="Q22" s="600">
        <f t="shared" si="15"/>
        <v>271</v>
      </c>
    </row>
    <row r="23" spans="2:17" x14ac:dyDescent="0.25">
      <c r="B23" s="400" t="s">
        <v>823</v>
      </c>
      <c r="C23" s="401"/>
      <c r="D23" s="395"/>
      <c r="E23" s="396"/>
      <c r="F23" s="395"/>
      <c r="G23" s="396"/>
      <c r="H23" s="395"/>
      <c r="I23" s="396"/>
      <c r="J23" s="395"/>
      <c r="K23" s="396"/>
      <c r="L23" s="395"/>
      <c r="M23" s="396"/>
      <c r="N23" s="395"/>
      <c r="O23" s="533"/>
      <c r="P23" s="402"/>
      <c r="Q23" s="403"/>
    </row>
    <row r="24" spans="2:17" hidden="1" x14ac:dyDescent="0.25">
      <c r="B24" s="290">
        <v>2001</v>
      </c>
      <c r="C24" s="291">
        <v>51</v>
      </c>
      <c r="D24" s="65">
        <f t="shared" ref="D24:D31" si="16">C24/$Q24</f>
        <v>0.24757281553398058</v>
      </c>
      <c r="E24" s="66">
        <v>140</v>
      </c>
      <c r="F24" s="65">
        <f t="shared" ref="F24:F31" si="17">E24/$Q24</f>
        <v>0.67961165048543692</v>
      </c>
      <c r="G24" s="66">
        <v>3</v>
      </c>
      <c r="H24" s="65">
        <f t="shared" ref="H24:H31" si="18">G24/$Q24</f>
        <v>1.4563106796116505E-2</v>
      </c>
      <c r="I24" s="66">
        <v>0</v>
      </c>
      <c r="J24" s="65">
        <f t="shared" ref="J24:J31" si="19">I24/$Q24</f>
        <v>0</v>
      </c>
      <c r="K24" s="66">
        <v>0</v>
      </c>
      <c r="L24" s="65">
        <f t="shared" ref="L24:L31" si="20">K24/$Q24</f>
        <v>0</v>
      </c>
      <c r="M24" s="66">
        <v>12</v>
      </c>
      <c r="N24" s="65">
        <f t="shared" ref="N24:N31" si="21">M24/$Q24</f>
        <v>5.8252427184466021E-2</v>
      </c>
      <c r="O24" s="1093">
        <v>0</v>
      </c>
      <c r="P24" s="107">
        <f t="shared" ref="P24:P31" si="22">O24/$Q24</f>
        <v>0</v>
      </c>
      <c r="Q24" s="67">
        <f>SUM(C24,E24,G24,I24,K24,M24)</f>
        <v>206</v>
      </c>
    </row>
    <row r="25" spans="2:17" hidden="1" x14ac:dyDescent="0.25">
      <c r="B25" s="105">
        <v>2008</v>
      </c>
      <c r="C25" s="106">
        <v>50</v>
      </c>
      <c r="D25" s="675">
        <f t="shared" si="16"/>
        <v>0.23255813953488372</v>
      </c>
      <c r="E25" s="674">
        <v>139</v>
      </c>
      <c r="F25" s="675">
        <f t="shared" si="17"/>
        <v>0.64651162790697669</v>
      </c>
      <c r="G25" s="674">
        <v>1</v>
      </c>
      <c r="H25" s="675">
        <f t="shared" si="18"/>
        <v>4.6511627906976744E-3</v>
      </c>
      <c r="I25" s="674">
        <v>2</v>
      </c>
      <c r="J25" s="675">
        <f t="shared" si="19"/>
        <v>9.3023255813953487E-3</v>
      </c>
      <c r="K25" s="674">
        <v>4</v>
      </c>
      <c r="L25" s="675">
        <f t="shared" si="20"/>
        <v>1.8604651162790697E-2</v>
      </c>
      <c r="M25" s="674">
        <v>7</v>
      </c>
      <c r="N25" s="675">
        <f t="shared" si="21"/>
        <v>3.255813953488372E-2</v>
      </c>
      <c r="O25" s="1092">
        <v>12</v>
      </c>
      <c r="P25" s="1195">
        <f t="shared" si="22"/>
        <v>5.5813953488372092E-2</v>
      </c>
      <c r="Q25" s="1197">
        <f t="shared" ref="Q25:Q31" si="23">SUM(C25,E25,G25,I25,K25,M25,O25)</f>
        <v>215</v>
      </c>
    </row>
    <row r="26" spans="2:17" hidden="1" x14ac:dyDescent="0.25">
      <c r="B26" s="105">
        <v>2010</v>
      </c>
      <c r="C26" s="291">
        <v>44</v>
      </c>
      <c r="D26" s="289">
        <f t="shared" si="16"/>
        <v>0.20370370370370369</v>
      </c>
      <c r="E26" s="64">
        <v>142</v>
      </c>
      <c r="F26" s="289">
        <f t="shared" si="17"/>
        <v>0.65740740740740744</v>
      </c>
      <c r="G26" s="64">
        <v>4</v>
      </c>
      <c r="H26" s="289">
        <f t="shared" si="18"/>
        <v>1.8518518518518517E-2</v>
      </c>
      <c r="I26" s="64">
        <v>2</v>
      </c>
      <c r="J26" s="289">
        <f t="shared" si="19"/>
        <v>9.2592592592592587E-3</v>
      </c>
      <c r="K26" s="64">
        <v>1</v>
      </c>
      <c r="L26" s="289">
        <f t="shared" si="20"/>
        <v>4.6296296296296294E-3</v>
      </c>
      <c r="M26" s="64">
        <v>7</v>
      </c>
      <c r="N26" s="289">
        <f t="shared" si="21"/>
        <v>3.2407407407407406E-2</v>
      </c>
      <c r="O26" s="1093">
        <v>16</v>
      </c>
      <c r="P26" s="1195">
        <f t="shared" si="22"/>
        <v>7.407407407407407E-2</v>
      </c>
      <c r="Q26" s="600">
        <f t="shared" si="23"/>
        <v>216</v>
      </c>
    </row>
    <row r="27" spans="2:17" x14ac:dyDescent="0.25">
      <c r="B27" s="105">
        <f>+B26+1</f>
        <v>2011</v>
      </c>
      <c r="C27" s="291">
        <v>48</v>
      </c>
      <c r="D27" s="289">
        <f t="shared" si="16"/>
        <v>0.23880597014925373</v>
      </c>
      <c r="E27" s="64">
        <v>120</v>
      </c>
      <c r="F27" s="289">
        <f t="shared" si="17"/>
        <v>0.59701492537313428</v>
      </c>
      <c r="G27" s="64">
        <v>3</v>
      </c>
      <c r="H27" s="289">
        <f t="shared" si="18"/>
        <v>1.4925373134328358E-2</v>
      </c>
      <c r="I27" s="64">
        <v>1</v>
      </c>
      <c r="J27" s="289">
        <f t="shared" si="19"/>
        <v>4.9751243781094526E-3</v>
      </c>
      <c r="K27" s="64">
        <v>3</v>
      </c>
      <c r="L27" s="289">
        <f t="shared" si="20"/>
        <v>1.4925373134328358E-2</v>
      </c>
      <c r="M27" s="64">
        <v>9</v>
      </c>
      <c r="N27" s="289">
        <f t="shared" si="21"/>
        <v>4.4776119402985072E-2</v>
      </c>
      <c r="O27" s="1093">
        <v>17</v>
      </c>
      <c r="P27" s="1195">
        <f t="shared" si="22"/>
        <v>8.45771144278607E-2</v>
      </c>
      <c r="Q27" s="1197">
        <f t="shared" si="23"/>
        <v>201</v>
      </c>
    </row>
    <row r="28" spans="2:17" s="753" customFormat="1" x14ac:dyDescent="0.25">
      <c r="B28" s="105">
        <f>+B27+1</f>
        <v>2012</v>
      </c>
      <c r="C28" s="291">
        <v>56</v>
      </c>
      <c r="D28" s="289">
        <f t="shared" si="16"/>
        <v>0.27586206896551724</v>
      </c>
      <c r="E28" s="64">
        <v>111</v>
      </c>
      <c r="F28" s="289">
        <f t="shared" si="17"/>
        <v>0.54679802955665024</v>
      </c>
      <c r="G28" s="64">
        <v>2</v>
      </c>
      <c r="H28" s="289">
        <f t="shared" si="18"/>
        <v>9.852216748768473E-3</v>
      </c>
      <c r="I28" s="64">
        <v>3</v>
      </c>
      <c r="J28" s="289">
        <f t="shared" si="19"/>
        <v>1.4778325123152709E-2</v>
      </c>
      <c r="K28" s="64">
        <v>3</v>
      </c>
      <c r="L28" s="289">
        <f t="shared" si="20"/>
        <v>1.4778325123152709E-2</v>
      </c>
      <c r="M28" s="64">
        <v>17</v>
      </c>
      <c r="N28" s="289">
        <f t="shared" si="21"/>
        <v>8.3743842364532015E-2</v>
      </c>
      <c r="O28" s="1093">
        <v>11</v>
      </c>
      <c r="P28" s="1195">
        <f t="shared" si="22"/>
        <v>5.4187192118226604E-2</v>
      </c>
      <c r="Q28" s="1197">
        <f t="shared" si="23"/>
        <v>203</v>
      </c>
    </row>
    <row r="29" spans="2:17" x14ac:dyDescent="0.25">
      <c r="B29" s="105">
        <f>+B28+1</f>
        <v>2013</v>
      </c>
      <c r="C29" s="291">
        <v>49</v>
      </c>
      <c r="D29" s="289">
        <f t="shared" si="16"/>
        <v>0.25257731958762886</v>
      </c>
      <c r="E29" s="64">
        <v>112</v>
      </c>
      <c r="F29" s="289">
        <f t="shared" si="17"/>
        <v>0.57731958762886593</v>
      </c>
      <c r="G29" s="64">
        <v>4</v>
      </c>
      <c r="H29" s="289">
        <f t="shared" si="18"/>
        <v>2.0618556701030927E-2</v>
      </c>
      <c r="I29" s="64">
        <v>2</v>
      </c>
      <c r="J29" s="289">
        <f t="shared" si="19"/>
        <v>1.0309278350515464E-2</v>
      </c>
      <c r="K29" s="64">
        <v>1</v>
      </c>
      <c r="L29" s="289">
        <f t="shared" si="20"/>
        <v>5.1546391752577319E-3</v>
      </c>
      <c r="M29" s="64">
        <v>6</v>
      </c>
      <c r="N29" s="289">
        <f t="shared" si="21"/>
        <v>3.0927835051546393E-2</v>
      </c>
      <c r="O29" s="1093">
        <v>20</v>
      </c>
      <c r="P29" s="1195">
        <f t="shared" si="22"/>
        <v>0.10309278350515463</v>
      </c>
      <c r="Q29" s="1197">
        <f t="shared" si="23"/>
        <v>194</v>
      </c>
    </row>
    <row r="30" spans="2:17" x14ac:dyDescent="0.25">
      <c r="B30" s="2082">
        <f>+B29+1</f>
        <v>2014</v>
      </c>
      <c r="C30" s="291">
        <v>52</v>
      </c>
      <c r="D30" s="2083">
        <f t="shared" si="16"/>
        <v>0.25120772946859904</v>
      </c>
      <c r="E30" s="2084">
        <v>109</v>
      </c>
      <c r="F30" s="2083">
        <f t="shared" si="17"/>
        <v>0.52657004830917875</v>
      </c>
      <c r="G30" s="2084">
        <v>1</v>
      </c>
      <c r="H30" s="2083">
        <f t="shared" si="18"/>
        <v>4.830917874396135E-3</v>
      </c>
      <c r="I30" s="2084">
        <v>1</v>
      </c>
      <c r="J30" s="2083">
        <f t="shared" si="19"/>
        <v>4.830917874396135E-3</v>
      </c>
      <c r="K30" s="2084">
        <v>0</v>
      </c>
      <c r="L30" s="2083">
        <f t="shared" si="20"/>
        <v>0</v>
      </c>
      <c r="M30" s="2084">
        <v>10</v>
      </c>
      <c r="N30" s="2083">
        <f t="shared" si="21"/>
        <v>4.8309178743961352E-2</v>
      </c>
      <c r="O30" s="2085">
        <v>34</v>
      </c>
      <c r="P30" s="1195">
        <f t="shared" si="22"/>
        <v>0.16425120772946861</v>
      </c>
      <c r="Q30" s="2086">
        <f t="shared" si="23"/>
        <v>207</v>
      </c>
    </row>
    <row r="31" spans="2:17" ht="13.8" thickBot="1" x14ac:dyDescent="0.3">
      <c r="B31" s="2081">
        <f>+B30+1</f>
        <v>2015</v>
      </c>
      <c r="C31" s="754">
        <v>28</v>
      </c>
      <c r="D31" s="678">
        <f t="shared" si="16"/>
        <v>0.17073170731707318</v>
      </c>
      <c r="E31" s="677">
        <v>104</v>
      </c>
      <c r="F31" s="678">
        <f t="shared" si="17"/>
        <v>0.63414634146341464</v>
      </c>
      <c r="G31" s="677">
        <v>2</v>
      </c>
      <c r="H31" s="678">
        <f t="shared" si="18"/>
        <v>1.2195121951219513E-2</v>
      </c>
      <c r="I31" s="677">
        <v>2</v>
      </c>
      <c r="J31" s="678">
        <f t="shared" si="19"/>
        <v>1.2195121951219513E-2</v>
      </c>
      <c r="K31" s="677">
        <v>1</v>
      </c>
      <c r="L31" s="678">
        <f t="shared" si="20"/>
        <v>6.0975609756097563E-3</v>
      </c>
      <c r="M31" s="677">
        <v>14</v>
      </c>
      <c r="N31" s="678">
        <f t="shared" si="21"/>
        <v>8.5365853658536592E-2</v>
      </c>
      <c r="O31" s="1094">
        <v>13</v>
      </c>
      <c r="P31" s="1196">
        <f t="shared" si="22"/>
        <v>7.926829268292683E-2</v>
      </c>
      <c r="Q31" s="1198">
        <f t="shared" si="23"/>
        <v>164</v>
      </c>
    </row>
  </sheetData>
  <mergeCells count="1">
    <mergeCell ref="B1:Q1"/>
  </mergeCells>
  <phoneticPr fontId="16" type="noConversion"/>
  <printOptions horizontalCentered="1" verticalCentered="1"/>
  <pageMargins left="0.5" right="0.5" top="0.25" bottom="0.25" header="0.5" footer="0.5"/>
  <pageSetup scale="70" orientation="landscape" r:id="rId1"/>
  <headerFooter alignWithMargins="0">
    <oddHeader xml:space="preserve">&amp;C </oddHeader>
    <oddFooter>&amp;L &amp;C &amp;RSource: Office of Admissions</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1">
    <pageSetUpPr fitToPage="1"/>
  </sheetPr>
  <dimension ref="A1:P75"/>
  <sheetViews>
    <sheetView workbookViewId="0">
      <selection sqref="A1:P1"/>
    </sheetView>
  </sheetViews>
  <sheetFormatPr defaultColWidth="6.6640625" defaultRowHeight="13.2" x14ac:dyDescent="0.25"/>
  <cols>
    <col min="1" max="1" width="61.5546875" style="1" bestFit="1" customWidth="1"/>
    <col min="2" max="11" width="14.44140625" style="1" hidden="1" customWidth="1"/>
    <col min="12" max="48" width="14.44140625" style="1" customWidth="1"/>
    <col min="49" max="16384" width="6.6640625" style="1"/>
  </cols>
  <sheetData>
    <row r="1" spans="1:16" s="13" customFormat="1" ht="17.399999999999999" x14ac:dyDescent="0.3">
      <c r="A1" s="2110" t="s">
        <v>903</v>
      </c>
      <c r="B1" s="2110"/>
      <c r="C1" s="2110"/>
      <c r="D1" s="2110"/>
      <c r="E1" s="2110"/>
      <c r="F1" s="2110"/>
      <c r="G1" s="2110"/>
      <c r="H1" s="2110"/>
      <c r="I1" s="2110"/>
      <c r="J1" s="2110"/>
      <c r="K1" s="2110"/>
      <c r="L1" s="2110"/>
      <c r="M1" s="2110"/>
      <c r="N1" s="2110"/>
      <c r="O1" s="2110"/>
      <c r="P1" s="2110"/>
    </row>
    <row r="2" spans="1:16" s="13" customFormat="1" ht="17.399999999999999" x14ac:dyDescent="0.3">
      <c r="A2" s="2110" t="s">
        <v>904</v>
      </c>
      <c r="B2" s="2110"/>
      <c r="C2" s="2110"/>
      <c r="D2" s="2110"/>
      <c r="E2" s="2110"/>
      <c r="F2" s="2110"/>
      <c r="G2" s="2110"/>
      <c r="H2" s="2110"/>
      <c r="I2" s="2110"/>
      <c r="J2" s="2110"/>
      <c r="K2" s="2110"/>
      <c r="L2" s="2110"/>
      <c r="M2" s="2110"/>
      <c r="N2" s="2110"/>
      <c r="O2" s="2110"/>
      <c r="P2" s="2110"/>
    </row>
    <row r="3" spans="1:16" s="13" customFormat="1" ht="17.399999999999999" x14ac:dyDescent="0.3"/>
    <row r="4" spans="1:16" ht="24.9" customHeight="1" x14ac:dyDescent="0.25">
      <c r="A4" s="330" t="s">
        <v>905</v>
      </c>
      <c r="B4" s="331" t="s">
        <v>906</v>
      </c>
      <c r="C4" s="331" t="s">
        <v>907</v>
      </c>
      <c r="D4" s="331" t="s">
        <v>592</v>
      </c>
      <c r="E4" s="331" t="s">
        <v>921</v>
      </c>
      <c r="F4" s="331" t="s">
        <v>676</v>
      </c>
      <c r="G4" s="331" t="s">
        <v>777</v>
      </c>
      <c r="H4" s="331" t="s">
        <v>969</v>
      </c>
      <c r="I4" s="331" t="s">
        <v>1419</v>
      </c>
      <c r="J4" s="331" t="s">
        <v>1443</v>
      </c>
      <c r="K4" s="331" t="s">
        <v>1444</v>
      </c>
      <c r="L4" s="331" t="s">
        <v>1445</v>
      </c>
      <c r="M4" s="331" t="s">
        <v>1566</v>
      </c>
      <c r="N4" s="331" t="s">
        <v>1613</v>
      </c>
      <c r="O4" s="331" t="s">
        <v>1660</v>
      </c>
      <c r="P4" s="331" t="s">
        <v>1749</v>
      </c>
    </row>
    <row r="5" spans="1:16" x14ac:dyDescent="0.25">
      <c r="A5" s="109" t="s">
        <v>910</v>
      </c>
      <c r="B5" s="110">
        <v>8</v>
      </c>
      <c r="C5" s="110">
        <v>4</v>
      </c>
      <c r="D5" s="110">
        <v>1</v>
      </c>
      <c r="E5" s="110">
        <v>1</v>
      </c>
      <c r="F5" s="110">
        <v>2</v>
      </c>
      <c r="G5" s="110">
        <v>1</v>
      </c>
      <c r="H5" s="110">
        <v>0</v>
      </c>
      <c r="I5" s="110">
        <v>1</v>
      </c>
      <c r="J5" s="110">
        <v>3</v>
      </c>
      <c r="K5" s="110">
        <v>1</v>
      </c>
      <c r="L5" s="110">
        <v>0</v>
      </c>
      <c r="M5" s="110">
        <v>0</v>
      </c>
      <c r="N5" s="110">
        <v>3</v>
      </c>
      <c r="O5" s="110">
        <v>2</v>
      </c>
      <c r="P5" s="110">
        <v>0</v>
      </c>
    </row>
    <row r="6" spans="1:16" x14ac:dyDescent="0.25">
      <c r="A6" s="109" t="s">
        <v>911</v>
      </c>
      <c r="B6" s="110">
        <v>0</v>
      </c>
      <c r="C6" s="110">
        <v>0</v>
      </c>
      <c r="D6" s="110">
        <v>2</v>
      </c>
      <c r="E6" s="110">
        <v>1</v>
      </c>
      <c r="F6" s="110">
        <v>2</v>
      </c>
      <c r="G6" s="110">
        <v>0</v>
      </c>
      <c r="H6" s="110">
        <v>0</v>
      </c>
      <c r="I6" s="110">
        <v>2</v>
      </c>
      <c r="J6" s="110">
        <v>3</v>
      </c>
      <c r="K6" s="110">
        <v>0</v>
      </c>
      <c r="L6" s="110">
        <v>1</v>
      </c>
      <c r="M6" s="110">
        <v>0</v>
      </c>
      <c r="N6" s="110">
        <v>1</v>
      </c>
      <c r="O6" s="110">
        <v>0</v>
      </c>
      <c r="P6" s="110">
        <v>0</v>
      </c>
    </row>
    <row r="7" spans="1:16" x14ac:dyDescent="0.25">
      <c r="A7" s="109" t="s">
        <v>1370</v>
      </c>
      <c r="B7" s="110">
        <v>0</v>
      </c>
      <c r="C7" s="110">
        <v>0</v>
      </c>
      <c r="D7" s="110">
        <v>0</v>
      </c>
      <c r="E7" s="110">
        <v>0</v>
      </c>
      <c r="F7" s="110">
        <v>0</v>
      </c>
      <c r="G7" s="110">
        <v>0</v>
      </c>
      <c r="H7" s="110">
        <v>0</v>
      </c>
      <c r="I7" s="110">
        <v>0</v>
      </c>
      <c r="J7" s="110">
        <v>0</v>
      </c>
      <c r="K7" s="110">
        <v>0</v>
      </c>
      <c r="L7" s="110">
        <v>0</v>
      </c>
      <c r="M7" s="110">
        <v>0</v>
      </c>
      <c r="N7" s="110">
        <v>0</v>
      </c>
      <c r="O7" s="110">
        <v>0</v>
      </c>
      <c r="P7" s="110">
        <v>0</v>
      </c>
    </row>
    <row r="8" spans="1:16" x14ac:dyDescent="0.25">
      <c r="A8" s="109" t="s">
        <v>912</v>
      </c>
      <c r="B8" s="110">
        <v>0</v>
      </c>
      <c r="C8" s="110">
        <v>1</v>
      </c>
      <c r="D8" s="110">
        <v>2</v>
      </c>
      <c r="E8" s="110">
        <v>0</v>
      </c>
      <c r="F8" s="110">
        <v>1</v>
      </c>
      <c r="G8" s="110">
        <v>0</v>
      </c>
      <c r="H8" s="110">
        <v>1</v>
      </c>
      <c r="I8" s="110">
        <v>0</v>
      </c>
      <c r="J8" s="110">
        <v>1</v>
      </c>
      <c r="K8" s="110">
        <v>2</v>
      </c>
      <c r="L8" s="110">
        <v>3</v>
      </c>
      <c r="M8" s="110">
        <v>2</v>
      </c>
      <c r="N8" s="110">
        <v>1</v>
      </c>
      <c r="O8" s="110">
        <v>1</v>
      </c>
      <c r="P8" s="110">
        <v>0</v>
      </c>
    </row>
    <row r="9" spans="1:16" x14ac:dyDescent="0.25">
      <c r="A9" s="109" t="s">
        <v>913</v>
      </c>
      <c r="B9" s="110">
        <v>2</v>
      </c>
      <c r="C9" s="110">
        <v>2</v>
      </c>
      <c r="D9" s="110">
        <v>2</v>
      </c>
      <c r="E9" s="110">
        <v>0</v>
      </c>
      <c r="F9" s="110">
        <v>2</v>
      </c>
      <c r="G9" s="110">
        <v>2</v>
      </c>
      <c r="H9" s="110">
        <v>1</v>
      </c>
      <c r="I9" s="110">
        <v>0</v>
      </c>
      <c r="J9" s="110">
        <v>0</v>
      </c>
      <c r="K9" s="110">
        <v>1</v>
      </c>
      <c r="L9" s="110">
        <v>0</v>
      </c>
      <c r="M9" s="110">
        <v>3</v>
      </c>
      <c r="N9" s="110">
        <v>0</v>
      </c>
      <c r="O9" s="110">
        <v>2</v>
      </c>
      <c r="P9" s="110">
        <v>0</v>
      </c>
    </row>
    <row r="10" spans="1:16" x14ac:dyDescent="0.25">
      <c r="A10" s="109" t="s">
        <v>914</v>
      </c>
      <c r="B10" s="110">
        <v>24</v>
      </c>
      <c r="C10" s="110">
        <v>21</v>
      </c>
      <c r="D10" s="110">
        <v>29</v>
      </c>
      <c r="E10" s="110">
        <v>32</v>
      </c>
      <c r="F10" s="110">
        <v>27</v>
      </c>
      <c r="G10" s="110">
        <v>22</v>
      </c>
      <c r="H10" s="110">
        <v>18</v>
      </c>
      <c r="I10" s="110">
        <v>19</v>
      </c>
      <c r="J10" s="110">
        <v>16</v>
      </c>
      <c r="K10" s="110">
        <v>25</v>
      </c>
      <c r="L10" s="110">
        <v>18</v>
      </c>
      <c r="M10" s="110">
        <v>8</v>
      </c>
      <c r="N10" s="110">
        <v>18</v>
      </c>
      <c r="O10" s="110">
        <v>16</v>
      </c>
      <c r="P10" s="110">
        <v>14</v>
      </c>
    </row>
    <row r="11" spans="1:16" x14ac:dyDescent="0.25">
      <c r="A11" s="109" t="s">
        <v>915</v>
      </c>
      <c r="B11" s="110">
        <v>0</v>
      </c>
      <c r="C11" s="110">
        <v>2</v>
      </c>
      <c r="D11" s="110">
        <v>0</v>
      </c>
      <c r="E11" s="110">
        <v>0</v>
      </c>
      <c r="F11" s="110">
        <v>2</v>
      </c>
      <c r="G11" s="110">
        <v>0</v>
      </c>
      <c r="H11" s="110">
        <v>0</v>
      </c>
      <c r="I11" s="110">
        <v>0</v>
      </c>
      <c r="J11" s="110">
        <v>2</v>
      </c>
      <c r="K11" s="110">
        <v>0</v>
      </c>
      <c r="L11" s="110">
        <v>1</v>
      </c>
      <c r="M11" s="110">
        <v>0</v>
      </c>
      <c r="N11" s="110">
        <v>0</v>
      </c>
      <c r="O11" s="110">
        <v>0</v>
      </c>
      <c r="P11" s="110">
        <v>2</v>
      </c>
    </row>
    <row r="12" spans="1:16" x14ac:dyDescent="0.25">
      <c r="A12" s="109" t="s">
        <v>916</v>
      </c>
      <c r="B12" s="110">
        <v>7</v>
      </c>
      <c r="C12" s="110">
        <v>5</v>
      </c>
      <c r="D12" s="110">
        <v>8</v>
      </c>
      <c r="E12" s="110">
        <v>12</v>
      </c>
      <c r="F12" s="110">
        <v>9</v>
      </c>
      <c r="G12" s="110">
        <v>10</v>
      </c>
      <c r="H12" s="110">
        <v>8</v>
      </c>
      <c r="I12" s="110">
        <v>6</v>
      </c>
      <c r="J12" s="110">
        <v>3</v>
      </c>
      <c r="K12" s="110">
        <v>11</v>
      </c>
      <c r="L12" s="110">
        <v>11</v>
      </c>
      <c r="M12" s="110">
        <v>16</v>
      </c>
      <c r="N12" s="110">
        <v>13</v>
      </c>
      <c r="O12" s="110">
        <v>13</v>
      </c>
      <c r="P12" s="110">
        <v>6</v>
      </c>
    </row>
    <row r="13" spans="1:16" x14ac:dyDescent="0.25">
      <c r="A13" s="1248" t="s">
        <v>1609</v>
      </c>
      <c r="B13" s="110"/>
      <c r="C13" s="110"/>
      <c r="D13" s="110"/>
      <c r="E13" s="110"/>
      <c r="F13" s="110"/>
      <c r="G13" s="110"/>
      <c r="H13" s="110"/>
      <c r="I13" s="110">
        <v>0</v>
      </c>
      <c r="J13" s="110">
        <v>0</v>
      </c>
      <c r="K13" s="110">
        <v>1</v>
      </c>
      <c r="L13" s="110">
        <v>0</v>
      </c>
      <c r="M13" s="110">
        <v>1</v>
      </c>
      <c r="N13" s="110">
        <v>0</v>
      </c>
      <c r="O13" s="110">
        <v>1</v>
      </c>
      <c r="P13" s="110">
        <v>0</v>
      </c>
    </row>
    <row r="14" spans="1:16" x14ac:dyDescent="0.25">
      <c r="A14" s="109" t="s">
        <v>917</v>
      </c>
      <c r="B14" s="110">
        <v>0</v>
      </c>
      <c r="C14" s="110">
        <v>0</v>
      </c>
      <c r="D14" s="110">
        <v>0</v>
      </c>
      <c r="E14" s="110">
        <v>1</v>
      </c>
      <c r="F14" s="110">
        <v>1</v>
      </c>
      <c r="G14" s="110">
        <v>1</v>
      </c>
      <c r="H14" s="110">
        <v>0</v>
      </c>
      <c r="I14" s="110">
        <v>0</v>
      </c>
      <c r="J14" s="110">
        <v>0</v>
      </c>
      <c r="K14" s="110">
        <v>0</v>
      </c>
      <c r="L14" s="110">
        <v>0</v>
      </c>
      <c r="M14" s="110">
        <v>1</v>
      </c>
      <c r="N14" s="110">
        <v>1</v>
      </c>
      <c r="O14" s="110">
        <v>1</v>
      </c>
      <c r="P14" s="110">
        <v>0</v>
      </c>
    </row>
    <row r="15" spans="1:16" x14ac:dyDescent="0.25">
      <c r="A15" s="109" t="s">
        <v>918</v>
      </c>
      <c r="B15" s="110">
        <v>35</v>
      </c>
      <c r="C15" s="110">
        <v>40</v>
      </c>
      <c r="D15" s="110">
        <v>71</v>
      </c>
      <c r="E15" s="110">
        <v>68</v>
      </c>
      <c r="F15" s="110">
        <v>63</v>
      </c>
      <c r="G15" s="110">
        <v>60</v>
      </c>
      <c r="H15" s="110">
        <v>52</v>
      </c>
      <c r="I15" s="110">
        <v>79</v>
      </c>
      <c r="J15" s="110">
        <v>74</v>
      </c>
      <c r="K15" s="110">
        <v>77</v>
      </c>
      <c r="L15" s="110">
        <v>63</v>
      </c>
      <c r="M15" s="110">
        <v>54</v>
      </c>
      <c r="N15" s="110">
        <v>51</v>
      </c>
      <c r="O15" s="110">
        <v>57</v>
      </c>
      <c r="P15" s="110">
        <v>54</v>
      </c>
    </row>
    <row r="16" spans="1:16" x14ac:dyDescent="0.25">
      <c r="A16" s="109" t="s">
        <v>268</v>
      </c>
      <c r="B16" s="110">
        <v>4</v>
      </c>
      <c r="C16" s="110">
        <v>0</v>
      </c>
      <c r="D16" s="110">
        <v>1</v>
      </c>
      <c r="E16" s="110">
        <v>4</v>
      </c>
      <c r="F16" s="110">
        <v>0</v>
      </c>
      <c r="G16" s="110">
        <v>2</v>
      </c>
      <c r="H16" s="110">
        <v>4</v>
      </c>
      <c r="I16" s="110">
        <v>0</v>
      </c>
      <c r="J16" s="110">
        <v>4</v>
      </c>
      <c r="K16" s="110">
        <v>1</v>
      </c>
      <c r="L16" s="110">
        <v>2</v>
      </c>
      <c r="M16" s="110">
        <v>0</v>
      </c>
      <c r="N16" s="110">
        <v>2</v>
      </c>
      <c r="O16" s="110">
        <v>3</v>
      </c>
      <c r="P16" s="110">
        <v>0</v>
      </c>
    </row>
    <row r="17" spans="1:16" x14ac:dyDescent="0.25">
      <c r="A17" s="109" t="s">
        <v>919</v>
      </c>
      <c r="B17" s="110">
        <v>0</v>
      </c>
      <c r="C17" s="110">
        <v>0</v>
      </c>
      <c r="D17" s="110">
        <v>0</v>
      </c>
      <c r="E17" s="110">
        <v>0</v>
      </c>
      <c r="F17" s="110">
        <v>0</v>
      </c>
      <c r="G17" s="110">
        <v>0</v>
      </c>
      <c r="H17" s="110">
        <v>0</v>
      </c>
      <c r="I17" s="110">
        <v>1</v>
      </c>
      <c r="J17" s="110">
        <v>1</v>
      </c>
      <c r="K17" s="110">
        <v>0</v>
      </c>
      <c r="L17" s="110">
        <v>0</v>
      </c>
      <c r="M17" s="110">
        <v>0</v>
      </c>
      <c r="N17" s="110">
        <v>0</v>
      </c>
      <c r="O17" s="110">
        <v>0</v>
      </c>
      <c r="P17" s="110">
        <v>3</v>
      </c>
    </row>
    <row r="18" spans="1:16" x14ac:dyDescent="0.25">
      <c r="A18" s="109" t="s">
        <v>920</v>
      </c>
      <c r="B18" s="110">
        <v>14</v>
      </c>
      <c r="C18" s="110">
        <v>5</v>
      </c>
      <c r="D18" s="110">
        <v>7</v>
      </c>
      <c r="E18" s="110">
        <v>9</v>
      </c>
      <c r="F18" s="110">
        <v>8</v>
      </c>
      <c r="G18" s="110">
        <v>5</v>
      </c>
      <c r="H18" s="110">
        <v>8</v>
      </c>
      <c r="I18" s="110">
        <v>4</v>
      </c>
      <c r="J18" s="110">
        <v>12</v>
      </c>
      <c r="K18" s="110">
        <v>9</v>
      </c>
      <c r="L18" s="110">
        <v>8</v>
      </c>
      <c r="M18" s="110">
        <v>10</v>
      </c>
      <c r="N18" s="110">
        <v>9</v>
      </c>
      <c r="O18" s="1609">
        <v>7</v>
      </c>
      <c r="P18" s="1609">
        <v>11</v>
      </c>
    </row>
    <row r="19" spans="1:16" x14ac:dyDescent="0.25">
      <c r="A19" s="109" t="s">
        <v>924</v>
      </c>
      <c r="B19" s="110">
        <v>3</v>
      </c>
      <c r="C19" s="110">
        <v>0</v>
      </c>
      <c r="D19" s="110">
        <v>2</v>
      </c>
      <c r="E19" s="110">
        <v>5</v>
      </c>
      <c r="F19" s="110">
        <v>3</v>
      </c>
      <c r="G19" s="110">
        <v>1</v>
      </c>
      <c r="H19" s="110">
        <v>2</v>
      </c>
      <c r="I19" s="110">
        <v>3</v>
      </c>
      <c r="J19" s="110">
        <v>2</v>
      </c>
      <c r="K19" s="110">
        <v>1</v>
      </c>
      <c r="L19" s="110">
        <v>2</v>
      </c>
      <c r="M19" s="110">
        <v>2</v>
      </c>
      <c r="N19" s="110">
        <v>8</v>
      </c>
      <c r="O19" s="110">
        <v>5</v>
      </c>
      <c r="P19" s="110">
        <v>4</v>
      </c>
    </row>
    <row r="20" spans="1:16" x14ac:dyDescent="0.25">
      <c r="A20" s="109" t="s">
        <v>926</v>
      </c>
      <c r="B20" s="110">
        <v>0</v>
      </c>
      <c r="C20" s="110">
        <v>1</v>
      </c>
      <c r="D20" s="110">
        <v>0</v>
      </c>
      <c r="E20" s="110">
        <v>2</v>
      </c>
      <c r="F20" s="110">
        <v>0</v>
      </c>
      <c r="G20" s="110">
        <v>0</v>
      </c>
      <c r="H20" s="110">
        <v>1</v>
      </c>
      <c r="I20" s="110">
        <v>0</v>
      </c>
      <c r="J20" s="110">
        <v>0</v>
      </c>
      <c r="K20" s="110">
        <v>1</v>
      </c>
      <c r="L20" s="110">
        <v>0</v>
      </c>
      <c r="M20" s="110">
        <v>0</v>
      </c>
      <c r="N20" s="110">
        <v>2</v>
      </c>
      <c r="O20" s="110">
        <v>0</v>
      </c>
      <c r="P20" s="110">
        <v>0</v>
      </c>
    </row>
    <row r="21" spans="1:16" x14ac:dyDescent="0.25">
      <c r="A21" s="109" t="s">
        <v>927</v>
      </c>
      <c r="B21" s="110">
        <v>0</v>
      </c>
      <c r="C21" s="110">
        <v>1</v>
      </c>
      <c r="D21" s="110">
        <v>2</v>
      </c>
      <c r="E21" s="110">
        <v>0</v>
      </c>
      <c r="F21" s="110">
        <v>1</v>
      </c>
      <c r="G21" s="110">
        <v>0</v>
      </c>
      <c r="H21" s="110">
        <v>1</v>
      </c>
      <c r="I21" s="110">
        <v>1</v>
      </c>
      <c r="J21" s="110">
        <v>1</v>
      </c>
      <c r="K21" s="110">
        <v>0</v>
      </c>
      <c r="L21" s="110">
        <v>0</v>
      </c>
      <c r="M21" s="110">
        <v>1</v>
      </c>
      <c r="N21" s="110">
        <v>0</v>
      </c>
      <c r="O21" s="110">
        <v>1</v>
      </c>
      <c r="P21" s="110">
        <v>0</v>
      </c>
    </row>
    <row r="22" spans="1:16" x14ac:dyDescent="0.25">
      <c r="A22" s="109" t="s">
        <v>928</v>
      </c>
      <c r="B22" s="110">
        <v>1</v>
      </c>
      <c r="C22" s="110">
        <v>3</v>
      </c>
      <c r="D22" s="110">
        <v>0</v>
      </c>
      <c r="E22" s="110">
        <v>1</v>
      </c>
      <c r="F22" s="110">
        <v>1</v>
      </c>
      <c r="G22" s="110">
        <v>2</v>
      </c>
      <c r="H22" s="110">
        <v>0</v>
      </c>
      <c r="I22" s="110">
        <v>1</v>
      </c>
      <c r="J22" s="110">
        <v>0</v>
      </c>
      <c r="K22" s="110">
        <v>0</v>
      </c>
      <c r="L22" s="110">
        <v>0</v>
      </c>
      <c r="M22" s="110">
        <v>2</v>
      </c>
      <c r="N22" s="110">
        <v>0</v>
      </c>
      <c r="O22" s="110">
        <v>1</v>
      </c>
      <c r="P22" s="110">
        <v>2</v>
      </c>
    </row>
    <row r="23" spans="1:16" x14ac:dyDescent="0.25">
      <c r="A23" s="109" t="s">
        <v>929</v>
      </c>
      <c r="B23" s="110">
        <v>1</v>
      </c>
      <c r="C23" s="110">
        <v>2</v>
      </c>
      <c r="D23" s="110">
        <v>0</v>
      </c>
      <c r="E23" s="110">
        <v>1</v>
      </c>
      <c r="F23" s="110">
        <v>3</v>
      </c>
      <c r="G23" s="110">
        <v>2</v>
      </c>
      <c r="H23" s="110">
        <v>0</v>
      </c>
      <c r="I23" s="110">
        <v>0</v>
      </c>
      <c r="J23" s="110">
        <v>1</v>
      </c>
      <c r="K23" s="110">
        <v>1</v>
      </c>
      <c r="L23" s="110">
        <v>2</v>
      </c>
      <c r="M23" s="110">
        <v>1</v>
      </c>
      <c r="N23" s="110">
        <v>2</v>
      </c>
      <c r="O23" s="110">
        <v>3</v>
      </c>
      <c r="P23" s="110">
        <v>0</v>
      </c>
    </row>
    <row r="24" spans="1:16" x14ac:dyDescent="0.25">
      <c r="A24" s="109" t="s">
        <v>930</v>
      </c>
      <c r="B24" s="110">
        <v>0</v>
      </c>
      <c r="C24" s="110">
        <v>0</v>
      </c>
      <c r="D24" s="110">
        <v>0</v>
      </c>
      <c r="E24" s="110">
        <v>0</v>
      </c>
      <c r="F24" s="110">
        <v>0</v>
      </c>
      <c r="G24" s="110">
        <v>0</v>
      </c>
      <c r="H24" s="110">
        <v>0</v>
      </c>
      <c r="I24" s="110">
        <v>1</v>
      </c>
      <c r="J24" s="110">
        <v>0</v>
      </c>
      <c r="K24" s="110">
        <v>0</v>
      </c>
      <c r="L24" s="110">
        <v>0</v>
      </c>
      <c r="M24" s="110">
        <v>0</v>
      </c>
      <c r="N24" s="110">
        <v>0</v>
      </c>
      <c r="O24" s="110">
        <v>0</v>
      </c>
      <c r="P24" s="110">
        <v>0</v>
      </c>
    </row>
    <row r="25" spans="1:16" x14ac:dyDescent="0.25">
      <c r="A25" s="109" t="s">
        <v>931</v>
      </c>
      <c r="B25" s="110">
        <v>2</v>
      </c>
      <c r="C25" s="110">
        <v>2</v>
      </c>
      <c r="D25" s="110">
        <v>0</v>
      </c>
      <c r="E25" s="110">
        <v>0</v>
      </c>
      <c r="F25" s="110">
        <v>1</v>
      </c>
      <c r="G25" s="110">
        <v>3</v>
      </c>
      <c r="H25" s="110">
        <v>0</v>
      </c>
      <c r="I25" s="110">
        <v>1</v>
      </c>
      <c r="J25" s="110">
        <v>1</v>
      </c>
      <c r="K25" s="110">
        <v>3</v>
      </c>
      <c r="L25" s="110">
        <v>5</v>
      </c>
      <c r="M25" s="110">
        <v>3</v>
      </c>
      <c r="N25" s="110">
        <v>2</v>
      </c>
      <c r="O25" s="110">
        <v>3</v>
      </c>
      <c r="P25" s="110">
        <v>3</v>
      </c>
    </row>
    <row r="26" spans="1:16" ht="24.75" customHeight="1" x14ac:dyDescent="0.25">
      <c r="A26" s="329" t="s">
        <v>932</v>
      </c>
      <c r="B26" s="328" t="s">
        <v>906</v>
      </c>
      <c r="C26" s="328" t="s">
        <v>907</v>
      </c>
      <c r="D26" s="328" t="str">
        <f t="shared" ref="D26:M26" si="0">+D4</f>
        <v>FALL 2003</v>
      </c>
      <c r="E26" s="328" t="str">
        <f t="shared" si="0"/>
        <v>FALL 2004</v>
      </c>
      <c r="F26" s="328" t="str">
        <f t="shared" si="0"/>
        <v>FALL 2005</v>
      </c>
      <c r="G26" s="328" t="str">
        <f t="shared" si="0"/>
        <v>FALL 2006</v>
      </c>
      <c r="H26" s="328" t="str">
        <f t="shared" si="0"/>
        <v>FALL 2007</v>
      </c>
      <c r="I26" s="328" t="str">
        <f t="shared" si="0"/>
        <v>FALL 2008</v>
      </c>
      <c r="J26" s="328" t="str">
        <f t="shared" si="0"/>
        <v>FALL 2009</v>
      </c>
      <c r="K26" s="328" t="str">
        <f t="shared" si="0"/>
        <v>FALL 2010</v>
      </c>
      <c r="L26" s="328" t="str">
        <f t="shared" si="0"/>
        <v>FALL 2011</v>
      </c>
      <c r="M26" s="328" t="str">
        <f t="shared" si="0"/>
        <v>FALL 2012</v>
      </c>
      <c r="N26" s="328" t="str">
        <f>+N4</f>
        <v>FALL 2013</v>
      </c>
      <c r="O26" s="328" t="str">
        <f>+O4</f>
        <v>FALL 2014</v>
      </c>
      <c r="P26" s="328" t="str">
        <f>+P4</f>
        <v>FALL 2015</v>
      </c>
    </row>
    <row r="27" spans="1:16" x14ac:dyDescent="0.25">
      <c r="A27" s="109" t="s">
        <v>933</v>
      </c>
      <c r="B27" s="110">
        <v>0</v>
      </c>
      <c r="C27" s="110">
        <v>0</v>
      </c>
      <c r="D27" s="110">
        <v>0</v>
      </c>
      <c r="E27" s="110">
        <v>0</v>
      </c>
      <c r="F27" s="110">
        <v>0</v>
      </c>
      <c r="G27" s="110">
        <v>0</v>
      </c>
      <c r="H27" s="110">
        <v>0</v>
      </c>
      <c r="I27" s="110">
        <v>0</v>
      </c>
      <c r="J27" s="110">
        <v>1</v>
      </c>
      <c r="K27" s="110">
        <v>0</v>
      </c>
      <c r="L27" s="110">
        <v>0</v>
      </c>
      <c r="M27" s="110">
        <v>1</v>
      </c>
      <c r="N27" s="110">
        <v>0</v>
      </c>
      <c r="O27" s="110">
        <v>0</v>
      </c>
      <c r="P27" s="110">
        <v>1</v>
      </c>
    </row>
    <row r="28" spans="1:16" x14ac:dyDescent="0.25">
      <c r="A28" s="109" t="s">
        <v>934</v>
      </c>
      <c r="B28" s="110">
        <v>8</v>
      </c>
      <c r="C28" s="110">
        <v>2</v>
      </c>
      <c r="D28" s="110">
        <v>1</v>
      </c>
      <c r="E28" s="110">
        <v>1</v>
      </c>
      <c r="F28" s="110">
        <v>2</v>
      </c>
      <c r="G28" s="110">
        <v>2</v>
      </c>
      <c r="H28" s="110">
        <v>2</v>
      </c>
      <c r="I28" s="110">
        <v>3</v>
      </c>
      <c r="J28" s="110">
        <v>5</v>
      </c>
      <c r="K28" s="110">
        <v>3</v>
      </c>
      <c r="L28" s="110">
        <v>1</v>
      </c>
      <c r="M28" s="110">
        <v>2</v>
      </c>
      <c r="N28" s="110">
        <v>7</v>
      </c>
      <c r="O28" s="110">
        <v>2</v>
      </c>
      <c r="P28" s="110">
        <v>1</v>
      </c>
    </row>
    <row r="29" spans="1:16" x14ac:dyDescent="0.25">
      <c r="A29" s="109" t="s">
        <v>935</v>
      </c>
      <c r="B29" s="110">
        <v>1</v>
      </c>
      <c r="C29" s="110">
        <v>0</v>
      </c>
      <c r="D29" s="110">
        <v>2</v>
      </c>
      <c r="E29" s="110">
        <v>1</v>
      </c>
      <c r="F29" s="110">
        <v>2</v>
      </c>
      <c r="G29" s="110">
        <v>3</v>
      </c>
      <c r="H29" s="110">
        <v>2</v>
      </c>
      <c r="I29" s="110">
        <v>0</v>
      </c>
      <c r="J29" s="110">
        <v>0</v>
      </c>
      <c r="K29" s="110">
        <v>3</v>
      </c>
      <c r="L29" s="110">
        <v>2</v>
      </c>
      <c r="M29" s="110">
        <v>1</v>
      </c>
      <c r="N29" s="110">
        <v>3</v>
      </c>
      <c r="O29" s="110">
        <v>1</v>
      </c>
      <c r="P29" s="110">
        <v>0</v>
      </c>
    </row>
    <row r="30" spans="1:16" x14ac:dyDescent="0.25">
      <c r="A30" s="109" t="s">
        <v>936</v>
      </c>
      <c r="B30" s="110">
        <v>3</v>
      </c>
      <c r="C30" s="110">
        <v>6</v>
      </c>
      <c r="D30" s="110">
        <v>1</v>
      </c>
      <c r="E30" s="110">
        <v>2</v>
      </c>
      <c r="F30" s="110">
        <v>0</v>
      </c>
      <c r="G30" s="110">
        <v>5</v>
      </c>
      <c r="H30" s="110">
        <v>2</v>
      </c>
      <c r="I30" s="110">
        <v>1</v>
      </c>
      <c r="J30" s="110">
        <v>2</v>
      </c>
      <c r="K30" s="110">
        <v>4</v>
      </c>
      <c r="L30" s="110">
        <v>0</v>
      </c>
      <c r="M30" s="110">
        <v>4</v>
      </c>
      <c r="N30" s="110">
        <v>2</v>
      </c>
      <c r="O30" s="110">
        <v>3</v>
      </c>
      <c r="P30" s="110">
        <v>3</v>
      </c>
    </row>
    <row r="31" spans="1:16" x14ac:dyDescent="0.25">
      <c r="A31" s="109" t="s">
        <v>937</v>
      </c>
      <c r="B31" s="110">
        <v>1</v>
      </c>
      <c r="C31" s="110">
        <v>0</v>
      </c>
      <c r="D31" s="110">
        <v>0</v>
      </c>
      <c r="E31" s="110">
        <v>2</v>
      </c>
      <c r="F31" s="110">
        <v>1</v>
      </c>
      <c r="G31" s="110">
        <v>1</v>
      </c>
      <c r="H31" s="110">
        <v>3</v>
      </c>
      <c r="I31" s="110">
        <v>0</v>
      </c>
      <c r="J31" s="110">
        <v>0</v>
      </c>
      <c r="K31" s="110">
        <v>0</v>
      </c>
      <c r="L31" s="110">
        <v>1</v>
      </c>
      <c r="M31" s="110">
        <v>1</v>
      </c>
      <c r="N31" s="110">
        <v>1</v>
      </c>
      <c r="O31" s="110">
        <v>3</v>
      </c>
      <c r="P31" s="110">
        <v>0</v>
      </c>
    </row>
    <row r="32" spans="1:16" x14ac:dyDescent="0.25">
      <c r="A32" s="109" t="s">
        <v>938</v>
      </c>
      <c r="B32" s="110">
        <v>0</v>
      </c>
      <c r="C32" s="110">
        <v>0</v>
      </c>
      <c r="D32" s="110">
        <v>0</v>
      </c>
      <c r="E32" s="110">
        <v>0</v>
      </c>
      <c r="F32" s="110">
        <v>0</v>
      </c>
      <c r="G32" s="110">
        <v>0</v>
      </c>
      <c r="H32" s="110">
        <v>0</v>
      </c>
      <c r="I32" s="110">
        <v>0</v>
      </c>
      <c r="J32" s="110">
        <v>0</v>
      </c>
      <c r="K32" s="110">
        <v>0</v>
      </c>
      <c r="L32" s="110">
        <v>0</v>
      </c>
      <c r="M32" s="110">
        <v>0</v>
      </c>
      <c r="N32" s="110">
        <v>0</v>
      </c>
      <c r="O32" s="110">
        <v>0</v>
      </c>
      <c r="P32" s="110">
        <v>0</v>
      </c>
    </row>
    <row r="33" spans="1:16" x14ac:dyDescent="0.25">
      <c r="A33" s="109" t="s">
        <v>939</v>
      </c>
      <c r="B33" s="110">
        <v>4</v>
      </c>
      <c r="C33" s="110">
        <v>2</v>
      </c>
      <c r="D33" s="110">
        <v>1</v>
      </c>
      <c r="E33" s="110">
        <v>4</v>
      </c>
      <c r="F33" s="110">
        <v>1</v>
      </c>
      <c r="G33" s="110">
        <v>0</v>
      </c>
      <c r="H33" s="110">
        <v>0</v>
      </c>
      <c r="I33" s="110">
        <v>2</v>
      </c>
      <c r="J33" s="110">
        <v>0</v>
      </c>
      <c r="K33" s="110">
        <v>3</v>
      </c>
      <c r="L33" s="110">
        <v>0</v>
      </c>
      <c r="M33" s="110">
        <v>0</v>
      </c>
      <c r="N33" s="110">
        <v>1</v>
      </c>
      <c r="O33" s="110">
        <v>5</v>
      </c>
      <c r="P33" s="110">
        <v>0</v>
      </c>
    </row>
    <row r="34" spans="1:16" x14ac:dyDescent="0.25">
      <c r="A34" s="109" t="s">
        <v>940</v>
      </c>
      <c r="B34" s="110">
        <v>2</v>
      </c>
      <c r="C34" s="110">
        <v>1</v>
      </c>
      <c r="D34" s="110">
        <v>2</v>
      </c>
      <c r="E34" s="110">
        <v>3</v>
      </c>
      <c r="F34" s="110">
        <v>2</v>
      </c>
      <c r="G34" s="110">
        <v>5</v>
      </c>
      <c r="H34" s="110">
        <v>2</v>
      </c>
      <c r="I34" s="110">
        <v>2</v>
      </c>
      <c r="J34" s="110">
        <v>0</v>
      </c>
      <c r="K34" s="110">
        <v>1</v>
      </c>
      <c r="L34" s="110">
        <v>1</v>
      </c>
      <c r="M34" s="110">
        <v>1</v>
      </c>
      <c r="N34" s="110">
        <v>1</v>
      </c>
      <c r="O34" s="110">
        <v>2</v>
      </c>
      <c r="P34" s="110">
        <v>0</v>
      </c>
    </row>
    <row r="35" spans="1:16" x14ac:dyDescent="0.25">
      <c r="A35" s="109" t="s">
        <v>925</v>
      </c>
      <c r="B35" s="110">
        <v>2</v>
      </c>
      <c r="C35" s="110">
        <v>0</v>
      </c>
      <c r="D35" s="110">
        <v>0</v>
      </c>
      <c r="E35" s="110">
        <v>0</v>
      </c>
      <c r="F35" s="110">
        <v>0</v>
      </c>
      <c r="G35" s="110">
        <v>1</v>
      </c>
      <c r="H35" s="110">
        <v>0</v>
      </c>
      <c r="I35" s="110">
        <v>0</v>
      </c>
      <c r="J35" s="110">
        <v>0</v>
      </c>
      <c r="K35" s="110">
        <v>0</v>
      </c>
      <c r="L35" s="110">
        <v>1</v>
      </c>
      <c r="M35" s="110">
        <v>2</v>
      </c>
      <c r="N35" s="110">
        <v>0</v>
      </c>
      <c r="O35" s="110">
        <v>0</v>
      </c>
      <c r="P35" s="110">
        <v>0</v>
      </c>
    </row>
    <row r="36" spans="1:16" x14ac:dyDescent="0.25">
      <c r="A36" s="109" t="s">
        <v>941</v>
      </c>
      <c r="B36" s="110">
        <v>7</v>
      </c>
      <c r="C36" s="110">
        <v>4</v>
      </c>
      <c r="D36" s="110">
        <v>1</v>
      </c>
      <c r="E36" s="110">
        <v>10</v>
      </c>
      <c r="F36" s="110">
        <v>8</v>
      </c>
      <c r="G36" s="110">
        <v>6</v>
      </c>
      <c r="H36" s="110">
        <v>12</v>
      </c>
      <c r="I36" s="110">
        <v>2</v>
      </c>
      <c r="J36" s="110">
        <v>7</v>
      </c>
      <c r="K36" s="110">
        <v>5</v>
      </c>
      <c r="L36" s="110">
        <v>4</v>
      </c>
      <c r="M36" s="110">
        <v>4</v>
      </c>
      <c r="N36" s="110">
        <v>0</v>
      </c>
      <c r="O36" s="110">
        <v>5</v>
      </c>
      <c r="P36" s="110">
        <v>2</v>
      </c>
    </row>
    <row r="37" spans="1:16" x14ac:dyDescent="0.25">
      <c r="A37" s="109" t="s">
        <v>787</v>
      </c>
      <c r="B37" s="110">
        <v>3</v>
      </c>
      <c r="C37" s="110">
        <v>2</v>
      </c>
      <c r="D37" s="110">
        <v>1</v>
      </c>
      <c r="E37" s="110">
        <v>2</v>
      </c>
      <c r="F37" s="110">
        <v>1</v>
      </c>
      <c r="G37" s="110">
        <v>2</v>
      </c>
      <c r="H37" s="110">
        <v>1</v>
      </c>
      <c r="I37" s="110">
        <v>2</v>
      </c>
      <c r="J37" s="110">
        <v>5</v>
      </c>
      <c r="K37" s="110">
        <v>1</v>
      </c>
      <c r="L37" s="110">
        <v>5</v>
      </c>
      <c r="M37" s="110">
        <v>2</v>
      </c>
      <c r="N37" s="110">
        <v>0</v>
      </c>
      <c r="O37" s="110">
        <v>1</v>
      </c>
      <c r="P37" s="110">
        <v>3</v>
      </c>
    </row>
    <row r="38" spans="1:16" x14ac:dyDescent="0.25">
      <c r="A38" s="109" t="s">
        <v>942</v>
      </c>
      <c r="B38" s="110">
        <v>3</v>
      </c>
      <c r="C38" s="110">
        <v>1</v>
      </c>
      <c r="D38" s="110">
        <v>0</v>
      </c>
      <c r="E38" s="110">
        <v>2</v>
      </c>
      <c r="F38" s="110">
        <v>4</v>
      </c>
      <c r="G38" s="110">
        <v>2</v>
      </c>
      <c r="H38" s="110">
        <v>1</v>
      </c>
      <c r="I38" s="110">
        <v>1</v>
      </c>
      <c r="J38" s="110">
        <v>4</v>
      </c>
      <c r="K38" s="110">
        <v>1</v>
      </c>
      <c r="L38" s="110">
        <v>0</v>
      </c>
      <c r="M38" s="110">
        <v>3</v>
      </c>
      <c r="N38" s="110">
        <v>3</v>
      </c>
      <c r="O38" s="110">
        <v>1</v>
      </c>
      <c r="P38" s="110">
        <v>1</v>
      </c>
    </row>
    <row r="39" spans="1:16" ht="24.75" customHeight="1" x14ac:dyDescent="0.25">
      <c r="A39" s="329" t="s">
        <v>943</v>
      </c>
      <c r="B39" s="328" t="s">
        <v>906</v>
      </c>
      <c r="C39" s="328" t="s">
        <v>907</v>
      </c>
      <c r="D39" s="328" t="str">
        <f t="shared" ref="D39:L39" si="1">+D4</f>
        <v>FALL 2003</v>
      </c>
      <c r="E39" s="328" t="str">
        <f t="shared" si="1"/>
        <v>FALL 2004</v>
      </c>
      <c r="F39" s="328" t="str">
        <f t="shared" si="1"/>
        <v>FALL 2005</v>
      </c>
      <c r="G39" s="328" t="str">
        <f t="shared" si="1"/>
        <v>FALL 2006</v>
      </c>
      <c r="H39" s="328" t="str">
        <f t="shared" si="1"/>
        <v>FALL 2007</v>
      </c>
      <c r="I39" s="328" t="str">
        <f t="shared" si="1"/>
        <v>FALL 2008</v>
      </c>
      <c r="J39" s="328" t="str">
        <f t="shared" si="1"/>
        <v>FALL 2009</v>
      </c>
      <c r="K39" s="328" t="str">
        <f t="shared" si="1"/>
        <v>FALL 2010</v>
      </c>
      <c r="L39" s="328" t="str">
        <f t="shared" si="1"/>
        <v>FALL 2011</v>
      </c>
      <c r="M39" s="328" t="str">
        <f>+M26</f>
        <v>FALL 2012</v>
      </c>
      <c r="N39" s="328" t="str">
        <f>+N26</f>
        <v>FALL 2013</v>
      </c>
      <c r="O39" s="2020" t="str">
        <f>+O26</f>
        <v>FALL 2014</v>
      </c>
      <c r="P39" s="2020" t="str">
        <f>+P26</f>
        <v>FALL 2015</v>
      </c>
    </row>
    <row r="40" spans="1:16" ht="12.75" customHeight="1" x14ac:dyDescent="0.25">
      <c r="A40" s="1249" t="s">
        <v>1608</v>
      </c>
      <c r="B40" s="110">
        <v>0</v>
      </c>
      <c r="C40" s="110">
        <v>0</v>
      </c>
      <c r="D40" s="110">
        <v>0</v>
      </c>
      <c r="E40" s="110">
        <v>0</v>
      </c>
      <c r="F40" s="110">
        <v>0</v>
      </c>
      <c r="G40" s="110">
        <v>0</v>
      </c>
      <c r="H40" s="110">
        <v>0</v>
      </c>
      <c r="I40" s="110">
        <v>0</v>
      </c>
      <c r="J40" s="110">
        <v>2</v>
      </c>
      <c r="K40" s="110">
        <v>1</v>
      </c>
      <c r="L40" s="110">
        <v>0</v>
      </c>
      <c r="M40" s="110">
        <v>0</v>
      </c>
      <c r="N40" s="110">
        <v>0</v>
      </c>
      <c r="O40" s="110">
        <v>0</v>
      </c>
      <c r="P40" s="110">
        <v>0</v>
      </c>
    </row>
    <row r="41" spans="1:16" ht="12.75" customHeight="1" x14ac:dyDescent="0.25">
      <c r="A41" s="109" t="s">
        <v>945</v>
      </c>
      <c r="B41" s="110">
        <v>0</v>
      </c>
      <c r="C41" s="110">
        <v>0</v>
      </c>
      <c r="D41" s="110">
        <v>0</v>
      </c>
      <c r="E41" s="110">
        <v>0</v>
      </c>
      <c r="F41" s="110">
        <v>0</v>
      </c>
      <c r="G41" s="110">
        <v>0</v>
      </c>
      <c r="H41" s="110">
        <v>0</v>
      </c>
      <c r="I41" s="110">
        <v>0</v>
      </c>
      <c r="J41" s="110">
        <v>0</v>
      </c>
      <c r="K41" s="110">
        <v>0</v>
      </c>
      <c r="L41" s="110">
        <v>0</v>
      </c>
      <c r="M41" s="110">
        <v>0</v>
      </c>
      <c r="N41" s="110">
        <v>0</v>
      </c>
      <c r="O41" s="110">
        <v>0</v>
      </c>
      <c r="P41" s="110">
        <v>0</v>
      </c>
    </row>
    <row r="42" spans="1:16" x14ac:dyDescent="0.25">
      <c r="A42" s="109" t="s">
        <v>946</v>
      </c>
      <c r="B42" s="110">
        <v>11</v>
      </c>
      <c r="C42" s="110">
        <v>10</v>
      </c>
      <c r="D42" s="110">
        <v>9</v>
      </c>
      <c r="E42" s="110">
        <v>7</v>
      </c>
      <c r="F42" s="110">
        <v>6</v>
      </c>
      <c r="G42" s="110">
        <v>8</v>
      </c>
      <c r="H42" s="110">
        <v>4</v>
      </c>
      <c r="I42" s="110">
        <v>7</v>
      </c>
      <c r="J42" s="110">
        <v>13</v>
      </c>
      <c r="K42" s="110">
        <v>5</v>
      </c>
      <c r="L42" s="110">
        <v>3</v>
      </c>
      <c r="M42" s="110">
        <v>7</v>
      </c>
      <c r="N42" s="110">
        <v>6</v>
      </c>
      <c r="O42" s="110">
        <v>7</v>
      </c>
      <c r="P42" s="110">
        <v>7</v>
      </c>
    </row>
    <row r="43" spans="1:16" ht="24.75" customHeight="1" x14ac:dyDescent="0.25">
      <c r="A43" s="329" t="s">
        <v>947</v>
      </c>
      <c r="B43" s="328" t="s">
        <v>906</v>
      </c>
      <c r="C43" s="328" t="s">
        <v>907</v>
      </c>
      <c r="D43" s="328" t="str">
        <f t="shared" ref="D43:L43" si="2">+D39</f>
        <v>FALL 2003</v>
      </c>
      <c r="E43" s="328" t="str">
        <f t="shared" si="2"/>
        <v>FALL 2004</v>
      </c>
      <c r="F43" s="328" t="str">
        <f t="shared" si="2"/>
        <v>FALL 2005</v>
      </c>
      <c r="G43" s="328" t="str">
        <f t="shared" si="2"/>
        <v>FALL 2006</v>
      </c>
      <c r="H43" s="328" t="str">
        <f t="shared" si="2"/>
        <v>FALL 2007</v>
      </c>
      <c r="I43" s="328" t="str">
        <f>+I39</f>
        <v>FALL 2008</v>
      </c>
      <c r="J43" s="328" t="str">
        <f t="shared" si="2"/>
        <v>FALL 2009</v>
      </c>
      <c r="K43" s="328" t="str">
        <f t="shared" si="2"/>
        <v>FALL 2010</v>
      </c>
      <c r="L43" s="328" t="str">
        <f t="shared" si="2"/>
        <v>FALL 2011</v>
      </c>
      <c r="M43" s="328" t="str">
        <f>+M39</f>
        <v>FALL 2012</v>
      </c>
      <c r="N43" s="328" t="str">
        <f>+N39</f>
        <v>FALL 2013</v>
      </c>
      <c r="O43" s="2020" t="str">
        <f>+O39</f>
        <v>FALL 2014</v>
      </c>
      <c r="P43" s="2020" t="str">
        <f>+P39</f>
        <v>FALL 2015</v>
      </c>
    </row>
    <row r="44" spans="1:16" x14ac:dyDescent="0.25">
      <c r="A44" s="109" t="s">
        <v>948</v>
      </c>
      <c r="B44" s="110">
        <v>0</v>
      </c>
      <c r="C44" s="110">
        <v>0</v>
      </c>
      <c r="D44" s="110">
        <v>0</v>
      </c>
      <c r="E44" s="110">
        <v>1</v>
      </c>
      <c r="F44" s="110">
        <v>0</v>
      </c>
      <c r="G44" s="110">
        <v>1</v>
      </c>
      <c r="H44" s="110">
        <v>0</v>
      </c>
      <c r="I44" s="110">
        <v>0</v>
      </c>
      <c r="J44" s="110">
        <v>1</v>
      </c>
      <c r="K44" s="110">
        <v>0</v>
      </c>
      <c r="L44" s="110">
        <v>0</v>
      </c>
      <c r="M44" s="110">
        <v>1</v>
      </c>
      <c r="N44" s="110">
        <v>2</v>
      </c>
      <c r="O44" s="110">
        <v>0</v>
      </c>
      <c r="P44" s="110">
        <v>0</v>
      </c>
    </row>
    <row r="45" spans="1:16" x14ac:dyDescent="0.25">
      <c r="A45" s="109" t="s">
        <v>788</v>
      </c>
      <c r="B45" s="110">
        <v>2</v>
      </c>
      <c r="C45" s="110">
        <v>1</v>
      </c>
      <c r="D45" s="110">
        <v>0</v>
      </c>
      <c r="E45" s="110">
        <v>2</v>
      </c>
      <c r="F45" s="110">
        <v>6</v>
      </c>
      <c r="G45" s="110">
        <v>1</v>
      </c>
      <c r="H45" s="110">
        <v>5</v>
      </c>
      <c r="I45" s="110">
        <v>5</v>
      </c>
      <c r="J45" s="110">
        <v>0</v>
      </c>
      <c r="K45" s="110">
        <v>3</v>
      </c>
      <c r="L45" s="110">
        <v>4</v>
      </c>
      <c r="M45" s="110">
        <v>4</v>
      </c>
      <c r="N45" s="110">
        <v>4</v>
      </c>
      <c r="O45" s="110">
        <v>1</v>
      </c>
      <c r="P45" s="110">
        <v>0</v>
      </c>
    </row>
    <row r="46" spans="1:16" x14ac:dyDescent="0.25">
      <c r="A46" s="1248" t="s">
        <v>1610</v>
      </c>
      <c r="B46" s="110"/>
      <c r="C46" s="110"/>
      <c r="D46" s="110"/>
      <c r="E46" s="110"/>
      <c r="F46" s="110"/>
      <c r="G46" s="110"/>
      <c r="H46" s="110"/>
      <c r="I46" s="110">
        <v>0</v>
      </c>
      <c r="J46" s="110">
        <v>0</v>
      </c>
      <c r="K46" s="110">
        <v>0</v>
      </c>
      <c r="L46" s="110">
        <v>0</v>
      </c>
      <c r="M46" s="110">
        <v>1</v>
      </c>
      <c r="N46" s="110">
        <v>0</v>
      </c>
      <c r="O46" s="110">
        <v>0</v>
      </c>
      <c r="P46" s="110">
        <v>0</v>
      </c>
    </row>
    <row r="47" spans="1:16" x14ac:dyDescent="0.25">
      <c r="A47" s="109" t="s">
        <v>949</v>
      </c>
      <c r="B47" s="110">
        <v>1</v>
      </c>
      <c r="C47" s="110">
        <v>1</v>
      </c>
      <c r="D47" s="110">
        <v>1</v>
      </c>
      <c r="E47" s="110">
        <v>0</v>
      </c>
      <c r="F47" s="110">
        <v>0</v>
      </c>
      <c r="G47" s="110">
        <v>2</v>
      </c>
      <c r="H47" s="110">
        <v>0</v>
      </c>
      <c r="I47" s="110">
        <v>1</v>
      </c>
      <c r="J47" s="110">
        <v>0</v>
      </c>
      <c r="K47" s="110">
        <v>0</v>
      </c>
      <c r="L47" s="110">
        <v>3</v>
      </c>
      <c r="M47" s="110">
        <v>0</v>
      </c>
      <c r="N47" s="110">
        <v>0</v>
      </c>
      <c r="O47" s="110">
        <v>3</v>
      </c>
      <c r="P47" s="110">
        <v>0</v>
      </c>
    </row>
    <row r="48" spans="1:16" x14ac:dyDescent="0.25">
      <c r="A48" s="109" t="s">
        <v>950</v>
      </c>
      <c r="B48" s="110">
        <v>0</v>
      </c>
      <c r="C48" s="110">
        <v>0</v>
      </c>
      <c r="D48" s="110">
        <v>0</v>
      </c>
      <c r="E48" s="110">
        <v>0</v>
      </c>
      <c r="F48" s="110">
        <v>0</v>
      </c>
      <c r="G48" s="110">
        <v>0</v>
      </c>
      <c r="H48" s="110">
        <v>0</v>
      </c>
      <c r="I48" s="110">
        <v>0</v>
      </c>
      <c r="J48" s="110">
        <v>0</v>
      </c>
      <c r="K48" s="110">
        <v>0</v>
      </c>
      <c r="L48" s="110">
        <v>0</v>
      </c>
      <c r="M48" s="110">
        <v>0</v>
      </c>
      <c r="N48" s="110">
        <v>0</v>
      </c>
      <c r="O48" s="110">
        <v>0</v>
      </c>
      <c r="P48" s="110">
        <v>0</v>
      </c>
    </row>
    <row r="49" spans="1:16" x14ac:dyDescent="0.25">
      <c r="A49" s="109" t="s">
        <v>951</v>
      </c>
      <c r="B49" s="110">
        <v>0</v>
      </c>
      <c r="C49" s="110">
        <v>0</v>
      </c>
      <c r="D49" s="110">
        <v>0</v>
      </c>
      <c r="E49" s="110">
        <v>0</v>
      </c>
      <c r="F49" s="110">
        <v>0</v>
      </c>
      <c r="G49" s="110">
        <v>0</v>
      </c>
      <c r="H49" s="110">
        <v>0</v>
      </c>
      <c r="I49" s="110">
        <v>0</v>
      </c>
      <c r="J49" s="110">
        <v>0</v>
      </c>
      <c r="K49" s="110">
        <v>0</v>
      </c>
      <c r="L49" s="110">
        <v>0</v>
      </c>
      <c r="M49" s="110">
        <v>0</v>
      </c>
      <c r="N49" s="110">
        <v>0</v>
      </c>
      <c r="O49" s="110">
        <v>0</v>
      </c>
      <c r="P49" s="110">
        <v>0</v>
      </c>
    </row>
    <row r="50" spans="1:16" x14ac:dyDescent="0.25">
      <c r="A50" s="109" t="s">
        <v>952</v>
      </c>
      <c r="B50" s="110">
        <v>1</v>
      </c>
      <c r="C50" s="110">
        <v>1</v>
      </c>
      <c r="D50" s="110">
        <v>1</v>
      </c>
      <c r="E50" s="110">
        <v>3</v>
      </c>
      <c r="F50" s="110">
        <v>0</v>
      </c>
      <c r="G50" s="110">
        <v>1</v>
      </c>
      <c r="H50" s="110">
        <v>4</v>
      </c>
      <c r="I50" s="110">
        <v>2</v>
      </c>
      <c r="J50" s="110">
        <v>3</v>
      </c>
      <c r="K50" s="110">
        <v>0</v>
      </c>
      <c r="L50" s="110">
        <v>0</v>
      </c>
      <c r="M50" s="110">
        <v>2</v>
      </c>
      <c r="N50" s="110">
        <v>2</v>
      </c>
      <c r="O50" s="110">
        <v>1</v>
      </c>
      <c r="P50" s="110">
        <v>0</v>
      </c>
    </row>
    <row r="51" spans="1:16" x14ac:dyDescent="0.25">
      <c r="A51" s="109" t="s">
        <v>953</v>
      </c>
      <c r="B51" s="110">
        <v>0</v>
      </c>
      <c r="C51" s="110">
        <v>0</v>
      </c>
      <c r="D51" s="110">
        <v>0</v>
      </c>
      <c r="E51" s="110">
        <v>2</v>
      </c>
      <c r="F51" s="110">
        <v>1</v>
      </c>
      <c r="G51" s="110">
        <v>3</v>
      </c>
      <c r="H51" s="110">
        <v>1</v>
      </c>
      <c r="I51" s="110">
        <v>1</v>
      </c>
      <c r="J51" s="110">
        <v>1</v>
      </c>
      <c r="K51" s="110">
        <v>2</v>
      </c>
      <c r="L51" s="110">
        <v>0</v>
      </c>
      <c r="M51" s="110">
        <v>0</v>
      </c>
      <c r="N51" s="110">
        <v>5</v>
      </c>
      <c r="O51" s="110">
        <v>0</v>
      </c>
      <c r="P51" s="110">
        <v>0</v>
      </c>
    </row>
    <row r="52" spans="1:16" x14ac:dyDescent="0.25">
      <c r="A52" s="109" t="s">
        <v>954</v>
      </c>
      <c r="B52" s="110">
        <v>0</v>
      </c>
      <c r="C52" s="110">
        <v>0</v>
      </c>
      <c r="D52" s="110">
        <v>0</v>
      </c>
      <c r="E52" s="110">
        <v>1</v>
      </c>
      <c r="F52" s="110">
        <v>0</v>
      </c>
      <c r="G52" s="110">
        <v>0</v>
      </c>
      <c r="H52" s="110">
        <v>0</v>
      </c>
      <c r="I52" s="110">
        <v>1</v>
      </c>
      <c r="J52" s="110">
        <v>2</v>
      </c>
      <c r="K52" s="110">
        <v>0</v>
      </c>
      <c r="L52" s="110">
        <v>0</v>
      </c>
      <c r="M52" s="110">
        <v>0</v>
      </c>
      <c r="N52" s="110">
        <v>0</v>
      </c>
      <c r="O52" s="110">
        <v>1</v>
      </c>
      <c r="P52" s="110">
        <v>0</v>
      </c>
    </row>
    <row r="53" spans="1:16" x14ac:dyDescent="0.25">
      <c r="A53" s="109" t="s">
        <v>955</v>
      </c>
      <c r="B53" s="110">
        <v>0</v>
      </c>
      <c r="C53" s="110">
        <v>0</v>
      </c>
      <c r="D53" s="110">
        <v>0</v>
      </c>
      <c r="E53" s="110">
        <v>0</v>
      </c>
      <c r="F53" s="110">
        <v>0</v>
      </c>
      <c r="G53" s="110">
        <v>0</v>
      </c>
      <c r="H53" s="110">
        <v>0</v>
      </c>
      <c r="I53" s="110">
        <v>0</v>
      </c>
      <c r="J53" s="110">
        <v>0</v>
      </c>
      <c r="K53" s="110">
        <v>0</v>
      </c>
      <c r="L53" s="110">
        <v>0</v>
      </c>
      <c r="M53" s="110">
        <v>0</v>
      </c>
      <c r="N53" s="110">
        <v>0</v>
      </c>
      <c r="O53" s="110">
        <v>0</v>
      </c>
      <c r="P53" s="110">
        <v>0</v>
      </c>
    </row>
    <row r="54" spans="1:16" x14ac:dyDescent="0.25">
      <c r="A54" s="109" t="s">
        <v>956</v>
      </c>
      <c r="B54" s="110">
        <v>0</v>
      </c>
      <c r="C54" s="110">
        <v>1</v>
      </c>
      <c r="D54" s="110">
        <v>1</v>
      </c>
      <c r="E54" s="110">
        <v>0</v>
      </c>
      <c r="F54" s="110">
        <v>0</v>
      </c>
      <c r="G54" s="110">
        <v>0</v>
      </c>
      <c r="H54" s="110">
        <v>1</v>
      </c>
      <c r="I54" s="110">
        <v>0</v>
      </c>
      <c r="J54" s="110">
        <v>1</v>
      </c>
      <c r="K54" s="110">
        <v>0</v>
      </c>
      <c r="L54" s="110">
        <v>0</v>
      </c>
      <c r="M54" s="110">
        <v>0</v>
      </c>
      <c r="N54" s="110">
        <v>1</v>
      </c>
      <c r="O54" s="110">
        <v>1</v>
      </c>
      <c r="P54" s="110">
        <v>1</v>
      </c>
    </row>
    <row r="55" spans="1:16" x14ac:dyDescent="0.25">
      <c r="A55" s="109" t="s">
        <v>957</v>
      </c>
      <c r="B55" s="110">
        <v>1</v>
      </c>
      <c r="C55" s="110">
        <v>0</v>
      </c>
      <c r="D55" s="110">
        <v>0</v>
      </c>
      <c r="E55" s="110">
        <v>0</v>
      </c>
      <c r="F55" s="110">
        <v>1</v>
      </c>
      <c r="G55" s="110">
        <v>0</v>
      </c>
      <c r="H55" s="110">
        <v>0</v>
      </c>
      <c r="I55" s="110">
        <v>0</v>
      </c>
      <c r="J55" s="110">
        <v>0</v>
      </c>
      <c r="K55" s="110">
        <v>0</v>
      </c>
      <c r="L55" s="110">
        <v>0</v>
      </c>
      <c r="M55" s="110">
        <v>1</v>
      </c>
      <c r="N55" s="110">
        <v>1</v>
      </c>
      <c r="O55" s="110">
        <v>0</v>
      </c>
      <c r="P55" s="110">
        <v>2</v>
      </c>
    </row>
    <row r="56" spans="1:16" x14ac:dyDescent="0.25">
      <c r="A56" s="1248" t="s">
        <v>1605</v>
      </c>
      <c r="B56" s="110">
        <v>0</v>
      </c>
      <c r="C56" s="110">
        <v>0</v>
      </c>
      <c r="D56" s="110">
        <v>0</v>
      </c>
      <c r="E56" s="110">
        <v>0</v>
      </c>
      <c r="F56" s="110">
        <v>0</v>
      </c>
      <c r="G56" s="110">
        <v>0</v>
      </c>
      <c r="H56" s="110">
        <v>0</v>
      </c>
      <c r="I56" s="110">
        <v>1</v>
      </c>
      <c r="J56" s="110">
        <v>0</v>
      </c>
      <c r="K56" s="110">
        <v>0</v>
      </c>
      <c r="L56" s="110">
        <v>0</v>
      </c>
      <c r="M56" s="110">
        <v>0</v>
      </c>
      <c r="N56" s="110">
        <v>0</v>
      </c>
      <c r="O56" s="110">
        <v>0</v>
      </c>
      <c r="P56" s="110">
        <v>0</v>
      </c>
    </row>
    <row r="57" spans="1:16" x14ac:dyDescent="0.25">
      <c r="A57" s="109" t="s">
        <v>958</v>
      </c>
      <c r="B57" s="110">
        <v>1</v>
      </c>
      <c r="C57" s="110">
        <v>6</v>
      </c>
      <c r="D57" s="110">
        <v>1</v>
      </c>
      <c r="E57" s="110">
        <v>1</v>
      </c>
      <c r="F57" s="110">
        <v>2</v>
      </c>
      <c r="G57" s="110">
        <v>4</v>
      </c>
      <c r="H57" s="110">
        <v>0</v>
      </c>
      <c r="I57" s="110">
        <v>1</v>
      </c>
      <c r="J57" s="110">
        <v>3</v>
      </c>
      <c r="K57" s="110">
        <v>1</v>
      </c>
      <c r="L57" s="110">
        <v>3</v>
      </c>
      <c r="M57" s="110">
        <v>0</v>
      </c>
      <c r="N57" s="110">
        <v>1</v>
      </c>
      <c r="O57" s="110">
        <v>3</v>
      </c>
      <c r="P57" s="110">
        <v>5</v>
      </c>
    </row>
    <row r="58" spans="1:16" x14ac:dyDescent="0.25">
      <c r="A58" s="1248" t="s">
        <v>1635</v>
      </c>
      <c r="B58" s="1364">
        <v>0</v>
      </c>
      <c r="C58" s="1364">
        <v>0</v>
      </c>
      <c r="D58" s="1364">
        <v>0</v>
      </c>
      <c r="E58" s="1364">
        <v>0</v>
      </c>
      <c r="F58" s="1364">
        <v>0</v>
      </c>
      <c r="G58" s="1364">
        <v>0</v>
      </c>
      <c r="H58" s="1364">
        <v>0</v>
      </c>
      <c r="I58" s="1364">
        <v>0</v>
      </c>
      <c r="J58" s="1364">
        <v>0</v>
      </c>
      <c r="K58" s="1364">
        <v>0</v>
      </c>
      <c r="L58" s="1364">
        <v>0</v>
      </c>
      <c r="M58" s="1364">
        <v>0</v>
      </c>
      <c r="N58" s="1364">
        <v>1</v>
      </c>
      <c r="O58" s="1364">
        <v>0</v>
      </c>
      <c r="P58" s="1364">
        <v>0</v>
      </c>
    </row>
    <row r="59" spans="1:16" x14ac:dyDescent="0.25">
      <c r="A59" s="109" t="s">
        <v>959</v>
      </c>
      <c r="B59" s="110">
        <v>1</v>
      </c>
      <c r="C59" s="110">
        <v>0</v>
      </c>
      <c r="D59" s="110">
        <v>2</v>
      </c>
      <c r="E59" s="110">
        <v>1</v>
      </c>
      <c r="F59" s="110">
        <v>0</v>
      </c>
      <c r="G59" s="110">
        <v>1</v>
      </c>
      <c r="H59" s="110">
        <v>0</v>
      </c>
      <c r="I59" s="110">
        <v>0</v>
      </c>
      <c r="J59" s="110">
        <v>0</v>
      </c>
      <c r="K59" s="110">
        <v>0</v>
      </c>
      <c r="L59" s="110">
        <v>0</v>
      </c>
      <c r="M59" s="110">
        <v>0</v>
      </c>
      <c r="N59" s="110">
        <v>0</v>
      </c>
      <c r="O59" s="110">
        <v>0</v>
      </c>
      <c r="P59" s="110">
        <v>1</v>
      </c>
    </row>
    <row r="60" spans="1:16" x14ac:dyDescent="0.25">
      <c r="A60" s="1248" t="s">
        <v>1606</v>
      </c>
      <c r="B60" s="110"/>
      <c r="C60" s="110"/>
      <c r="D60" s="110"/>
      <c r="E60" s="110"/>
      <c r="F60" s="110"/>
      <c r="G60" s="110"/>
      <c r="H60" s="110"/>
      <c r="I60" s="110">
        <v>0</v>
      </c>
      <c r="J60" s="110">
        <v>1</v>
      </c>
      <c r="K60" s="110">
        <v>0</v>
      </c>
      <c r="L60" s="110">
        <v>0</v>
      </c>
      <c r="M60" s="110">
        <v>0</v>
      </c>
      <c r="N60" s="110">
        <v>0</v>
      </c>
      <c r="O60" s="110">
        <v>0</v>
      </c>
      <c r="P60" s="110">
        <v>0</v>
      </c>
    </row>
    <row r="61" spans="1:16" x14ac:dyDescent="0.25">
      <c r="A61" s="109" t="s">
        <v>960</v>
      </c>
      <c r="B61" s="110">
        <v>0</v>
      </c>
      <c r="C61" s="110">
        <v>1</v>
      </c>
      <c r="D61" s="110">
        <v>0</v>
      </c>
      <c r="E61" s="110">
        <v>1</v>
      </c>
      <c r="F61" s="110">
        <v>0</v>
      </c>
      <c r="G61" s="110">
        <v>0</v>
      </c>
      <c r="H61" s="110">
        <v>1</v>
      </c>
      <c r="I61" s="110">
        <v>1</v>
      </c>
      <c r="J61" s="110">
        <v>2</v>
      </c>
      <c r="K61" s="110">
        <v>0</v>
      </c>
      <c r="L61" s="110">
        <v>0</v>
      </c>
      <c r="M61" s="110">
        <v>1</v>
      </c>
      <c r="N61" s="110">
        <v>1</v>
      </c>
      <c r="O61" s="110">
        <v>0</v>
      </c>
      <c r="P61" s="110">
        <v>1</v>
      </c>
    </row>
    <row r="62" spans="1:16" x14ac:dyDescent="0.25">
      <c r="A62" s="109" t="s">
        <v>961</v>
      </c>
      <c r="B62" s="110">
        <v>1</v>
      </c>
      <c r="C62" s="110">
        <v>0</v>
      </c>
      <c r="D62" s="110">
        <v>0</v>
      </c>
      <c r="E62" s="110">
        <v>1</v>
      </c>
      <c r="F62" s="110">
        <v>0</v>
      </c>
      <c r="G62" s="110">
        <v>3</v>
      </c>
      <c r="H62" s="110">
        <v>0</v>
      </c>
      <c r="I62" s="110">
        <v>1</v>
      </c>
      <c r="J62" s="110">
        <v>0</v>
      </c>
      <c r="K62" s="110">
        <v>0</v>
      </c>
      <c r="L62" s="110">
        <v>1</v>
      </c>
      <c r="M62" s="110">
        <v>0</v>
      </c>
      <c r="N62" s="110">
        <v>1</v>
      </c>
      <c r="O62" s="110">
        <v>0</v>
      </c>
      <c r="P62" s="110">
        <v>0</v>
      </c>
    </row>
    <row r="63" spans="1:16" x14ac:dyDescent="0.25">
      <c r="A63" s="109" t="s">
        <v>962</v>
      </c>
      <c r="B63" s="110">
        <v>2</v>
      </c>
      <c r="C63" s="110">
        <v>2</v>
      </c>
      <c r="D63" s="110">
        <v>4</v>
      </c>
      <c r="E63" s="110">
        <v>0</v>
      </c>
      <c r="F63" s="110">
        <v>1</v>
      </c>
      <c r="G63" s="110">
        <v>1</v>
      </c>
      <c r="H63" s="110">
        <v>3</v>
      </c>
      <c r="I63" s="110">
        <v>1</v>
      </c>
      <c r="J63" s="110">
        <v>3</v>
      </c>
      <c r="K63" s="110">
        <v>1</v>
      </c>
      <c r="L63" s="110">
        <v>1</v>
      </c>
      <c r="M63" s="110">
        <v>3</v>
      </c>
      <c r="N63" s="110">
        <v>1</v>
      </c>
      <c r="O63" s="110">
        <v>0</v>
      </c>
      <c r="P63" s="110">
        <v>0</v>
      </c>
    </row>
    <row r="64" spans="1:16" x14ac:dyDescent="0.25">
      <c r="A64" s="1249" t="s">
        <v>1762</v>
      </c>
      <c r="B64" s="110">
        <v>5</v>
      </c>
      <c r="C64" s="110">
        <v>0</v>
      </c>
      <c r="D64" s="110">
        <v>2</v>
      </c>
      <c r="E64" s="110">
        <v>3</v>
      </c>
      <c r="F64" s="110">
        <v>1</v>
      </c>
      <c r="G64" s="110">
        <v>0</v>
      </c>
      <c r="H64" s="110">
        <v>1</v>
      </c>
      <c r="I64" s="110">
        <v>1</v>
      </c>
      <c r="J64" s="110">
        <v>1</v>
      </c>
      <c r="K64" s="110">
        <v>2</v>
      </c>
      <c r="L64" s="110">
        <v>0</v>
      </c>
      <c r="M64" s="110">
        <v>1</v>
      </c>
      <c r="N64" s="110">
        <v>2</v>
      </c>
      <c r="O64" s="110">
        <v>5</v>
      </c>
      <c r="P64" s="110">
        <v>1</v>
      </c>
    </row>
    <row r="65" spans="1:16" x14ac:dyDescent="0.25">
      <c r="A65" s="109" t="s">
        <v>963</v>
      </c>
      <c r="B65" s="110">
        <v>3</v>
      </c>
      <c r="C65" s="110">
        <v>0</v>
      </c>
      <c r="D65" s="110">
        <v>2</v>
      </c>
      <c r="E65" s="110">
        <v>1</v>
      </c>
      <c r="F65" s="110">
        <v>0</v>
      </c>
      <c r="G65" s="110">
        <v>0</v>
      </c>
      <c r="H65" s="110">
        <v>1</v>
      </c>
      <c r="I65" s="110">
        <v>0</v>
      </c>
      <c r="J65" s="110">
        <v>0</v>
      </c>
      <c r="K65" s="110">
        <v>1</v>
      </c>
      <c r="L65" s="110">
        <v>0</v>
      </c>
      <c r="M65" s="110">
        <v>0</v>
      </c>
      <c r="N65" s="110">
        <v>2</v>
      </c>
      <c r="O65" s="110">
        <v>2</v>
      </c>
      <c r="P65" s="110">
        <v>0</v>
      </c>
    </row>
    <row r="66" spans="1:16" x14ac:dyDescent="0.25">
      <c r="A66" s="1248" t="s">
        <v>1604</v>
      </c>
      <c r="B66" s="110"/>
      <c r="C66" s="110"/>
      <c r="D66" s="110"/>
      <c r="E66" s="110"/>
      <c r="F66" s="110"/>
      <c r="G66" s="110"/>
      <c r="H66" s="110"/>
      <c r="I66" s="110">
        <v>0</v>
      </c>
      <c r="J66" s="110">
        <v>1</v>
      </c>
      <c r="K66" s="110">
        <v>0</v>
      </c>
      <c r="L66" s="110">
        <v>1</v>
      </c>
      <c r="M66" s="110">
        <v>0</v>
      </c>
      <c r="N66" s="110">
        <v>0</v>
      </c>
      <c r="O66" s="110">
        <v>0</v>
      </c>
      <c r="P66" s="110">
        <v>0</v>
      </c>
    </row>
    <row r="67" spans="1:16" x14ac:dyDescent="0.25">
      <c r="A67" s="109" t="s">
        <v>964</v>
      </c>
      <c r="B67" s="110">
        <v>0</v>
      </c>
      <c r="C67" s="110">
        <v>0</v>
      </c>
      <c r="D67" s="110">
        <v>0</v>
      </c>
      <c r="E67" s="110">
        <v>0</v>
      </c>
      <c r="F67" s="110">
        <v>0</v>
      </c>
      <c r="G67" s="110">
        <v>0</v>
      </c>
      <c r="H67" s="110">
        <v>0</v>
      </c>
      <c r="I67" s="110">
        <v>0</v>
      </c>
      <c r="J67" s="110">
        <v>0</v>
      </c>
      <c r="K67" s="110">
        <v>0</v>
      </c>
      <c r="L67" s="110">
        <v>0</v>
      </c>
      <c r="M67" s="110">
        <v>0</v>
      </c>
      <c r="N67" s="110">
        <v>0</v>
      </c>
      <c r="O67" s="110">
        <v>0</v>
      </c>
      <c r="P67" s="110">
        <v>0</v>
      </c>
    </row>
    <row r="68" spans="1:16" x14ac:dyDescent="0.25">
      <c r="A68" s="1248" t="s">
        <v>1607</v>
      </c>
      <c r="B68" s="110"/>
      <c r="C68" s="110"/>
      <c r="D68" s="110"/>
      <c r="E68" s="110"/>
      <c r="F68" s="110"/>
      <c r="G68" s="110"/>
      <c r="H68" s="110"/>
      <c r="I68" s="110">
        <v>1</v>
      </c>
      <c r="J68" s="110">
        <v>0</v>
      </c>
      <c r="K68" s="110">
        <v>0</v>
      </c>
      <c r="L68" s="110">
        <v>1</v>
      </c>
      <c r="M68" s="110">
        <v>1</v>
      </c>
      <c r="N68" s="110">
        <v>1</v>
      </c>
      <c r="O68" s="110">
        <v>1</v>
      </c>
      <c r="P68" s="110">
        <v>1</v>
      </c>
    </row>
    <row r="69" spans="1:16" x14ac:dyDescent="0.25">
      <c r="A69" s="109" t="s">
        <v>965</v>
      </c>
      <c r="B69" s="110">
        <v>0</v>
      </c>
      <c r="C69" s="110">
        <v>1</v>
      </c>
      <c r="D69" s="110">
        <v>2</v>
      </c>
      <c r="E69" s="110">
        <v>0</v>
      </c>
      <c r="F69" s="110">
        <v>2</v>
      </c>
      <c r="G69" s="110">
        <v>0</v>
      </c>
      <c r="H69" s="110">
        <v>0</v>
      </c>
      <c r="I69" s="110">
        <v>0</v>
      </c>
      <c r="J69" s="110">
        <v>0</v>
      </c>
      <c r="K69" s="110">
        <v>0</v>
      </c>
      <c r="L69" s="110">
        <v>0</v>
      </c>
      <c r="M69" s="110">
        <v>0</v>
      </c>
      <c r="N69" s="110">
        <v>0</v>
      </c>
      <c r="O69" s="110">
        <v>0</v>
      </c>
      <c r="P69" s="110">
        <v>0</v>
      </c>
    </row>
    <row r="70" spans="1:16" x14ac:dyDescent="0.25">
      <c r="A70" s="109" t="s">
        <v>966</v>
      </c>
      <c r="B70" s="110">
        <v>0</v>
      </c>
      <c r="C70" s="110">
        <v>1</v>
      </c>
      <c r="D70" s="110">
        <v>0</v>
      </c>
      <c r="E70" s="110">
        <v>0</v>
      </c>
      <c r="F70" s="110">
        <v>0</v>
      </c>
      <c r="G70" s="110">
        <v>0</v>
      </c>
      <c r="H70" s="110">
        <v>0</v>
      </c>
      <c r="I70" s="110">
        <v>0</v>
      </c>
      <c r="J70" s="110">
        <v>0</v>
      </c>
      <c r="K70" s="110">
        <v>1</v>
      </c>
      <c r="L70" s="110">
        <v>1</v>
      </c>
      <c r="M70" s="110">
        <v>1</v>
      </c>
      <c r="N70" s="110">
        <v>0</v>
      </c>
      <c r="O70" s="110">
        <v>0</v>
      </c>
      <c r="P70" s="110">
        <v>0</v>
      </c>
    </row>
    <row r="71" spans="1:16" ht="24.75" customHeight="1" x14ac:dyDescent="0.25">
      <c r="A71" s="327" t="s">
        <v>967</v>
      </c>
      <c r="B71" s="328" t="s">
        <v>906</v>
      </c>
      <c r="C71" s="328" t="s">
        <v>907</v>
      </c>
      <c r="D71" s="328" t="str">
        <f t="shared" ref="D71:M71" si="3">+D43</f>
        <v>FALL 2003</v>
      </c>
      <c r="E71" s="328" t="str">
        <f t="shared" si="3"/>
        <v>FALL 2004</v>
      </c>
      <c r="F71" s="328" t="str">
        <f t="shared" si="3"/>
        <v>FALL 2005</v>
      </c>
      <c r="G71" s="328" t="str">
        <f t="shared" si="3"/>
        <v>FALL 2006</v>
      </c>
      <c r="H71" s="328" t="str">
        <f t="shared" si="3"/>
        <v>FALL 2007</v>
      </c>
      <c r="I71" s="328" t="str">
        <f t="shared" si="3"/>
        <v>FALL 2008</v>
      </c>
      <c r="J71" s="328" t="str">
        <f t="shared" si="3"/>
        <v>FALL 2009</v>
      </c>
      <c r="K71" s="328" t="str">
        <f t="shared" si="3"/>
        <v>FALL 2010</v>
      </c>
      <c r="L71" s="328" t="str">
        <f t="shared" si="3"/>
        <v>FALL 2011</v>
      </c>
      <c r="M71" s="328" t="str">
        <f t="shared" si="3"/>
        <v>FALL 2012</v>
      </c>
      <c r="N71" s="328" t="str">
        <f>+N43</f>
        <v>FALL 2013</v>
      </c>
      <c r="O71" s="328" t="str">
        <f>+O43</f>
        <v>FALL 2014</v>
      </c>
      <c r="P71" s="328" t="str">
        <f>+P43</f>
        <v>FALL 2015</v>
      </c>
    </row>
    <row r="72" spans="1:16" x14ac:dyDescent="0.25">
      <c r="A72" s="109" t="s">
        <v>968</v>
      </c>
      <c r="B72" s="110">
        <f t="shared" ref="B72:M72" si="4">SUM(B5:B25)</f>
        <v>101</v>
      </c>
      <c r="C72" s="110">
        <f t="shared" si="4"/>
        <v>89</v>
      </c>
      <c r="D72" s="110">
        <f t="shared" si="4"/>
        <v>127</v>
      </c>
      <c r="E72" s="110">
        <f t="shared" si="4"/>
        <v>137</v>
      </c>
      <c r="F72" s="110">
        <f t="shared" si="4"/>
        <v>126</v>
      </c>
      <c r="G72" s="110">
        <f t="shared" si="4"/>
        <v>111</v>
      </c>
      <c r="H72" s="110">
        <f t="shared" si="4"/>
        <v>96</v>
      </c>
      <c r="I72" s="110">
        <f t="shared" si="4"/>
        <v>119</v>
      </c>
      <c r="J72" s="110">
        <f t="shared" si="4"/>
        <v>124</v>
      </c>
      <c r="K72" s="110">
        <f t="shared" si="4"/>
        <v>134</v>
      </c>
      <c r="L72" s="110">
        <f t="shared" si="4"/>
        <v>116</v>
      </c>
      <c r="M72" s="110">
        <f t="shared" si="4"/>
        <v>104</v>
      </c>
      <c r="N72" s="110">
        <f>SUM(N5:N25)</f>
        <v>113</v>
      </c>
      <c r="O72" s="110">
        <f>SUM(O5:O25)</f>
        <v>116</v>
      </c>
      <c r="P72" s="110">
        <f>SUM(P5:P25)</f>
        <v>99</v>
      </c>
    </row>
    <row r="73" spans="1:16" x14ac:dyDescent="0.25">
      <c r="A73" s="109" t="s">
        <v>974</v>
      </c>
      <c r="B73" s="110">
        <f t="shared" ref="B73:M73" si="5">SUM(B27:B38)</f>
        <v>34</v>
      </c>
      <c r="C73" s="110">
        <f t="shared" si="5"/>
        <v>18</v>
      </c>
      <c r="D73" s="110">
        <f t="shared" si="5"/>
        <v>9</v>
      </c>
      <c r="E73" s="110">
        <f t="shared" si="5"/>
        <v>27</v>
      </c>
      <c r="F73" s="110">
        <f t="shared" si="5"/>
        <v>21</v>
      </c>
      <c r="G73" s="110">
        <f t="shared" si="5"/>
        <v>27</v>
      </c>
      <c r="H73" s="110">
        <f t="shared" si="5"/>
        <v>25</v>
      </c>
      <c r="I73" s="110">
        <f t="shared" si="5"/>
        <v>13</v>
      </c>
      <c r="J73" s="110">
        <f t="shared" si="5"/>
        <v>24</v>
      </c>
      <c r="K73" s="110">
        <f t="shared" si="5"/>
        <v>21</v>
      </c>
      <c r="L73" s="110">
        <f t="shared" si="5"/>
        <v>15</v>
      </c>
      <c r="M73" s="110">
        <f t="shared" si="5"/>
        <v>21</v>
      </c>
      <c r="N73" s="110">
        <f>SUM(N27:N38)</f>
        <v>18</v>
      </c>
      <c r="O73" s="110">
        <f>SUM(O27:O38)</f>
        <v>23</v>
      </c>
      <c r="P73" s="110">
        <f>SUM(P27:P38)</f>
        <v>11</v>
      </c>
    </row>
    <row r="74" spans="1:16" x14ac:dyDescent="0.25">
      <c r="A74" s="109" t="s">
        <v>975</v>
      </c>
      <c r="B74" s="110">
        <f t="shared" ref="B74:N74" si="6">SUM(B40:B42)</f>
        <v>11</v>
      </c>
      <c r="C74" s="110">
        <f t="shared" si="6"/>
        <v>10</v>
      </c>
      <c r="D74" s="110">
        <f t="shared" si="6"/>
        <v>9</v>
      </c>
      <c r="E74" s="110">
        <f t="shared" si="6"/>
        <v>7</v>
      </c>
      <c r="F74" s="110">
        <f t="shared" si="6"/>
        <v>6</v>
      </c>
      <c r="G74" s="110">
        <f t="shared" si="6"/>
        <v>8</v>
      </c>
      <c r="H74" s="110">
        <f t="shared" si="6"/>
        <v>4</v>
      </c>
      <c r="I74" s="110">
        <f t="shared" si="6"/>
        <v>7</v>
      </c>
      <c r="J74" s="110">
        <f t="shared" si="6"/>
        <v>15</v>
      </c>
      <c r="K74" s="110">
        <f t="shared" si="6"/>
        <v>6</v>
      </c>
      <c r="L74" s="110">
        <f t="shared" si="6"/>
        <v>3</v>
      </c>
      <c r="M74" s="110">
        <f t="shared" si="6"/>
        <v>7</v>
      </c>
      <c r="N74" s="110">
        <f t="shared" si="6"/>
        <v>6</v>
      </c>
      <c r="O74" s="110">
        <f>SUM(O40:O42)</f>
        <v>7</v>
      </c>
      <c r="P74" s="110">
        <f>SUM(P40:P42)</f>
        <v>7</v>
      </c>
    </row>
    <row r="75" spans="1:16" x14ac:dyDescent="0.25">
      <c r="A75" s="109" t="s">
        <v>976</v>
      </c>
      <c r="B75" s="110">
        <f t="shared" ref="B75:L75" si="7">SUM(B44:B70)</f>
        <v>18</v>
      </c>
      <c r="C75" s="110">
        <f t="shared" si="7"/>
        <v>15</v>
      </c>
      <c r="D75" s="110">
        <f t="shared" si="7"/>
        <v>16</v>
      </c>
      <c r="E75" s="110">
        <f t="shared" si="7"/>
        <v>17</v>
      </c>
      <c r="F75" s="110">
        <f t="shared" si="7"/>
        <v>14</v>
      </c>
      <c r="G75" s="110">
        <f t="shared" si="7"/>
        <v>17</v>
      </c>
      <c r="H75" s="110">
        <f t="shared" si="7"/>
        <v>17</v>
      </c>
      <c r="I75" s="110">
        <f t="shared" si="7"/>
        <v>17</v>
      </c>
      <c r="J75" s="110">
        <f t="shared" si="7"/>
        <v>19</v>
      </c>
      <c r="K75" s="110">
        <f t="shared" si="7"/>
        <v>11</v>
      </c>
      <c r="L75" s="110">
        <f t="shared" si="7"/>
        <v>15</v>
      </c>
      <c r="M75" s="110">
        <f>SUM(M44:M70)</f>
        <v>16</v>
      </c>
      <c r="N75" s="110">
        <f>SUM(N44:N70)</f>
        <v>25</v>
      </c>
      <c r="O75" s="110">
        <f>SUM(O44:O70)</f>
        <v>18</v>
      </c>
      <c r="P75" s="110">
        <f>SUM(P44:P70)</f>
        <v>12</v>
      </c>
    </row>
  </sheetData>
  <mergeCells count="2">
    <mergeCell ref="A1:P1"/>
    <mergeCell ref="A2:P2"/>
  </mergeCells>
  <phoneticPr fontId="16" type="noConversion"/>
  <printOptions horizontalCentered="1" verticalCentered="1"/>
  <pageMargins left="0.5" right="0.5" top="0.25" bottom="0.75" header="0.5" footer="0.25"/>
  <pageSetup scale="72" orientation="portrait" r:id="rId1"/>
  <headerFooter alignWithMargins="0">
    <oddHeader xml:space="preserve">&amp;C </oddHeader>
    <oddFooter xml:space="preserve">&amp;LSource: Office of Admissions&amp;C </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
  <sheetViews>
    <sheetView zoomScale="90" zoomScaleNormal="90" workbookViewId="0"/>
  </sheetViews>
  <sheetFormatPr defaultColWidth="7.88671875" defaultRowHeight="13.2" x14ac:dyDescent="0.25"/>
  <cols>
    <col min="1" max="1" width="21.6640625" style="954" customWidth="1"/>
    <col min="2" max="3" width="7.6640625" style="896" customWidth="1"/>
    <col min="4" max="10" width="8" style="896" customWidth="1"/>
    <col min="11" max="11" width="8.33203125" style="896" customWidth="1"/>
    <col min="12" max="19" width="8" style="896" customWidth="1"/>
    <col min="20" max="21" width="7.6640625" style="896" customWidth="1"/>
    <col min="22" max="22" width="10.33203125" style="896" customWidth="1"/>
    <col min="23" max="23" width="11.6640625" style="896" customWidth="1"/>
    <col min="24" max="16384" width="7.88671875" style="896"/>
  </cols>
  <sheetData>
    <row r="1" spans="1:23" ht="17.399999999999999" x14ac:dyDescent="0.25">
      <c r="A1" s="111" t="s">
        <v>1737</v>
      </c>
      <c r="B1" s="111"/>
      <c r="C1" s="111"/>
      <c r="D1" s="111"/>
      <c r="E1" s="111"/>
      <c r="F1" s="111"/>
      <c r="G1" s="111"/>
      <c r="H1" s="111"/>
      <c r="I1" s="111"/>
      <c r="J1" s="111"/>
      <c r="K1" s="111"/>
      <c r="L1" s="111"/>
      <c r="M1" s="111"/>
      <c r="N1" s="111"/>
      <c r="O1" s="111"/>
      <c r="P1" s="111"/>
      <c r="Q1" s="111"/>
      <c r="R1" s="111"/>
      <c r="S1" s="111"/>
      <c r="T1" s="111"/>
      <c r="U1" s="111"/>
      <c r="V1" s="111"/>
      <c r="W1" s="111"/>
    </row>
    <row r="2" spans="1:23" ht="12.75" customHeight="1" thickBot="1" x14ac:dyDescent="0.3">
      <c r="A2" s="111"/>
      <c r="B2" s="897"/>
      <c r="C2" s="897"/>
      <c r="D2" s="897"/>
      <c r="E2" s="897"/>
      <c r="F2" s="897"/>
      <c r="G2" s="897"/>
      <c r="H2" s="897"/>
      <c r="I2" s="897"/>
      <c r="J2" s="897"/>
      <c r="K2" s="897"/>
      <c r="L2" s="897"/>
      <c r="M2" s="897"/>
      <c r="N2" s="897"/>
      <c r="O2" s="897"/>
      <c r="P2" s="897"/>
      <c r="Q2" s="897"/>
      <c r="R2" s="897"/>
      <c r="S2" s="897"/>
      <c r="T2" s="897"/>
      <c r="U2" s="897"/>
      <c r="V2" s="897"/>
      <c r="W2" s="897"/>
    </row>
    <row r="3" spans="1:23" ht="15" customHeight="1" x14ac:dyDescent="0.25">
      <c r="A3" s="898"/>
      <c r="B3" s="2125" t="s">
        <v>977</v>
      </c>
      <c r="C3" s="2126"/>
      <c r="D3" s="900"/>
      <c r="E3" s="901"/>
      <c r="F3" s="2127" t="s">
        <v>978</v>
      </c>
      <c r="G3" s="2126"/>
      <c r="H3" s="903"/>
      <c r="I3" s="904"/>
      <c r="J3" s="903" t="s">
        <v>1459</v>
      </c>
      <c r="K3" s="905"/>
      <c r="L3" s="906"/>
      <c r="M3" s="907"/>
      <c r="N3" s="908"/>
      <c r="O3" s="909"/>
      <c r="P3" s="902"/>
      <c r="Q3" s="899"/>
      <c r="R3" s="2127" t="s">
        <v>1457</v>
      </c>
      <c r="S3" s="2128"/>
      <c r="T3" s="689" t="s">
        <v>980</v>
      </c>
      <c r="U3" s="689"/>
      <c r="V3" s="689"/>
      <c r="W3" s="689"/>
    </row>
    <row r="4" spans="1:23" x14ac:dyDescent="0.25">
      <c r="A4" s="910"/>
      <c r="B4" s="911" t="s">
        <v>981</v>
      </c>
      <c r="C4" s="912"/>
      <c r="D4" s="913" t="s">
        <v>1460</v>
      </c>
      <c r="E4" s="912"/>
      <c r="F4" s="2129" t="s">
        <v>982</v>
      </c>
      <c r="G4" s="2130"/>
      <c r="H4" s="2129" t="s">
        <v>1461</v>
      </c>
      <c r="I4" s="2130"/>
      <c r="J4" s="2129" t="s">
        <v>983</v>
      </c>
      <c r="K4" s="2131"/>
      <c r="L4" s="911" t="s">
        <v>845</v>
      </c>
      <c r="M4" s="912"/>
      <c r="N4" s="2132" t="s">
        <v>979</v>
      </c>
      <c r="O4" s="2133"/>
      <c r="P4" s="2129" t="s">
        <v>984</v>
      </c>
      <c r="Q4" s="2130"/>
      <c r="R4" s="911" t="s">
        <v>1458</v>
      </c>
      <c r="S4" s="914"/>
      <c r="T4" s="698" t="s">
        <v>835</v>
      </c>
      <c r="U4" s="699"/>
      <c r="V4" s="699"/>
      <c r="W4" s="699"/>
    </row>
    <row r="5" spans="1:23" ht="39.6" x14ac:dyDescent="0.25">
      <c r="A5" s="690" t="s">
        <v>985</v>
      </c>
      <c r="B5" s="915" t="s">
        <v>986</v>
      </c>
      <c r="C5" s="916" t="s">
        <v>987</v>
      </c>
      <c r="D5" s="917" t="s">
        <v>986</v>
      </c>
      <c r="E5" s="916" t="s">
        <v>987</v>
      </c>
      <c r="F5" s="917" t="s">
        <v>986</v>
      </c>
      <c r="G5" s="916" t="s">
        <v>987</v>
      </c>
      <c r="H5" s="917" t="s">
        <v>986</v>
      </c>
      <c r="I5" s="916" t="s">
        <v>987</v>
      </c>
      <c r="J5" s="917" t="s">
        <v>986</v>
      </c>
      <c r="K5" s="916" t="s">
        <v>987</v>
      </c>
      <c r="L5" s="915" t="s">
        <v>986</v>
      </c>
      <c r="M5" s="916" t="s">
        <v>987</v>
      </c>
      <c r="N5" s="915" t="s">
        <v>986</v>
      </c>
      <c r="O5" s="916" t="s">
        <v>987</v>
      </c>
      <c r="P5" s="915" t="s">
        <v>986</v>
      </c>
      <c r="Q5" s="918" t="s">
        <v>987</v>
      </c>
      <c r="R5" s="915" t="s">
        <v>986</v>
      </c>
      <c r="S5" s="919" t="s">
        <v>987</v>
      </c>
      <c r="T5" s="920" t="s">
        <v>986</v>
      </c>
      <c r="U5" s="916" t="s">
        <v>987</v>
      </c>
      <c r="V5" s="916" t="s">
        <v>835</v>
      </c>
      <c r="W5" s="921" t="s">
        <v>988</v>
      </c>
    </row>
    <row r="6" spans="1:23" ht="30" customHeight="1" x14ac:dyDescent="0.25">
      <c r="A6" s="691" t="s">
        <v>989</v>
      </c>
      <c r="B6" s="316"/>
      <c r="C6" s="315"/>
      <c r="D6" s="314"/>
      <c r="E6" s="315"/>
      <c r="F6" s="314"/>
      <c r="G6" s="315"/>
      <c r="H6" s="314"/>
      <c r="I6" s="315"/>
      <c r="J6" s="922"/>
      <c r="K6" s="894"/>
      <c r="L6" s="316"/>
      <c r="M6" s="315"/>
      <c r="N6" s="316"/>
      <c r="O6" s="315"/>
      <c r="P6" s="316"/>
      <c r="Q6" s="892"/>
      <c r="R6" s="316"/>
      <c r="S6" s="317"/>
      <c r="T6" s="598"/>
      <c r="U6" s="315"/>
      <c r="V6" s="315"/>
      <c r="W6" s="315"/>
    </row>
    <row r="7" spans="1:23" x14ac:dyDescent="0.25">
      <c r="A7" s="923" t="s">
        <v>746</v>
      </c>
      <c r="B7" s="1230">
        <v>6</v>
      </c>
      <c r="C7" s="1231">
        <v>22</v>
      </c>
      <c r="D7" s="926">
        <v>53</v>
      </c>
      <c r="E7" s="925">
        <v>115</v>
      </c>
      <c r="F7" s="926">
        <v>0</v>
      </c>
      <c r="G7" s="925">
        <v>0</v>
      </c>
      <c r="H7" s="926">
        <v>3</v>
      </c>
      <c r="I7" s="927">
        <v>2</v>
      </c>
      <c r="J7" s="928">
        <v>0</v>
      </c>
      <c r="K7" s="927">
        <v>0</v>
      </c>
      <c r="L7" s="924">
        <v>1</v>
      </c>
      <c r="M7" s="925">
        <v>3</v>
      </c>
      <c r="N7" s="924">
        <v>91</v>
      </c>
      <c r="O7" s="925">
        <v>234</v>
      </c>
      <c r="P7" s="924">
        <v>4</v>
      </c>
      <c r="Q7" s="929">
        <v>11</v>
      </c>
      <c r="R7" s="924">
        <v>4</v>
      </c>
      <c r="S7" s="930">
        <v>9</v>
      </c>
      <c r="T7" s="931">
        <f>+B7+D7+F7+H7+J7+L7+N7+P7+R7</f>
        <v>162</v>
      </c>
      <c r="U7" s="924">
        <f>+C7+E7+G7+I7+K7+M7+O7+Q7+S7</f>
        <v>396</v>
      </c>
      <c r="V7" s="1393">
        <f t="shared" ref="V7:V19" si="0">T7+U7</f>
        <v>558</v>
      </c>
      <c r="W7" s="932">
        <f t="shared" ref="W7:W19" si="1">V7/$V$34</f>
        <v>0.20659015179563125</v>
      </c>
    </row>
    <row r="8" spans="1:23" x14ac:dyDescent="0.25">
      <c r="A8" s="923" t="s">
        <v>747</v>
      </c>
      <c r="B8" s="924">
        <v>1</v>
      </c>
      <c r="C8" s="925">
        <v>11</v>
      </c>
      <c r="D8" s="926">
        <v>22</v>
      </c>
      <c r="E8" s="925">
        <v>49</v>
      </c>
      <c r="F8" s="1392">
        <v>0</v>
      </c>
      <c r="G8" s="925">
        <v>0</v>
      </c>
      <c r="H8" s="926">
        <v>0</v>
      </c>
      <c r="I8" s="929">
        <v>2</v>
      </c>
      <c r="J8" s="928">
        <v>0</v>
      </c>
      <c r="K8" s="927">
        <v>0</v>
      </c>
      <c r="L8" s="924">
        <v>2</v>
      </c>
      <c r="M8" s="925">
        <v>2</v>
      </c>
      <c r="N8" s="924">
        <v>46</v>
      </c>
      <c r="O8" s="925">
        <v>122</v>
      </c>
      <c r="P8" s="924">
        <v>5</v>
      </c>
      <c r="Q8" s="929">
        <v>9</v>
      </c>
      <c r="R8" s="924">
        <v>4</v>
      </c>
      <c r="S8" s="930">
        <v>8</v>
      </c>
      <c r="T8" s="931">
        <f>+B8+D8+F8+H8+J8+L8+N8+P8+R8</f>
        <v>80</v>
      </c>
      <c r="U8" s="924">
        <f>+C8+E8+G8+I8+K8+M8+O8+Q8+S8</f>
        <v>203</v>
      </c>
      <c r="V8" s="1393">
        <f t="shared" si="0"/>
        <v>283</v>
      </c>
      <c r="W8" s="932">
        <f t="shared" si="1"/>
        <v>0.10477600888559793</v>
      </c>
    </row>
    <row r="9" spans="1:23" x14ac:dyDescent="0.25">
      <c r="A9" s="923" t="s">
        <v>748</v>
      </c>
      <c r="B9" s="924">
        <f>+B8+B7</f>
        <v>7</v>
      </c>
      <c r="C9" s="925">
        <f t="shared" ref="C9:S9" si="2">+C8+C7</f>
        <v>33</v>
      </c>
      <c r="D9" s="926">
        <f t="shared" si="2"/>
        <v>75</v>
      </c>
      <c r="E9" s="925">
        <f t="shared" si="2"/>
        <v>164</v>
      </c>
      <c r="F9" s="926">
        <f t="shared" si="2"/>
        <v>0</v>
      </c>
      <c r="G9" s="925">
        <f t="shared" si="2"/>
        <v>0</v>
      </c>
      <c r="H9" s="926">
        <f t="shared" si="2"/>
        <v>3</v>
      </c>
      <c r="I9" s="929">
        <f t="shared" si="2"/>
        <v>4</v>
      </c>
      <c r="J9" s="926">
        <f t="shared" si="2"/>
        <v>0</v>
      </c>
      <c r="K9" s="929">
        <f t="shared" si="2"/>
        <v>0</v>
      </c>
      <c r="L9" s="924">
        <f t="shared" si="2"/>
        <v>3</v>
      </c>
      <c r="M9" s="925">
        <f t="shared" si="2"/>
        <v>5</v>
      </c>
      <c r="N9" s="926">
        <f t="shared" si="2"/>
        <v>137</v>
      </c>
      <c r="O9" s="925">
        <f t="shared" si="2"/>
        <v>356</v>
      </c>
      <c r="P9" s="926">
        <f t="shared" si="2"/>
        <v>9</v>
      </c>
      <c r="Q9" s="929">
        <f t="shared" si="2"/>
        <v>20</v>
      </c>
      <c r="R9" s="924">
        <f t="shared" si="2"/>
        <v>8</v>
      </c>
      <c r="S9" s="930">
        <f t="shared" si="2"/>
        <v>17</v>
      </c>
      <c r="T9" s="931">
        <f>B9+D9+F9+H9+L9+N9+R9+P9</f>
        <v>242</v>
      </c>
      <c r="U9" s="924">
        <f>C9+E9+G9+I9+M9+O9+S9+Q9</f>
        <v>599</v>
      </c>
      <c r="V9" s="1393">
        <f t="shared" si="0"/>
        <v>841</v>
      </c>
      <c r="W9" s="932">
        <f t="shared" si="1"/>
        <v>0.31136616068122919</v>
      </c>
    </row>
    <row r="10" spans="1:23" x14ac:dyDescent="0.25">
      <c r="A10" s="923" t="s">
        <v>990</v>
      </c>
      <c r="B10" s="924">
        <v>10</v>
      </c>
      <c r="C10" s="925">
        <v>17</v>
      </c>
      <c r="D10" s="926">
        <v>47</v>
      </c>
      <c r="E10" s="925">
        <v>114</v>
      </c>
      <c r="F10" s="926">
        <v>3</v>
      </c>
      <c r="G10" s="925">
        <v>0</v>
      </c>
      <c r="H10" s="926">
        <v>2</v>
      </c>
      <c r="I10" s="929">
        <v>1</v>
      </c>
      <c r="J10" s="928">
        <v>0</v>
      </c>
      <c r="K10" s="927">
        <v>0</v>
      </c>
      <c r="L10" s="924">
        <v>1</v>
      </c>
      <c r="M10" s="925">
        <v>3</v>
      </c>
      <c r="N10" s="924">
        <v>91</v>
      </c>
      <c r="O10" s="925">
        <v>204</v>
      </c>
      <c r="P10" s="924">
        <v>12</v>
      </c>
      <c r="Q10" s="929">
        <v>29</v>
      </c>
      <c r="R10" s="924">
        <v>2</v>
      </c>
      <c r="S10" s="930">
        <v>5</v>
      </c>
      <c r="T10" s="931">
        <f t="shared" ref="T10:U13" si="3">+B10+D10+F10+H10+J10+L10+N10+P10+R10</f>
        <v>168</v>
      </c>
      <c r="U10" s="924">
        <f t="shared" si="3"/>
        <v>373</v>
      </c>
      <c r="V10" s="1393">
        <f t="shared" si="0"/>
        <v>541</v>
      </c>
      <c r="W10" s="932">
        <f t="shared" si="1"/>
        <v>0.20029618659755646</v>
      </c>
    </row>
    <row r="11" spans="1:23" x14ac:dyDescent="0.25">
      <c r="A11" s="923" t="s">
        <v>991</v>
      </c>
      <c r="B11" s="924">
        <v>4</v>
      </c>
      <c r="C11" s="925">
        <v>10</v>
      </c>
      <c r="D11" s="926">
        <v>42</v>
      </c>
      <c r="E11" s="925">
        <v>105</v>
      </c>
      <c r="F11" s="926">
        <v>0</v>
      </c>
      <c r="G11" s="925">
        <v>0</v>
      </c>
      <c r="H11" s="926">
        <v>1</v>
      </c>
      <c r="I11" s="929">
        <v>0</v>
      </c>
      <c r="J11" s="928">
        <v>0</v>
      </c>
      <c r="K11" s="927">
        <v>1</v>
      </c>
      <c r="L11" s="924">
        <v>2</v>
      </c>
      <c r="M11" s="925">
        <v>5</v>
      </c>
      <c r="N11" s="924">
        <v>110</v>
      </c>
      <c r="O11" s="925">
        <v>189</v>
      </c>
      <c r="P11" s="924">
        <v>9</v>
      </c>
      <c r="Q11" s="929">
        <v>11</v>
      </c>
      <c r="R11" s="924">
        <v>0</v>
      </c>
      <c r="S11" s="930">
        <v>5</v>
      </c>
      <c r="T11" s="931">
        <f t="shared" si="3"/>
        <v>168</v>
      </c>
      <c r="U11" s="924">
        <f t="shared" si="3"/>
        <v>326</v>
      </c>
      <c r="V11" s="1393">
        <f t="shared" si="0"/>
        <v>494</v>
      </c>
      <c r="W11" s="932">
        <f t="shared" si="1"/>
        <v>0.18289522399111441</v>
      </c>
    </row>
    <row r="12" spans="1:23" x14ac:dyDescent="0.25">
      <c r="A12" s="923" t="s">
        <v>992</v>
      </c>
      <c r="B12" s="924">
        <v>5</v>
      </c>
      <c r="C12" s="925">
        <v>15</v>
      </c>
      <c r="D12" s="926">
        <v>50</v>
      </c>
      <c r="E12" s="925">
        <v>111</v>
      </c>
      <c r="F12" s="926">
        <v>1</v>
      </c>
      <c r="G12" s="925">
        <v>2</v>
      </c>
      <c r="H12" s="926">
        <v>1</v>
      </c>
      <c r="I12" s="929">
        <v>0</v>
      </c>
      <c r="J12" s="928">
        <v>0</v>
      </c>
      <c r="K12" s="927">
        <v>2</v>
      </c>
      <c r="L12" s="924">
        <v>2</v>
      </c>
      <c r="M12" s="925">
        <v>7</v>
      </c>
      <c r="N12" s="924">
        <v>106</v>
      </c>
      <c r="O12" s="925">
        <v>227</v>
      </c>
      <c r="P12" s="924">
        <v>8</v>
      </c>
      <c r="Q12" s="929">
        <v>20</v>
      </c>
      <c r="R12" s="924">
        <v>5</v>
      </c>
      <c r="S12" s="930">
        <v>6</v>
      </c>
      <c r="T12" s="931">
        <f t="shared" si="3"/>
        <v>178</v>
      </c>
      <c r="U12" s="924">
        <f t="shared" si="3"/>
        <v>390</v>
      </c>
      <c r="V12" s="1393">
        <f t="shared" si="0"/>
        <v>568</v>
      </c>
      <c r="W12" s="932">
        <f t="shared" si="1"/>
        <v>0.21029248426508701</v>
      </c>
    </row>
    <row r="13" spans="1:23" x14ac:dyDescent="0.25">
      <c r="A13" s="923" t="s">
        <v>993</v>
      </c>
      <c r="B13" s="924">
        <v>0</v>
      </c>
      <c r="C13" s="925">
        <v>0</v>
      </c>
      <c r="D13" s="926">
        <v>0</v>
      </c>
      <c r="E13" s="925">
        <v>0</v>
      </c>
      <c r="F13" s="926">
        <v>0</v>
      </c>
      <c r="G13" s="925">
        <v>0</v>
      </c>
      <c r="H13" s="926">
        <v>0</v>
      </c>
      <c r="I13" s="929">
        <v>0</v>
      </c>
      <c r="J13" s="928">
        <v>0</v>
      </c>
      <c r="K13" s="927">
        <v>0</v>
      </c>
      <c r="L13" s="924">
        <v>0</v>
      </c>
      <c r="M13" s="925">
        <v>0</v>
      </c>
      <c r="N13" s="924">
        <v>1</v>
      </c>
      <c r="O13" s="925">
        <v>1</v>
      </c>
      <c r="P13" s="924">
        <v>0</v>
      </c>
      <c r="Q13" s="929">
        <v>0</v>
      </c>
      <c r="R13" s="924">
        <v>0</v>
      </c>
      <c r="S13" s="930">
        <v>0</v>
      </c>
      <c r="T13" s="931">
        <f t="shared" si="3"/>
        <v>1</v>
      </c>
      <c r="U13" s="924">
        <f t="shared" si="3"/>
        <v>1</v>
      </c>
      <c r="V13" s="1393">
        <f>T13+U13</f>
        <v>2</v>
      </c>
      <c r="W13" s="932">
        <f t="shared" si="1"/>
        <v>7.4046649389115145E-4</v>
      </c>
    </row>
    <row r="14" spans="1:23" x14ac:dyDescent="0.25">
      <c r="A14" s="933" t="s">
        <v>994</v>
      </c>
      <c r="B14" s="934">
        <f>SUM(B9:B13)</f>
        <v>26</v>
      </c>
      <c r="C14" s="925">
        <f t="shared" ref="C14:U14" si="4">SUM(C9:C13)</f>
        <v>75</v>
      </c>
      <c r="D14" s="935">
        <f t="shared" si="4"/>
        <v>214</v>
      </c>
      <c r="E14" s="925">
        <f t="shared" si="4"/>
        <v>494</v>
      </c>
      <c r="F14" s="935">
        <f t="shared" si="4"/>
        <v>4</v>
      </c>
      <c r="G14" s="925">
        <f t="shared" si="4"/>
        <v>2</v>
      </c>
      <c r="H14" s="935">
        <f t="shared" si="4"/>
        <v>7</v>
      </c>
      <c r="I14" s="929">
        <f t="shared" si="4"/>
        <v>5</v>
      </c>
      <c r="J14" s="935">
        <f t="shared" si="4"/>
        <v>0</v>
      </c>
      <c r="K14" s="929">
        <f t="shared" si="4"/>
        <v>3</v>
      </c>
      <c r="L14" s="934">
        <f t="shared" si="4"/>
        <v>8</v>
      </c>
      <c r="M14" s="925">
        <f t="shared" si="4"/>
        <v>20</v>
      </c>
      <c r="N14" s="935">
        <f t="shared" si="4"/>
        <v>445</v>
      </c>
      <c r="O14" s="925">
        <f t="shared" si="4"/>
        <v>977</v>
      </c>
      <c r="P14" s="935">
        <f t="shared" si="4"/>
        <v>38</v>
      </c>
      <c r="Q14" s="929">
        <f t="shared" si="4"/>
        <v>80</v>
      </c>
      <c r="R14" s="934">
        <f t="shared" si="4"/>
        <v>15</v>
      </c>
      <c r="S14" s="930">
        <f t="shared" si="4"/>
        <v>33</v>
      </c>
      <c r="T14" s="936">
        <f>SUM(T9:T13)</f>
        <v>757</v>
      </c>
      <c r="U14" s="927">
        <f t="shared" si="4"/>
        <v>1689</v>
      </c>
      <c r="V14" s="1393">
        <f t="shared" si="0"/>
        <v>2446</v>
      </c>
      <c r="W14" s="932">
        <f t="shared" si="1"/>
        <v>0.90559052202887824</v>
      </c>
    </row>
    <row r="15" spans="1:23" x14ac:dyDescent="0.25">
      <c r="A15" s="933" t="s">
        <v>501</v>
      </c>
      <c r="B15" s="934">
        <v>0</v>
      </c>
      <c r="C15" s="925">
        <v>0</v>
      </c>
      <c r="D15" s="935">
        <v>0</v>
      </c>
      <c r="E15" s="925">
        <v>0</v>
      </c>
      <c r="F15" s="935">
        <v>0</v>
      </c>
      <c r="G15" s="925">
        <v>0</v>
      </c>
      <c r="H15" s="935">
        <v>0</v>
      </c>
      <c r="I15" s="929">
        <v>0</v>
      </c>
      <c r="J15" s="928">
        <v>0</v>
      </c>
      <c r="K15" s="927">
        <v>0</v>
      </c>
      <c r="L15" s="934">
        <v>0</v>
      </c>
      <c r="M15" s="925">
        <v>0</v>
      </c>
      <c r="N15" s="934">
        <v>0</v>
      </c>
      <c r="O15" s="925">
        <v>0</v>
      </c>
      <c r="P15" s="934">
        <v>0</v>
      </c>
      <c r="Q15" s="929">
        <v>0</v>
      </c>
      <c r="R15" s="934">
        <v>0</v>
      </c>
      <c r="S15" s="930">
        <v>0</v>
      </c>
      <c r="T15" s="931">
        <f t="shared" ref="T15:U17" si="5">+B15+D15+F15+H15+J15+L15+N15+P15+R15</f>
        <v>0</v>
      </c>
      <c r="U15" s="924">
        <f t="shared" si="5"/>
        <v>0</v>
      </c>
      <c r="V15" s="1393">
        <f>T15+U15</f>
        <v>0</v>
      </c>
      <c r="W15" s="932">
        <f t="shared" si="1"/>
        <v>0</v>
      </c>
    </row>
    <row r="16" spans="1:23" x14ac:dyDescent="0.25">
      <c r="A16" s="923" t="s">
        <v>1000</v>
      </c>
      <c r="B16" s="934">
        <v>0</v>
      </c>
      <c r="C16" s="937">
        <v>0</v>
      </c>
      <c r="D16" s="935">
        <v>0</v>
      </c>
      <c r="E16" s="937">
        <v>0</v>
      </c>
      <c r="F16" s="935">
        <v>0</v>
      </c>
      <c r="G16" s="937">
        <v>0</v>
      </c>
      <c r="H16" s="935">
        <v>0</v>
      </c>
      <c r="I16" s="938">
        <v>0</v>
      </c>
      <c r="J16" s="939">
        <v>0</v>
      </c>
      <c r="K16" s="940">
        <v>0</v>
      </c>
      <c r="L16" s="934">
        <v>0</v>
      </c>
      <c r="M16" s="937">
        <v>0</v>
      </c>
      <c r="N16" s="934">
        <v>0</v>
      </c>
      <c r="O16" s="937">
        <v>0</v>
      </c>
      <c r="P16" s="934">
        <v>0</v>
      </c>
      <c r="Q16" s="938">
        <v>0</v>
      </c>
      <c r="R16" s="934">
        <v>0</v>
      </c>
      <c r="S16" s="941">
        <v>0</v>
      </c>
      <c r="T16" s="931">
        <f t="shared" si="5"/>
        <v>0</v>
      </c>
      <c r="U16" s="924">
        <f t="shared" si="5"/>
        <v>0</v>
      </c>
      <c r="V16" s="1393">
        <f t="shared" si="0"/>
        <v>0</v>
      </c>
      <c r="W16" s="932">
        <f t="shared" si="1"/>
        <v>0</v>
      </c>
    </row>
    <row r="17" spans="1:23" x14ac:dyDescent="0.25">
      <c r="A17" s="963" t="s">
        <v>502</v>
      </c>
      <c r="B17" s="934">
        <v>0</v>
      </c>
      <c r="C17" s="937">
        <v>0</v>
      </c>
      <c r="D17" s="935">
        <v>0</v>
      </c>
      <c r="E17" s="937">
        <v>0</v>
      </c>
      <c r="F17" s="935">
        <v>0</v>
      </c>
      <c r="G17" s="937">
        <v>0</v>
      </c>
      <c r="H17" s="935">
        <v>0</v>
      </c>
      <c r="I17" s="938">
        <v>0</v>
      </c>
      <c r="J17" s="939">
        <v>0</v>
      </c>
      <c r="K17" s="940">
        <v>0</v>
      </c>
      <c r="L17" s="934">
        <v>0</v>
      </c>
      <c r="M17" s="937">
        <v>0</v>
      </c>
      <c r="N17" s="934">
        <v>0</v>
      </c>
      <c r="O17" s="937">
        <v>0</v>
      </c>
      <c r="P17" s="934">
        <v>0</v>
      </c>
      <c r="Q17" s="938">
        <v>0</v>
      </c>
      <c r="R17" s="934">
        <v>0</v>
      </c>
      <c r="S17" s="941">
        <v>0</v>
      </c>
      <c r="T17" s="931">
        <f t="shared" si="5"/>
        <v>0</v>
      </c>
      <c r="U17" s="924">
        <f t="shared" si="5"/>
        <v>0</v>
      </c>
      <c r="V17" s="1393">
        <f t="shared" si="0"/>
        <v>0</v>
      </c>
      <c r="W17" s="932">
        <f t="shared" si="1"/>
        <v>0</v>
      </c>
    </row>
    <row r="18" spans="1:23" x14ac:dyDescent="0.25">
      <c r="A18" s="933" t="s">
        <v>997</v>
      </c>
      <c r="B18" s="934">
        <f t="shared" ref="B18:S18" si="6">SUM(B15:B17)</f>
        <v>0</v>
      </c>
      <c r="C18" s="940">
        <f t="shared" si="6"/>
        <v>0</v>
      </c>
      <c r="D18" s="934">
        <f t="shared" si="6"/>
        <v>0</v>
      </c>
      <c r="E18" s="940">
        <f t="shared" si="6"/>
        <v>0</v>
      </c>
      <c r="F18" s="934">
        <f t="shared" si="6"/>
        <v>0</v>
      </c>
      <c r="G18" s="940">
        <f t="shared" si="6"/>
        <v>0</v>
      </c>
      <c r="H18" s="934">
        <f t="shared" si="6"/>
        <v>0</v>
      </c>
      <c r="I18" s="940">
        <f t="shared" si="6"/>
        <v>0</v>
      </c>
      <c r="J18" s="934">
        <f>SUM(J15:J17)</f>
        <v>0</v>
      </c>
      <c r="K18" s="940">
        <f>SUM(K15:K17)</f>
        <v>0</v>
      </c>
      <c r="L18" s="934">
        <f t="shared" si="6"/>
        <v>0</v>
      </c>
      <c r="M18" s="940">
        <f t="shared" si="6"/>
        <v>0</v>
      </c>
      <c r="N18" s="934">
        <f t="shared" si="6"/>
        <v>0</v>
      </c>
      <c r="O18" s="940">
        <f t="shared" si="6"/>
        <v>0</v>
      </c>
      <c r="P18" s="934">
        <f t="shared" si="6"/>
        <v>0</v>
      </c>
      <c r="Q18" s="940">
        <f t="shared" si="6"/>
        <v>0</v>
      </c>
      <c r="R18" s="934">
        <f t="shared" si="6"/>
        <v>0</v>
      </c>
      <c r="S18" s="942">
        <f t="shared" si="6"/>
        <v>0</v>
      </c>
      <c r="T18" s="936">
        <f>SUM(T15:T17)</f>
        <v>0</v>
      </c>
      <c r="U18" s="940">
        <f>SUM(U15:U17)</f>
        <v>0</v>
      </c>
      <c r="V18" s="1231">
        <f t="shared" si="0"/>
        <v>0</v>
      </c>
      <c r="W18" s="932">
        <f t="shared" si="1"/>
        <v>0</v>
      </c>
    </row>
    <row r="19" spans="1:23" ht="15" customHeight="1" x14ac:dyDescent="0.25">
      <c r="A19" s="692" t="s">
        <v>998</v>
      </c>
      <c r="B19" s="116">
        <f t="shared" ref="B19:S19" si="7">B14+B18</f>
        <v>26</v>
      </c>
      <c r="C19" s="115">
        <f t="shared" si="7"/>
        <v>75</v>
      </c>
      <c r="D19" s="114">
        <f t="shared" si="7"/>
        <v>214</v>
      </c>
      <c r="E19" s="115">
        <f t="shared" si="7"/>
        <v>494</v>
      </c>
      <c r="F19" s="114">
        <f t="shared" si="7"/>
        <v>4</v>
      </c>
      <c r="G19" s="115">
        <f t="shared" si="7"/>
        <v>2</v>
      </c>
      <c r="H19" s="114">
        <f t="shared" si="7"/>
        <v>7</v>
      </c>
      <c r="I19" s="893">
        <f t="shared" si="7"/>
        <v>5</v>
      </c>
      <c r="J19" s="114">
        <f t="shared" si="7"/>
        <v>0</v>
      </c>
      <c r="K19" s="893">
        <f t="shared" si="7"/>
        <v>3</v>
      </c>
      <c r="L19" s="116">
        <f t="shared" si="7"/>
        <v>8</v>
      </c>
      <c r="M19" s="115">
        <f t="shared" si="7"/>
        <v>20</v>
      </c>
      <c r="N19" s="116">
        <f t="shared" si="7"/>
        <v>445</v>
      </c>
      <c r="O19" s="115">
        <f t="shared" si="7"/>
        <v>977</v>
      </c>
      <c r="P19" s="116">
        <f t="shared" si="7"/>
        <v>38</v>
      </c>
      <c r="Q19" s="893">
        <f t="shared" si="7"/>
        <v>80</v>
      </c>
      <c r="R19" s="116">
        <f t="shared" si="7"/>
        <v>15</v>
      </c>
      <c r="S19" s="117">
        <f t="shared" si="7"/>
        <v>33</v>
      </c>
      <c r="T19" s="590">
        <f>+B19+D19+F19+H19+J19+L19+N19+P19+R19</f>
        <v>757</v>
      </c>
      <c r="U19" s="943">
        <f>+C19+E19+G19+I19+K19+M19+O19+Q19+S19</f>
        <v>1689</v>
      </c>
      <c r="V19" s="118">
        <f t="shared" si="0"/>
        <v>2446</v>
      </c>
      <c r="W19" s="944">
        <f t="shared" si="1"/>
        <v>0.90559052202887824</v>
      </c>
    </row>
    <row r="20" spans="1:23" ht="30" customHeight="1" x14ac:dyDescent="0.25">
      <c r="A20" s="691" t="s">
        <v>999</v>
      </c>
      <c r="B20" s="316"/>
      <c r="C20" s="315"/>
      <c r="D20" s="314"/>
      <c r="E20" s="315"/>
      <c r="F20" s="314"/>
      <c r="G20" s="315"/>
      <c r="H20" s="314"/>
      <c r="I20" s="892"/>
      <c r="J20" s="922"/>
      <c r="K20" s="892"/>
      <c r="L20" s="316"/>
      <c r="M20" s="315"/>
      <c r="N20" s="316"/>
      <c r="O20" s="315"/>
      <c r="P20" s="316"/>
      <c r="Q20" s="894"/>
      <c r="R20" s="316"/>
      <c r="S20" s="338"/>
      <c r="T20" s="598"/>
      <c r="U20" s="315"/>
      <c r="V20" s="315"/>
      <c r="W20" s="315"/>
    </row>
    <row r="21" spans="1:23" x14ac:dyDescent="0.25">
      <c r="A21" s="923" t="s">
        <v>746</v>
      </c>
      <c r="B21" s="924">
        <v>0</v>
      </c>
      <c r="C21" s="925">
        <v>0</v>
      </c>
      <c r="D21" s="926">
        <v>0</v>
      </c>
      <c r="E21" s="925">
        <v>0</v>
      </c>
      <c r="F21" s="926">
        <v>0</v>
      </c>
      <c r="G21" s="925">
        <v>0</v>
      </c>
      <c r="H21" s="926">
        <v>0</v>
      </c>
      <c r="I21" s="929">
        <v>0</v>
      </c>
      <c r="J21" s="928">
        <v>0</v>
      </c>
      <c r="K21" s="927">
        <v>0</v>
      </c>
      <c r="L21" s="924">
        <v>0</v>
      </c>
      <c r="M21" s="925">
        <v>0</v>
      </c>
      <c r="N21" s="924">
        <v>0</v>
      </c>
      <c r="O21" s="925">
        <v>0</v>
      </c>
      <c r="P21" s="924">
        <v>0</v>
      </c>
      <c r="Q21" s="929">
        <v>0</v>
      </c>
      <c r="R21" s="924">
        <v>0</v>
      </c>
      <c r="S21" s="945">
        <v>0</v>
      </c>
      <c r="T21" s="931">
        <f>+B21+D21+F21+H21+J21+L21+N21+P21+R21</f>
        <v>0</v>
      </c>
      <c r="U21" s="924">
        <f>+C21+E21+G21+I21+K21+M21+O21+Q21+S21</f>
        <v>0</v>
      </c>
      <c r="V21" s="1393">
        <f t="shared" ref="V21:V27" si="8">T21+U21</f>
        <v>0</v>
      </c>
      <c r="W21" s="932">
        <f t="shared" ref="W21:W33" si="9">V21/$V$34</f>
        <v>0</v>
      </c>
    </row>
    <row r="22" spans="1:23" x14ac:dyDescent="0.25">
      <c r="A22" s="923" t="s">
        <v>747</v>
      </c>
      <c r="B22" s="924">
        <v>0</v>
      </c>
      <c r="C22" s="925">
        <v>0</v>
      </c>
      <c r="D22" s="926">
        <v>0</v>
      </c>
      <c r="E22" s="925">
        <v>0</v>
      </c>
      <c r="F22" s="926">
        <v>0</v>
      </c>
      <c r="G22" s="925">
        <v>0</v>
      </c>
      <c r="H22" s="926">
        <v>0</v>
      </c>
      <c r="I22" s="929">
        <v>0</v>
      </c>
      <c r="J22" s="928">
        <v>0</v>
      </c>
      <c r="K22" s="927">
        <v>0</v>
      </c>
      <c r="L22" s="924">
        <v>0</v>
      </c>
      <c r="M22" s="925">
        <v>0</v>
      </c>
      <c r="N22" s="924">
        <v>2</v>
      </c>
      <c r="O22" s="925">
        <v>2</v>
      </c>
      <c r="P22" s="924">
        <v>0</v>
      </c>
      <c r="Q22" s="929">
        <v>0</v>
      </c>
      <c r="R22" s="924">
        <v>0</v>
      </c>
      <c r="S22" s="945">
        <v>0</v>
      </c>
      <c r="T22" s="931">
        <f>+B22+D22+F22+H22+J22+L22+N22+P22+R22</f>
        <v>2</v>
      </c>
      <c r="U22" s="924">
        <f>+C22+E22+G22+I22+K22+M22+O22+Q22+S22</f>
        <v>2</v>
      </c>
      <c r="V22" s="1393">
        <f t="shared" si="8"/>
        <v>4</v>
      </c>
      <c r="W22" s="932">
        <f t="shared" si="9"/>
        <v>1.4809329877823029E-3</v>
      </c>
    </row>
    <row r="23" spans="1:23" x14ac:dyDescent="0.25">
      <c r="A23" s="923" t="s">
        <v>748</v>
      </c>
      <c r="B23" s="924">
        <f>+B22+B21</f>
        <v>0</v>
      </c>
      <c r="C23" s="925">
        <f t="shared" ref="C23:S23" si="10">+C22+C21</f>
        <v>0</v>
      </c>
      <c r="D23" s="924">
        <f t="shared" si="10"/>
        <v>0</v>
      </c>
      <c r="E23" s="927">
        <f t="shared" si="10"/>
        <v>0</v>
      </c>
      <c r="F23" s="924">
        <f t="shared" si="10"/>
        <v>0</v>
      </c>
      <c r="G23" s="925">
        <f t="shared" si="10"/>
        <v>0</v>
      </c>
      <c r="H23" s="926">
        <f t="shared" si="10"/>
        <v>0</v>
      </c>
      <c r="I23" s="929">
        <f t="shared" si="10"/>
        <v>0</v>
      </c>
      <c r="J23" s="926">
        <f t="shared" si="10"/>
        <v>0</v>
      </c>
      <c r="K23" s="929">
        <f t="shared" si="10"/>
        <v>0</v>
      </c>
      <c r="L23" s="924">
        <f t="shared" si="10"/>
        <v>0</v>
      </c>
      <c r="M23" s="925">
        <f t="shared" si="10"/>
        <v>0</v>
      </c>
      <c r="N23" s="926">
        <f t="shared" si="10"/>
        <v>2</v>
      </c>
      <c r="O23" s="925">
        <f t="shared" si="10"/>
        <v>2</v>
      </c>
      <c r="P23" s="926">
        <f t="shared" si="10"/>
        <v>0</v>
      </c>
      <c r="Q23" s="929">
        <f t="shared" si="10"/>
        <v>0</v>
      </c>
      <c r="R23" s="924">
        <f t="shared" si="10"/>
        <v>0</v>
      </c>
      <c r="S23" s="945">
        <f t="shared" si="10"/>
        <v>0</v>
      </c>
      <c r="T23" s="931">
        <f>B23+D23+F23+H23+L23+N23+R23</f>
        <v>2</v>
      </c>
      <c r="U23" s="924">
        <f>C23+E23+G23+I23+M23+O23+S23+Q23</f>
        <v>2</v>
      </c>
      <c r="V23" s="1393">
        <f t="shared" si="8"/>
        <v>4</v>
      </c>
      <c r="W23" s="932">
        <f t="shared" si="9"/>
        <v>1.4809329877823029E-3</v>
      </c>
    </row>
    <row r="24" spans="1:23" x14ac:dyDescent="0.25">
      <c r="A24" s="923" t="s">
        <v>990</v>
      </c>
      <c r="B24" s="924">
        <v>0</v>
      </c>
      <c r="C24" s="925">
        <v>0</v>
      </c>
      <c r="D24" s="926">
        <v>2</v>
      </c>
      <c r="E24" s="925">
        <v>1</v>
      </c>
      <c r="F24" s="926">
        <v>0</v>
      </c>
      <c r="G24" s="925">
        <v>0</v>
      </c>
      <c r="H24" s="926">
        <v>0</v>
      </c>
      <c r="I24" s="929">
        <v>0</v>
      </c>
      <c r="J24" s="928">
        <v>0</v>
      </c>
      <c r="K24" s="927">
        <v>0</v>
      </c>
      <c r="L24" s="924">
        <v>0</v>
      </c>
      <c r="M24" s="925">
        <v>0</v>
      </c>
      <c r="N24" s="924">
        <v>3</v>
      </c>
      <c r="O24" s="925">
        <v>6</v>
      </c>
      <c r="P24" s="924">
        <v>1</v>
      </c>
      <c r="Q24" s="929">
        <v>2</v>
      </c>
      <c r="R24" s="924">
        <v>0</v>
      </c>
      <c r="S24" s="945">
        <v>1</v>
      </c>
      <c r="T24" s="931">
        <f t="shared" ref="T24:U27" si="11">+B24+D24+F24+H24+J24+L24+N24+P24+R24</f>
        <v>6</v>
      </c>
      <c r="U24" s="924">
        <f t="shared" si="11"/>
        <v>10</v>
      </c>
      <c r="V24" s="1393">
        <f t="shared" si="8"/>
        <v>16</v>
      </c>
      <c r="W24" s="932">
        <f t="shared" si="9"/>
        <v>5.9237319511292116E-3</v>
      </c>
    </row>
    <row r="25" spans="1:23" x14ac:dyDescent="0.25">
      <c r="A25" s="923" t="s">
        <v>991</v>
      </c>
      <c r="B25" s="924">
        <v>0</v>
      </c>
      <c r="C25" s="925">
        <v>0</v>
      </c>
      <c r="D25" s="926">
        <v>1</v>
      </c>
      <c r="E25" s="925">
        <v>6</v>
      </c>
      <c r="F25" s="926">
        <v>0</v>
      </c>
      <c r="G25" s="925">
        <v>0</v>
      </c>
      <c r="H25" s="926">
        <v>0</v>
      </c>
      <c r="I25" s="929">
        <v>0</v>
      </c>
      <c r="J25" s="928">
        <v>0</v>
      </c>
      <c r="K25" s="927">
        <v>0</v>
      </c>
      <c r="L25" s="924">
        <v>0</v>
      </c>
      <c r="M25" s="925">
        <v>0</v>
      </c>
      <c r="N25" s="924">
        <v>5</v>
      </c>
      <c r="O25" s="925">
        <v>5</v>
      </c>
      <c r="P25" s="924">
        <v>0</v>
      </c>
      <c r="Q25" s="929">
        <v>1</v>
      </c>
      <c r="R25" s="924">
        <v>0</v>
      </c>
      <c r="S25" s="945">
        <v>0</v>
      </c>
      <c r="T25" s="931">
        <f t="shared" si="11"/>
        <v>6</v>
      </c>
      <c r="U25" s="924">
        <f t="shared" si="11"/>
        <v>12</v>
      </c>
      <c r="V25" s="1393">
        <f t="shared" si="8"/>
        <v>18</v>
      </c>
      <c r="W25" s="932">
        <f t="shared" si="9"/>
        <v>6.6641984450203631E-3</v>
      </c>
    </row>
    <row r="26" spans="1:23" x14ac:dyDescent="0.25">
      <c r="A26" s="923" t="s">
        <v>992</v>
      </c>
      <c r="B26" s="924">
        <v>3</v>
      </c>
      <c r="C26" s="925">
        <v>1</v>
      </c>
      <c r="D26" s="926">
        <v>25</v>
      </c>
      <c r="E26" s="925">
        <v>23</v>
      </c>
      <c r="F26" s="926">
        <v>0</v>
      </c>
      <c r="G26" s="925">
        <v>0</v>
      </c>
      <c r="H26" s="926">
        <v>0</v>
      </c>
      <c r="I26" s="929">
        <v>1</v>
      </c>
      <c r="J26" s="928">
        <v>0</v>
      </c>
      <c r="K26" s="927">
        <v>0</v>
      </c>
      <c r="L26" s="924">
        <v>1</v>
      </c>
      <c r="M26" s="925">
        <v>1</v>
      </c>
      <c r="N26" s="924">
        <v>19</v>
      </c>
      <c r="O26" s="925">
        <v>42</v>
      </c>
      <c r="P26" s="924">
        <v>2</v>
      </c>
      <c r="Q26" s="929">
        <v>5</v>
      </c>
      <c r="R26" s="924">
        <v>0</v>
      </c>
      <c r="S26" s="945">
        <v>0</v>
      </c>
      <c r="T26" s="931">
        <f t="shared" si="11"/>
        <v>50</v>
      </c>
      <c r="U26" s="924">
        <f t="shared" si="11"/>
        <v>73</v>
      </c>
      <c r="V26" s="1393">
        <f t="shared" si="8"/>
        <v>123</v>
      </c>
      <c r="W26" s="932">
        <f t="shared" si="9"/>
        <v>4.5538689374305816E-2</v>
      </c>
    </row>
    <row r="27" spans="1:23" x14ac:dyDescent="0.25">
      <c r="A27" s="923" t="s">
        <v>993</v>
      </c>
      <c r="B27" s="924">
        <v>0</v>
      </c>
      <c r="C27" s="925">
        <v>0</v>
      </c>
      <c r="D27" s="926">
        <v>6</v>
      </c>
      <c r="E27" s="925">
        <v>16</v>
      </c>
      <c r="F27" s="926">
        <v>0</v>
      </c>
      <c r="G27" s="925">
        <v>0</v>
      </c>
      <c r="H27" s="926">
        <v>0</v>
      </c>
      <c r="I27" s="929">
        <v>0</v>
      </c>
      <c r="J27" s="928">
        <v>0</v>
      </c>
      <c r="K27" s="927">
        <v>0</v>
      </c>
      <c r="L27" s="924">
        <v>0</v>
      </c>
      <c r="M27" s="925">
        <v>0</v>
      </c>
      <c r="N27" s="924">
        <v>7</v>
      </c>
      <c r="O27" s="925">
        <v>13</v>
      </c>
      <c r="P27" s="924">
        <v>3</v>
      </c>
      <c r="Q27" s="929">
        <v>5</v>
      </c>
      <c r="R27" s="924">
        <v>0</v>
      </c>
      <c r="S27" s="945">
        <v>2</v>
      </c>
      <c r="T27" s="931">
        <f t="shared" si="11"/>
        <v>16</v>
      </c>
      <c r="U27" s="924">
        <f t="shared" si="11"/>
        <v>36</v>
      </c>
      <c r="V27" s="1393">
        <f t="shared" si="8"/>
        <v>52</v>
      </c>
      <c r="W27" s="932">
        <f t="shared" si="9"/>
        <v>1.9252128841169936E-2</v>
      </c>
    </row>
    <row r="28" spans="1:23" x14ac:dyDescent="0.25">
      <c r="A28" s="933" t="s">
        <v>994</v>
      </c>
      <c r="B28" s="935">
        <f t="shared" ref="B28:S28" si="12">SUM(B23:B27)</f>
        <v>3</v>
      </c>
      <c r="C28" s="925">
        <f t="shared" si="12"/>
        <v>1</v>
      </c>
      <c r="D28" s="935">
        <f t="shared" si="12"/>
        <v>34</v>
      </c>
      <c r="E28" s="925">
        <f t="shared" si="12"/>
        <v>46</v>
      </c>
      <c r="F28" s="935">
        <f t="shared" si="12"/>
        <v>0</v>
      </c>
      <c r="G28" s="925">
        <f t="shared" si="12"/>
        <v>0</v>
      </c>
      <c r="H28" s="935">
        <f t="shared" si="12"/>
        <v>0</v>
      </c>
      <c r="I28" s="929">
        <f t="shared" si="12"/>
        <v>1</v>
      </c>
      <c r="J28" s="935">
        <f t="shared" si="12"/>
        <v>0</v>
      </c>
      <c r="K28" s="929">
        <f t="shared" si="12"/>
        <v>0</v>
      </c>
      <c r="L28" s="934">
        <f t="shared" si="12"/>
        <v>1</v>
      </c>
      <c r="M28" s="925">
        <f t="shared" si="12"/>
        <v>1</v>
      </c>
      <c r="N28" s="935">
        <f t="shared" si="12"/>
        <v>36</v>
      </c>
      <c r="O28" s="925">
        <f t="shared" si="12"/>
        <v>68</v>
      </c>
      <c r="P28" s="935">
        <f t="shared" si="12"/>
        <v>6</v>
      </c>
      <c r="Q28" s="929">
        <f t="shared" si="12"/>
        <v>13</v>
      </c>
      <c r="R28" s="934">
        <f t="shared" si="12"/>
        <v>0</v>
      </c>
      <c r="S28" s="945">
        <f t="shared" si="12"/>
        <v>3</v>
      </c>
      <c r="T28" s="936">
        <f>SUM(T23:T27)</f>
        <v>80</v>
      </c>
      <c r="U28" s="940">
        <f>SUM(U23:U27)</f>
        <v>133</v>
      </c>
      <c r="V28" s="1241">
        <f>+U28+T28</f>
        <v>213</v>
      </c>
      <c r="W28" s="932">
        <f t="shared" si="9"/>
        <v>7.8859681599407622E-2</v>
      </c>
    </row>
    <row r="29" spans="1:23" x14ac:dyDescent="0.25">
      <c r="A29" s="933" t="s">
        <v>501</v>
      </c>
      <c r="B29" s="934">
        <v>0</v>
      </c>
      <c r="C29" s="925">
        <v>0</v>
      </c>
      <c r="D29" s="935">
        <v>1</v>
      </c>
      <c r="E29" s="925">
        <v>1</v>
      </c>
      <c r="F29" s="935">
        <v>0</v>
      </c>
      <c r="G29" s="925">
        <v>0</v>
      </c>
      <c r="H29" s="935">
        <v>0</v>
      </c>
      <c r="I29" s="929">
        <v>0</v>
      </c>
      <c r="J29" s="928">
        <v>0</v>
      </c>
      <c r="K29" s="927">
        <v>0</v>
      </c>
      <c r="L29" s="934">
        <v>0</v>
      </c>
      <c r="M29" s="925">
        <v>0</v>
      </c>
      <c r="N29" s="934">
        <v>2</v>
      </c>
      <c r="O29" s="925">
        <v>4</v>
      </c>
      <c r="P29" s="934">
        <v>0</v>
      </c>
      <c r="Q29" s="929">
        <v>0</v>
      </c>
      <c r="R29" s="934">
        <v>0</v>
      </c>
      <c r="S29" s="945">
        <v>0</v>
      </c>
      <c r="T29" s="931">
        <f t="shared" ref="T29:U31" si="13">+B29+D29+F29+H29+J29+L29+N29+P29+R29</f>
        <v>3</v>
      </c>
      <c r="U29" s="929">
        <f t="shared" si="13"/>
        <v>5</v>
      </c>
      <c r="V29" s="1241">
        <f>+U29+T29</f>
        <v>8</v>
      </c>
      <c r="W29" s="932">
        <f t="shared" si="9"/>
        <v>2.9618659755646058E-3</v>
      </c>
    </row>
    <row r="30" spans="1:23" x14ac:dyDescent="0.25">
      <c r="A30" s="923" t="s">
        <v>502</v>
      </c>
      <c r="B30" s="934">
        <v>0</v>
      </c>
      <c r="C30" s="937">
        <v>1</v>
      </c>
      <c r="D30" s="935">
        <v>5</v>
      </c>
      <c r="E30" s="937">
        <v>4</v>
      </c>
      <c r="F30" s="935">
        <v>0</v>
      </c>
      <c r="G30" s="937">
        <v>0</v>
      </c>
      <c r="H30" s="935">
        <v>0</v>
      </c>
      <c r="I30" s="938">
        <v>0</v>
      </c>
      <c r="J30" s="939">
        <v>0</v>
      </c>
      <c r="K30" s="940">
        <v>0</v>
      </c>
      <c r="L30" s="934">
        <v>0</v>
      </c>
      <c r="M30" s="937">
        <v>0</v>
      </c>
      <c r="N30" s="934">
        <v>5</v>
      </c>
      <c r="O30" s="937">
        <v>10</v>
      </c>
      <c r="P30" s="934">
        <v>0</v>
      </c>
      <c r="Q30" s="938">
        <v>0</v>
      </c>
      <c r="R30" s="934">
        <v>0</v>
      </c>
      <c r="S30" s="946">
        <v>2</v>
      </c>
      <c r="T30" s="931">
        <f t="shared" si="13"/>
        <v>10</v>
      </c>
      <c r="U30" s="929">
        <f t="shared" si="13"/>
        <v>17</v>
      </c>
      <c r="V30" s="1231">
        <f>T30+U30</f>
        <v>27</v>
      </c>
      <c r="W30" s="932">
        <f t="shared" si="9"/>
        <v>9.9962976675305442E-3</v>
      </c>
    </row>
    <row r="31" spans="1:23" x14ac:dyDescent="0.25">
      <c r="A31" s="923" t="s">
        <v>1001</v>
      </c>
      <c r="B31" s="934">
        <v>0</v>
      </c>
      <c r="C31" s="937">
        <v>0</v>
      </c>
      <c r="D31" s="935">
        <v>0</v>
      </c>
      <c r="E31" s="937">
        <v>1</v>
      </c>
      <c r="F31" s="935">
        <v>0</v>
      </c>
      <c r="G31" s="937">
        <v>0</v>
      </c>
      <c r="H31" s="935">
        <v>0</v>
      </c>
      <c r="I31" s="938">
        <v>0</v>
      </c>
      <c r="J31" s="939">
        <v>0</v>
      </c>
      <c r="K31" s="940">
        <v>0</v>
      </c>
      <c r="L31" s="934">
        <v>0</v>
      </c>
      <c r="M31" s="937">
        <v>0</v>
      </c>
      <c r="N31" s="934">
        <v>0</v>
      </c>
      <c r="O31" s="937">
        <v>6</v>
      </c>
      <c r="P31" s="934">
        <v>0</v>
      </c>
      <c r="Q31" s="938">
        <v>0</v>
      </c>
      <c r="R31" s="934">
        <v>0</v>
      </c>
      <c r="S31" s="946">
        <v>0</v>
      </c>
      <c r="T31" s="931">
        <f t="shared" si="13"/>
        <v>0</v>
      </c>
      <c r="U31" s="929">
        <f t="shared" si="13"/>
        <v>7</v>
      </c>
      <c r="V31" s="1231">
        <f>T31+U31</f>
        <v>7</v>
      </c>
      <c r="W31" s="932">
        <f t="shared" si="9"/>
        <v>2.5916327286190301E-3</v>
      </c>
    </row>
    <row r="32" spans="1:23" x14ac:dyDescent="0.25">
      <c r="A32" s="933" t="s">
        <v>997</v>
      </c>
      <c r="B32" s="934">
        <f t="shared" ref="B32:U32" si="14">SUM(B29:B31)</f>
        <v>0</v>
      </c>
      <c r="C32" s="937">
        <f t="shared" si="14"/>
        <v>1</v>
      </c>
      <c r="D32" s="934">
        <f t="shared" si="14"/>
        <v>6</v>
      </c>
      <c r="E32" s="937">
        <f t="shared" si="14"/>
        <v>6</v>
      </c>
      <c r="F32" s="934">
        <f t="shared" si="14"/>
        <v>0</v>
      </c>
      <c r="G32" s="937">
        <f t="shared" si="14"/>
        <v>0</v>
      </c>
      <c r="H32" s="934">
        <f t="shared" si="14"/>
        <v>0</v>
      </c>
      <c r="I32" s="938">
        <f t="shared" si="14"/>
        <v>0</v>
      </c>
      <c r="J32" s="934">
        <f>SUM(J29:J31)</f>
        <v>0</v>
      </c>
      <c r="K32" s="938">
        <f>SUM(K29:K31)</f>
        <v>0</v>
      </c>
      <c r="L32" s="934">
        <f t="shared" si="14"/>
        <v>0</v>
      </c>
      <c r="M32" s="937">
        <f t="shared" si="14"/>
        <v>0</v>
      </c>
      <c r="N32" s="934">
        <f t="shared" si="14"/>
        <v>7</v>
      </c>
      <c r="O32" s="937">
        <f t="shared" si="14"/>
        <v>20</v>
      </c>
      <c r="P32" s="934">
        <f t="shared" si="14"/>
        <v>0</v>
      </c>
      <c r="Q32" s="938">
        <f t="shared" si="14"/>
        <v>0</v>
      </c>
      <c r="R32" s="934">
        <f t="shared" si="14"/>
        <v>0</v>
      </c>
      <c r="S32" s="947">
        <f t="shared" si="14"/>
        <v>2</v>
      </c>
      <c r="T32" s="931">
        <f t="shared" si="14"/>
        <v>13</v>
      </c>
      <c r="U32" s="938">
        <f t="shared" si="14"/>
        <v>29</v>
      </c>
      <c r="V32" s="1231">
        <f>T32+U32</f>
        <v>42</v>
      </c>
      <c r="W32" s="932">
        <f t="shared" si="9"/>
        <v>1.554979637171418E-2</v>
      </c>
    </row>
    <row r="33" spans="1:23" ht="15" customHeight="1" x14ac:dyDescent="0.25">
      <c r="A33" s="692" t="s">
        <v>1002</v>
      </c>
      <c r="B33" s="116">
        <f t="shared" ref="B33:S33" si="15">B28+B32</f>
        <v>3</v>
      </c>
      <c r="C33" s="115">
        <f t="shared" si="15"/>
        <v>2</v>
      </c>
      <c r="D33" s="114">
        <f t="shared" si="15"/>
        <v>40</v>
      </c>
      <c r="E33" s="115">
        <f t="shared" si="15"/>
        <v>52</v>
      </c>
      <c r="F33" s="114">
        <f t="shared" si="15"/>
        <v>0</v>
      </c>
      <c r="G33" s="115">
        <f t="shared" si="15"/>
        <v>0</v>
      </c>
      <c r="H33" s="114">
        <f t="shared" si="15"/>
        <v>0</v>
      </c>
      <c r="I33" s="893">
        <f t="shared" si="15"/>
        <v>1</v>
      </c>
      <c r="J33" s="114">
        <f t="shared" si="15"/>
        <v>0</v>
      </c>
      <c r="K33" s="893">
        <f t="shared" si="15"/>
        <v>0</v>
      </c>
      <c r="L33" s="116">
        <f t="shared" si="15"/>
        <v>1</v>
      </c>
      <c r="M33" s="115">
        <f t="shared" si="15"/>
        <v>1</v>
      </c>
      <c r="N33" s="116">
        <f t="shared" si="15"/>
        <v>43</v>
      </c>
      <c r="O33" s="115">
        <f t="shared" si="15"/>
        <v>88</v>
      </c>
      <c r="P33" s="116">
        <f t="shared" si="15"/>
        <v>6</v>
      </c>
      <c r="Q33" s="893">
        <f t="shared" si="15"/>
        <v>13</v>
      </c>
      <c r="R33" s="116">
        <f t="shared" si="15"/>
        <v>0</v>
      </c>
      <c r="S33" s="341">
        <f t="shared" si="15"/>
        <v>5</v>
      </c>
      <c r="T33" s="590">
        <f>+B33+D33+F33+H33+J33+L33+N33+P33+R33</f>
        <v>93</v>
      </c>
      <c r="U33" s="948">
        <f>+C33+E33+G33+I33+K33+M33+O33+Q33+S33</f>
        <v>162</v>
      </c>
      <c r="V33" s="115">
        <f>T33+U33</f>
        <v>255</v>
      </c>
      <c r="W33" s="944">
        <f t="shared" si="9"/>
        <v>9.4409477971121813E-2</v>
      </c>
    </row>
    <row r="34" spans="1:23" ht="30" customHeight="1" thickBot="1" x14ac:dyDescent="0.3">
      <c r="A34" s="693" t="s">
        <v>1003</v>
      </c>
      <c r="B34" s="694">
        <f t="shared" ref="B34:S34" si="16">B19+B33</f>
        <v>29</v>
      </c>
      <c r="C34" s="695">
        <f t="shared" si="16"/>
        <v>77</v>
      </c>
      <c r="D34" s="696">
        <f t="shared" si="16"/>
        <v>254</v>
      </c>
      <c r="E34" s="695">
        <f t="shared" si="16"/>
        <v>546</v>
      </c>
      <c r="F34" s="696">
        <f t="shared" si="16"/>
        <v>4</v>
      </c>
      <c r="G34" s="695">
        <f t="shared" si="16"/>
        <v>2</v>
      </c>
      <c r="H34" s="696">
        <f t="shared" si="16"/>
        <v>7</v>
      </c>
      <c r="I34" s="895">
        <f t="shared" si="16"/>
        <v>6</v>
      </c>
      <c r="J34" s="696">
        <f t="shared" si="16"/>
        <v>0</v>
      </c>
      <c r="K34" s="895">
        <f t="shared" si="16"/>
        <v>3</v>
      </c>
      <c r="L34" s="694">
        <f t="shared" si="16"/>
        <v>9</v>
      </c>
      <c r="M34" s="695">
        <f t="shared" si="16"/>
        <v>21</v>
      </c>
      <c r="N34" s="694">
        <f t="shared" si="16"/>
        <v>488</v>
      </c>
      <c r="O34" s="695">
        <f t="shared" si="16"/>
        <v>1065</v>
      </c>
      <c r="P34" s="694">
        <f t="shared" si="16"/>
        <v>44</v>
      </c>
      <c r="Q34" s="895">
        <f t="shared" si="16"/>
        <v>93</v>
      </c>
      <c r="R34" s="694">
        <f t="shared" si="16"/>
        <v>15</v>
      </c>
      <c r="S34" s="697">
        <f t="shared" si="16"/>
        <v>38</v>
      </c>
      <c r="T34" s="949">
        <f>+B34+D34+F34+H34+J34+L34+N34+P34+R34</f>
        <v>850</v>
      </c>
      <c r="U34" s="950">
        <f>+C34+E34+G34+I34+K34+M34+O34+Q34+S34</f>
        <v>1851</v>
      </c>
      <c r="V34" s="695">
        <f>T34+U34</f>
        <v>2701</v>
      </c>
      <c r="W34" s="951">
        <f>+W33+W19</f>
        <v>1</v>
      </c>
    </row>
    <row r="35" spans="1:23" x14ac:dyDescent="0.25">
      <c r="A35" s="952" t="s">
        <v>1004</v>
      </c>
      <c r="B35" s="952"/>
      <c r="C35" s="952"/>
      <c r="D35" s="952"/>
      <c r="E35" s="952"/>
      <c r="F35" s="952"/>
      <c r="G35" s="952"/>
      <c r="H35" s="952"/>
      <c r="I35" s="953"/>
      <c r="J35" s="953"/>
      <c r="K35" s="953"/>
      <c r="L35" s="953"/>
      <c r="M35" s="953"/>
      <c r="N35" s="953"/>
      <c r="O35" s="953"/>
      <c r="P35" s="953"/>
      <c r="Q35" s="953"/>
      <c r="R35" s="953"/>
      <c r="S35" s="953"/>
      <c r="T35" s="1398"/>
      <c r="U35" s="1398"/>
      <c r="V35" s="953"/>
      <c r="W35" s="953"/>
    </row>
    <row r="36" spans="1:23" x14ac:dyDescent="0.25">
      <c r="B36" s="2105"/>
      <c r="C36" s="953"/>
      <c r="D36" s="1152"/>
      <c r="E36" s="953"/>
      <c r="F36" s="953"/>
      <c r="G36" s="953"/>
      <c r="H36" s="953"/>
      <c r="I36" s="953"/>
      <c r="J36" s="953"/>
      <c r="K36" s="953"/>
      <c r="L36" s="953"/>
      <c r="M36" s="953"/>
      <c r="N36" s="953"/>
      <c r="O36" s="953"/>
      <c r="P36" s="953"/>
      <c r="Q36" s="953"/>
      <c r="R36" s="953"/>
      <c r="S36" s="953"/>
      <c r="T36" s="953"/>
      <c r="U36" s="953"/>
      <c r="V36" s="953"/>
      <c r="W36" s="953"/>
    </row>
    <row r="37" spans="1:23" x14ac:dyDescent="0.25">
      <c r="B37" s="953"/>
      <c r="C37" s="953"/>
      <c r="D37" s="953"/>
      <c r="E37" s="953"/>
      <c r="F37" s="953"/>
      <c r="G37" s="953"/>
      <c r="H37" s="953"/>
      <c r="I37" s="953"/>
      <c r="J37" s="953"/>
      <c r="K37" s="953"/>
      <c r="L37" s="953"/>
      <c r="M37" s="953"/>
      <c r="N37" s="953"/>
      <c r="O37" s="953"/>
      <c r="P37" s="953"/>
      <c r="Q37" s="953"/>
      <c r="R37" s="953"/>
      <c r="S37" s="953"/>
      <c r="T37" s="953"/>
      <c r="U37" s="953"/>
      <c r="V37" s="953"/>
      <c r="W37" s="953"/>
    </row>
    <row r="38" spans="1:23" x14ac:dyDescent="0.25">
      <c r="B38" s="953"/>
      <c r="C38" s="953"/>
      <c r="D38" s="953"/>
      <c r="E38" s="953"/>
      <c r="F38" s="953"/>
      <c r="G38" s="953"/>
      <c r="H38" s="953"/>
      <c r="I38" s="953"/>
      <c r="J38" s="953"/>
      <c r="K38" s="953"/>
      <c r="L38" s="953"/>
      <c r="M38" s="953"/>
      <c r="N38" s="953"/>
      <c r="O38" s="953"/>
      <c r="P38" s="953"/>
      <c r="Q38" s="953"/>
      <c r="R38" s="953"/>
      <c r="S38" s="953"/>
      <c r="T38" s="953"/>
      <c r="U38" s="953"/>
      <c r="V38" s="953"/>
      <c r="W38" s="953"/>
    </row>
    <row r="39" spans="1:23" s="1400" customFormat="1" x14ac:dyDescent="0.25">
      <c r="A39" s="1399"/>
    </row>
  </sheetData>
  <mergeCells count="8">
    <mergeCell ref="B3:C3"/>
    <mergeCell ref="F3:G3"/>
    <mergeCell ref="R3:S3"/>
    <mergeCell ref="F4:G4"/>
    <mergeCell ref="H4:I4"/>
    <mergeCell ref="J4:K4"/>
    <mergeCell ref="N4:O4"/>
    <mergeCell ref="P4:Q4"/>
  </mergeCells>
  <pageMargins left="0.7" right="0.7" top="0.75" bottom="0.75" header="0.3" footer="0.3"/>
  <pageSetup scale="6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S143"/>
  <sheetViews>
    <sheetView zoomScale="60" zoomScaleNormal="60" workbookViewId="0">
      <selection sqref="A1:AS1"/>
    </sheetView>
  </sheetViews>
  <sheetFormatPr defaultColWidth="6.6640625" defaultRowHeight="13.2" x14ac:dyDescent="0.25"/>
  <cols>
    <col min="1" max="1" width="57.88671875" style="119" bestFit="1" customWidth="1"/>
    <col min="2" max="5" width="10.33203125" style="119" hidden="1" customWidth="1"/>
    <col min="6" max="20" width="11.33203125" style="119" hidden="1" customWidth="1"/>
    <col min="21" max="133" width="11.33203125" style="119" customWidth="1"/>
    <col min="134" max="16384" width="6.6640625" style="119"/>
  </cols>
  <sheetData>
    <row r="1" spans="1:45" ht="24.75" customHeight="1" x14ac:dyDescent="0.35">
      <c r="A1" s="2137" t="s">
        <v>1005</v>
      </c>
      <c r="B1" s="2137"/>
      <c r="C1" s="2137"/>
      <c r="D1" s="2137"/>
      <c r="E1" s="2137"/>
      <c r="F1" s="2137"/>
      <c r="G1" s="2137"/>
      <c r="H1" s="2137"/>
      <c r="I1" s="2137"/>
      <c r="J1" s="2137"/>
      <c r="K1" s="2137"/>
      <c r="L1" s="2137"/>
      <c r="M1" s="2137"/>
      <c r="N1" s="2137"/>
      <c r="O1" s="2137"/>
      <c r="P1" s="2137"/>
      <c r="Q1" s="2137"/>
      <c r="R1" s="2137"/>
      <c r="S1" s="2137"/>
      <c r="T1" s="2137"/>
      <c r="U1" s="2137"/>
      <c r="V1" s="2137"/>
      <c r="W1" s="2137"/>
      <c r="X1" s="2137"/>
      <c r="Y1" s="2137"/>
      <c r="Z1" s="2137"/>
      <c r="AA1" s="2137"/>
      <c r="AB1" s="2137"/>
      <c r="AC1" s="2137"/>
      <c r="AD1" s="2137"/>
      <c r="AE1" s="2137"/>
      <c r="AF1" s="2137"/>
      <c r="AG1" s="2137"/>
      <c r="AH1" s="2137"/>
      <c r="AI1" s="2137"/>
      <c r="AJ1" s="2137"/>
      <c r="AK1" s="2137"/>
      <c r="AL1" s="2137"/>
      <c r="AM1" s="2137"/>
      <c r="AN1" s="2137"/>
      <c r="AO1" s="2137"/>
      <c r="AP1" s="2137"/>
      <c r="AQ1" s="2137"/>
      <c r="AR1" s="2137"/>
      <c r="AS1" s="2137"/>
    </row>
    <row r="2" spans="1:45" ht="12.75" customHeight="1" thickBot="1" x14ac:dyDescent="0.3">
      <c r="A2" s="120"/>
      <c r="B2" s="122"/>
      <c r="C2" s="122"/>
      <c r="D2" s="122"/>
      <c r="E2" s="122"/>
      <c r="F2" s="122"/>
      <c r="G2" s="122"/>
      <c r="H2" s="122"/>
      <c r="I2" s="122"/>
      <c r="J2" s="122"/>
      <c r="K2" s="122"/>
      <c r="L2" s="122"/>
      <c r="M2" s="122"/>
      <c r="N2" s="280"/>
      <c r="O2" s="280"/>
      <c r="P2" s="122"/>
      <c r="Q2" s="122"/>
      <c r="R2" s="122"/>
      <c r="S2" s="280"/>
      <c r="T2" s="280"/>
      <c r="U2" s="122"/>
      <c r="V2" s="122"/>
      <c r="W2" s="122"/>
      <c r="X2" s="280"/>
      <c r="Y2" s="280"/>
      <c r="Z2" s="280"/>
      <c r="AA2" s="280"/>
      <c r="AB2" s="280"/>
      <c r="AC2" s="280"/>
      <c r="AD2" s="280"/>
      <c r="AE2" s="280"/>
      <c r="AF2" s="280"/>
      <c r="AG2" s="280"/>
      <c r="AH2" s="280"/>
      <c r="AI2" s="280"/>
    </row>
    <row r="3" spans="1:45" customFormat="1" ht="18" thickBot="1" x14ac:dyDescent="0.35">
      <c r="A3" s="2134" t="s">
        <v>428</v>
      </c>
      <c r="B3" s="2135"/>
      <c r="C3" s="2135"/>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6"/>
    </row>
    <row r="4" spans="1:45" ht="26.4" x14ac:dyDescent="0.25">
      <c r="A4" s="2142" t="s">
        <v>1006</v>
      </c>
      <c r="B4" s="1711" t="s">
        <v>1008</v>
      </c>
      <c r="C4" s="1711" t="s">
        <v>1009</v>
      </c>
      <c r="D4" s="1711" t="s">
        <v>1010</v>
      </c>
      <c r="E4" s="680" t="s">
        <v>1011</v>
      </c>
      <c r="F4" s="1711" t="s">
        <v>1008</v>
      </c>
      <c r="G4" s="1711" t="s">
        <v>1009</v>
      </c>
      <c r="H4" s="1711" t="s">
        <v>1010</v>
      </c>
      <c r="I4" s="1897" t="s">
        <v>1011</v>
      </c>
      <c r="J4" s="584" t="s">
        <v>1012</v>
      </c>
      <c r="K4" s="1711" t="s">
        <v>1008</v>
      </c>
      <c r="L4" s="1711" t="s">
        <v>1009</v>
      </c>
      <c r="M4" s="1711" t="s">
        <v>1010</v>
      </c>
      <c r="N4" s="1897" t="s">
        <v>1011</v>
      </c>
      <c r="O4" s="1715" t="s">
        <v>1012</v>
      </c>
      <c r="P4" s="1711" t="s">
        <v>1008</v>
      </c>
      <c r="Q4" s="1711" t="s">
        <v>1009</v>
      </c>
      <c r="R4" s="1711" t="s">
        <v>1010</v>
      </c>
      <c r="S4" s="1897" t="s">
        <v>1011</v>
      </c>
      <c r="T4" s="1151" t="s">
        <v>1012</v>
      </c>
      <c r="U4" s="1711" t="s">
        <v>1008</v>
      </c>
      <c r="V4" s="1711" t="s">
        <v>1009</v>
      </c>
      <c r="W4" s="1711" t="s">
        <v>1010</v>
      </c>
      <c r="X4" s="1897" t="s">
        <v>1011</v>
      </c>
      <c r="Y4" s="584" t="s">
        <v>1012</v>
      </c>
      <c r="Z4" s="1711" t="s">
        <v>1008</v>
      </c>
      <c r="AA4" s="1711" t="s">
        <v>1009</v>
      </c>
      <c r="AB4" s="1711" t="s">
        <v>1010</v>
      </c>
      <c r="AC4" s="1897" t="s">
        <v>1011</v>
      </c>
      <c r="AD4" s="584" t="s">
        <v>1012</v>
      </c>
      <c r="AE4" s="1711" t="s">
        <v>1008</v>
      </c>
      <c r="AF4" s="1711" t="s">
        <v>1009</v>
      </c>
      <c r="AG4" s="1711" t="s">
        <v>1010</v>
      </c>
      <c r="AH4" s="1897" t="s">
        <v>1011</v>
      </c>
      <c r="AI4" s="584" t="s">
        <v>1012</v>
      </c>
      <c r="AJ4" s="1711" t="s">
        <v>1008</v>
      </c>
      <c r="AK4" s="1711" t="s">
        <v>1009</v>
      </c>
      <c r="AL4" s="1711" t="s">
        <v>1010</v>
      </c>
      <c r="AM4" s="1897" t="s">
        <v>1011</v>
      </c>
      <c r="AN4" s="1715" t="s">
        <v>1012</v>
      </c>
      <c r="AO4" s="1711" t="s">
        <v>1008</v>
      </c>
      <c r="AP4" s="1711" t="s">
        <v>1009</v>
      </c>
      <c r="AQ4" s="1711" t="s">
        <v>1010</v>
      </c>
      <c r="AR4" s="1897" t="s">
        <v>1011</v>
      </c>
      <c r="AS4" s="1715" t="s">
        <v>1012</v>
      </c>
    </row>
    <row r="5" spans="1:45" x14ac:dyDescent="0.25">
      <c r="A5" s="2143"/>
      <c r="B5" s="1257" t="s">
        <v>1500</v>
      </c>
      <c r="C5" s="1711"/>
      <c r="D5" s="1711"/>
      <c r="E5" s="584"/>
      <c r="F5" s="1257" t="s">
        <v>1499</v>
      </c>
      <c r="G5" s="1711"/>
      <c r="H5" s="1711"/>
      <c r="I5" s="1711"/>
      <c r="J5" s="679"/>
      <c r="K5" s="2138" t="s">
        <v>1448</v>
      </c>
      <c r="L5" s="2139"/>
      <c r="M5" s="2139"/>
      <c r="N5" s="2139"/>
      <c r="O5" s="2140"/>
      <c r="P5" s="1868" t="s">
        <v>1449</v>
      </c>
      <c r="Q5" s="1711"/>
      <c r="R5" s="1711"/>
      <c r="S5" s="1711"/>
      <c r="T5" s="679"/>
      <c r="U5" s="1868" t="s">
        <v>1450</v>
      </c>
      <c r="V5" s="1711"/>
      <c r="W5" s="1711"/>
      <c r="X5" s="1711"/>
      <c r="Y5" s="679"/>
      <c r="Z5" s="1868" t="s">
        <v>1551</v>
      </c>
      <c r="AA5" s="1711"/>
      <c r="AB5" s="1711"/>
      <c r="AC5" s="1711"/>
      <c r="AD5" s="679"/>
      <c r="AE5" s="1868" t="s">
        <v>1614</v>
      </c>
      <c r="AF5" s="1711"/>
      <c r="AG5" s="1711"/>
      <c r="AH5" s="1711"/>
      <c r="AI5" s="679"/>
      <c r="AJ5" s="1868" t="s">
        <v>1651</v>
      </c>
      <c r="AK5" s="1711"/>
      <c r="AL5" s="1711"/>
      <c r="AM5" s="1711"/>
      <c r="AN5" s="679"/>
      <c r="AO5" s="1868" t="s">
        <v>1738</v>
      </c>
      <c r="AP5" s="1711"/>
      <c r="AQ5" s="1711"/>
      <c r="AR5" s="1711"/>
      <c r="AS5" s="679"/>
    </row>
    <row r="6" spans="1:45" x14ac:dyDescent="0.25">
      <c r="A6" s="1318" t="s">
        <v>431</v>
      </c>
      <c r="B6" s="1873"/>
      <c r="C6" s="1874"/>
      <c r="D6" s="1874"/>
      <c r="E6" s="281"/>
      <c r="F6" s="1873"/>
      <c r="G6" s="1874"/>
      <c r="H6" s="1874"/>
      <c r="I6" s="1874"/>
      <c r="J6" s="281"/>
      <c r="K6" s="1873"/>
      <c r="L6" s="1874"/>
      <c r="M6" s="1874"/>
      <c r="N6" s="1874"/>
      <c r="O6" s="1875"/>
      <c r="P6" s="1873"/>
      <c r="Q6" s="1874"/>
      <c r="R6" s="1874"/>
      <c r="S6" s="1874"/>
      <c r="T6" s="281"/>
      <c r="U6" s="1873"/>
      <c r="V6" s="1874"/>
      <c r="W6" s="1874"/>
      <c r="X6" s="1874"/>
      <c r="Y6" s="281"/>
      <c r="Z6" s="1873"/>
      <c r="AA6" s="1874"/>
      <c r="AB6" s="1874"/>
      <c r="AC6" s="1874"/>
      <c r="AD6" s="281"/>
      <c r="AE6" s="1873"/>
      <c r="AF6" s="1874"/>
      <c r="AG6" s="1874"/>
      <c r="AH6" s="1874"/>
      <c r="AI6" s="281"/>
      <c r="AJ6" s="1873"/>
      <c r="AK6" s="1874"/>
      <c r="AL6" s="1874"/>
      <c r="AM6" s="1874"/>
      <c r="AN6" s="1875"/>
      <c r="AO6" s="1873"/>
      <c r="AP6" s="1874"/>
      <c r="AQ6" s="1874"/>
      <c r="AR6" s="1874"/>
      <c r="AS6" s="1875"/>
    </row>
    <row r="7" spans="1:45" x14ac:dyDescent="0.25">
      <c r="A7" s="1319" t="s">
        <v>1016</v>
      </c>
      <c r="B7" s="1677">
        <v>312</v>
      </c>
      <c r="C7" s="1677">
        <v>162</v>
      </c>
      <c r="D7" s="1896">
        <v>0</v>
      </c>
      <c r="E7" s="282">
        <f t="shared" ref="E7:E14" si="0">SUM(B7:D7)</f>
        <v>474</v>
      </c>
      <c r="F7" s="1677">
        <v>357</v>
      </c>
      <c r="G7" s="1677">
        <v>204</v>
      </c>
      <c r="H7" s="1896">
        <v>0</v>
      </c>
      <c r="I7" s="1680">
        <f t="shared" ref="I7:I14" si="1">SUM(F7:H7)</f>
        <v>561</v>
      </c>
      <c r="J7" s="505">
        <f t="shared" ref="J7:J15" si="2">IF(E7&gt;0,(I7-E7)/E7,(IF(I7=0,"N/A",100%)))</f>
        <v>0.18354430379746836</v>
      </c>
      <c r="K7" s="1680">
        <v>315</v>
      </c>
      <c r="L7" s="1680">
        <v>357</v>
      </c>
      <c r="M7" s="1681">
        <v>0</v>
      </c>
      <c r="N7" s="1680">
        <f t="shared" ref="N7:N14" si="3">SUM(K7:M7)</f>
        <v>672</v>
      </c>
      <c r="O7" s="1679">
        <f t="shared" ref="O7:O15" si="4">IF(I7&gt;0,(N7-I7)/I7,(IF(N7=0,"N/A",100%)))</f>
        <v>0.19786096256684493</v>
      </c>
      <c r="P7" s="1680">
        <v>396</v>
      </c>
      <c r="Q7" s="1680">
        <v>306</v>
      </c>
      <c r="R7" s="1681">
        <v>0</v>
      </c>
      <c r="S7" s="1680">
        <f t="shared" ref="S7:S14" si="5">SUM(P7:R7)</f>
        <v>702</v>
      </c>
      <c r="T7" s="505">
        <f t="shared" ref="T7:T15" si="6">IF(N7&gt;0,(S7-N7)/N7,(IF(S7=0,"N/A",100%)))</f>
        <v>4.4642857142857144E-2</v>
      </c>
      <c r="U7" s="1680">
        <v>414</v>
      </c>
      <c r="V7" s="1680">
        <v>285</v>
      </c>
      <c r="W7" s="1681">
        <v>0</v>
      </c>
      <c r="X7" s="1680">
        <f t="shared" ref="X7:X14" si="7">SUM(U7:W7)</f>
        <v>699</v>
      </c>
      <c r="Y7" s="505">
        <f t="shared" ref="Y7:Y15" si="8">IF(S7&gt;0,(X7-S7)/S7,(IF(X7=0,"N/A",100%)))</f>
        <v>-4.2735042735042739E-3</v>
      </c>
      <c r="Z7" s="1680">
        <v>399</v>
      </c>
      <c r="AA7" s="1680">
        <v>329</v>
      </c>
      <c r="AB7" s="1681">
        <v>0</v>
      </c>
      <c r="AC7" s="1680">
        <f t="shared" ref="AC7:AC14" si="9">SUM(Z7:AB7)</f>
        <v>728</v>
      </c>
      <c r="AD7" s="505">
        <f t="shared" ref="AD7:AD15" si="10">IF(X7&gt;0,(AC7-X7)/X7,(IF(AC7=0,"N/A",100%)))</f>
        <v>4.1487839771101577E-2</v>
      </c>
      <c r="AE7" s="1680">
        <v>444</v>
      </c>
      <c r="AF7" s="1680">
        <v>336</v>
      </c>
      <c r="AG7" s="1681">
        <v>0</v>
      </c>
      <c r="AH7" s="1680">
        <f t="shared" ref="AH7:AH14" si="11">SUM(AE7:AG7)</f>
        <v>780</v>
      </c>
      <c r="AI7" s="505">
        <f t="shared" ref="AI7:AI15" si="12">IF(AC7&gt;0,(AH7-AC7)/AC7,(IF(AH7=0,"N/A",100%)))</f>
        <v>7.1428571428571425E-2</v>
      </c>
      <c r="AJ7" s="1680">
        <v>456</v>
      </c>
      <c r="AK7" s="1680">
        <v>275</v>
      </c>
      <c r="AL7" s="1681">
        <v>0</v>
      </c>
      <c r="AM7" s="1680">
        <f t="shared" ref="AM7:AM14" si="13">SUM(AJ7:AL7)</f>
        <v>731</v>
      </c>
      <c r="AN7" s="1679">
        <f t="shared" ref="AN7:AN15" si="14">IF(AH7&gt;0,(AM7-AH7)/AH7,(IF(AM7=0,"N/A",100%)))</f>
        <v>-6.2820512820512819E-2</v>
      </c>
      <c r="AO7" s="1680">
        <v>417</v>
      </c>
      <c r="AP7" s="1680">
        <v>225</v>
      </c>
      <c r="AQ7" s="1681">
        <v>0</v>
      </c>
      <c r="AR7" s="1680">
        <f t="shared" ref="AR7:AR14" si="15">SUM(AO7:AQ7)</f>
        <v>642</v>
      </c>
      <c r="AS7" s="1679">
        <f t="shared" ref="AS7:AS15" si="16">IF(AM7&gt;0,(AR7-AM7)/AM7,(IF(AR7=0,"N/A",100%)))</f>
        <v>-0.12175102599179206</v>
      </c>
    </row>
    <row r="8" spans="1:45" s="124" customFormat="1" x14ac:dyDescent="0.25">
      <c r="A8" s="1321" t="s">
        <v>1017</v>
      </c>
      <c r="B8" s="1677">
        <v>727</v>
      </c>
      <c r="C8" s="1677">
        <v>572</v>
      </c>
      <c r="D8" s="1896">
        <v>0</v>
      </c>
      <c r="E8" s="282">
        <f t="shared" si="0"/>
        <v>1299</v>
      </c>
      <c r="F8" s="1677">
        <v>1059</v>
      </c>
      <c r="G8" s="1677">
        <v>630</v>
      </c>
      <c r="H8" s="1896">
        <v>0</v>
      </c>
      <c r="I8" s="1680">
        <f t="shared" si="1"/>
        <v>1689</v>
      </c>
      <c r="J8" s="505">
        <f t="shared" si="2"/>
        <v>0.30023094688221708</v>
      </c>
      <c r="K8" s="1680">
        <v>984</v>
      </c>
      <c r="L8" s="1680">
        <v>748</v>
      </c>
      <c r="M8" s="1681">
        <v>0</v>
      </c>
      <c r="N8" s="1680">
        <f t="shared" si="3"/>
        <v>1732</v>
      </c>
      <c r="O8" s="1679">
        <f t="shared" si="4"/>
        <v>2.5458851391355831E-2</v>
      </c>
      <c r="P8" s="1680">
        <v>966</v>
      </c>
      <c r="Q8" s="1680">
        <v>610</v>
      </c>
      <c r="R8" s="1681">
        <v>0</v>
      </c>
      <c r="S8" s="1680">
        <f t="shared" si="5"/>
        <v>1576</v>
      </c>
      <c r="T8" s="505">
        <f t="shared" si="6"/>
        <v>-9.0069284064665134E-2</v>
      </c>
      <c r="U8" s="1680">
        <v>981</v>
      </c>
      <c r="V8" s="1680">
        <v>644</v>
      </c>
      <c r="W8" s="1681">
        <v>0</v>
      </c>
      <c r="X8" s="1680">
        <f t="shared" si="7"/>
        <v>1625</v>
      </c>
      <c r="Y8" s="505">
        <f t="shared" si="8"/>
        <v>3.1091370558375634E-2</v>
      </c>
      <c r="Z8" s="1680">
        <v>1011</v>
      </c>
      <c r="AA8" s="1680">
        <v>695</v>
      </c>
      <c r="AB8" s="1681">
        <v>0</v>
      </c>
      <c r="AC8" s="1680">
        <f t="shared" si="9"/>
        <v>1706</v>
      </c>
      <c r="AD8" s="505">
        <f t="shared" si="10"/>
        <v>4.9846153846153846E-2</v>
      </c>
      <c r="AE8" s="1680">
        <v>804</v>
      </c>
      <c r="AF8" s="1680">
        <v>714</v>
      </c>
      <c r="AG8" s="1681">
        <v>0</v>
      </c>
      <c r="AH8" s="1680">
        <f t="shared" si="11"/>
        <v>1518</v>
      </c>
      <c r="AI8" s="505">
        <f t="shared" si="12"/>
        <v>-0.11019929660023446</v>
      </c>
      <c r="AJ8" s="1680">
        <v>900</v>
      </c>
      <c r="AK8" s="1680">
        <v>669</v>
      </c>
      <c r="AL8" s="1681">
        <v>0</v>
      </c>
      <c r="AM8" s="1680">
        <f t="shared" si="13"/>
        <v>1569</v>
      </c>
      <c r="AN8" s="1679">
        <f t="shared" si="14"/>
        <v>3.3596837944664032E-2</v>
      </c>
      <c r="AO8" s="1680">
        <v>926</v>
      </c>
      <c r="AP8" s="1680">
        <v>747</v>
      </c>
      <c r="AQ8" s="1681">
        <v>0</v>
      </c>
      <c r="AR8" s="1680">
        <f t="shared" si="15"/>
        <v>1673</v>
      </c>
      <c r="AS8" s="1679">
        <f t="shared" si="16"/>
        <v>6.6284257488846393E-2</v>
      </c>
    </row>
    <row r="9" spans="1:45" x14ac:dyDescent="0.25">
      <c r="A9" s="1319" t="s">
        <v>1018</v>
      </c>
      <c r="B9" s="1677">
        <v>27</v>
      </c>
      <c r="C9" s="1677">
        <v>0</v>
      </c>
      <c r="D9" s="1896">
        <v>0</v>
      </c>
      <c r="E9" s="282">
        <f t="shared" si="0"/>
        <v>27</v>
      </c>
      <c r="F9" s="1677">
        <v>45</v>
      </c>
      <c r="G9" s="1677">
        <v>0</v>
      </c>
      <c r="H9" s="1896">
        <v>0</v>
      </c>
      <c r="I9" s="1680">
        <f t="shared" si="1"/>
        <v>45</v>
      </c>
      <c r="J9" s="505">
        <f t="shared" si="2"/>
        <v>0.66666666666666663</v>
      </c>
      <c r="K9" s="1680">
        <v>24</v>
      </c>
      <c r="L9" s="1680">
        <v>0</v>
      </c>
      <c r="M9" s="1681">
        <v>0</v>
      </c>
      <c r="N9" s="1680">
        <f t="shared" si="3"/>
        <v>24</v>
      </c>
      <c r="O9" s="1679">
        <f t="shared" si="4"/>
        <v>-0.46666666666666667</v>
      </c>
      <c r="P9" s="1680">
        <v>18</v>
      </c>
      <c r="Q9" s="1680">
        <v>0</v>
      </c>
      <c r="R9" s="1681">
        <v>0</v>
      </c>
      <c r="S9" s="1680">
        <f t="shared" si="5"/>
        <v>18</v>
      </c>
      <c r="T9" s="505">
        <f t="shared" si="6"/>
        <v>-0.25</v>
      </c>
      <c r="U9" s="1680">
        <v>29</v>
      </c>
      <c r="V9" s="1680">
        <v>0</v>
      </c>
      <c r="W9" s="1681">
        <v>0</v>
      </c>
      <c r="X9" s="1680">
        <f t="shared" si="7"/>
        <v>29</v>
      </c>
      <c r="Y9" s="505">
        <f t="shared" si="8"/>
        <v>0.61111111111111116</v>
      </c>
      <c r="Z9" s="1680">
        <v>18</v>
      </c>
      <c r="AA9" s="1680">
        <v>0</v>
      </c>
      <c r="AB9" s="1681">
        <v>0</v>
      </c>
      <c r="AC9" s="1680">
        <f t="shared" si="9"/>
        <v>18</v>
      </c>
      <c r="AD9" s="505">
        <f t="shared" si="10"/>
        <v>-0.37931034482758619</v>
      </c>
      <c r="AE9" s="1680">
        <v>3</v>
      </c>
      <c r="AF9" s="1680">
        <v>0</v>
      </c>
      <c r="AG9" s="1681">
        <v>0</v>
      </c>
      <c r="AH9" s="1680">
        <f t="shared" si="11"/>
        <v>3</v>
      </c>
      <c r="AI9" s="505">
        <f t="shared" si="12"/>
        <v>-0.83333333333333337</v>
      </c>
      <c r="AJ9" s="1680">
        <v>23</v>
      </c>
      <c r="AK9" s="1680">
        <v>0</v>
      </c>
      <c r="AL9" s="1681">
        <v>0</v>
      </c>
      <c r="AM9" s="1680">
        <f t="shared" si="13"/>
        <v>23</v>
      </c>
      <c r="AN9" s="1679">
        <f t="shared" si="14"/>
        <v>6.666666666666667</v>
      </c>
      <c r="AO9" s="1680">
        <v>4</v>
      </c>
      <c r="AP9" s="1680">
        <v>0</v>
      </c>
      <c r="AQ9" s="1681">
        <v>0</v>
      </c>
      <c r="AR9" s="1680">
        <f t="shared" si="15"/>
        <v>4</v>
      </c>
      <c r="AS9" s="1679">
        <f t="shared" si="16"/>
        <v>-0.82608695652173914</v>
      </c>
    </row>
    <row r="10" spans="1:45" x14ac:dyDescent="0.25">
      <c r="A10" s="1319" t="s">
        <v>1019</v>
      </c>
      <c r="B10" s="1677">
        <v>738</v>
      </c>
      <c r="C10" s="1677">
        <v>93</v>
      </c>
      <c r="D10" s="1896">
        <v>0</v>
      </c>
      <c r="E10" s="282">
        <f t="shared" si="0"/>
        <v>831</v>
      </c>
      <c r="F10" s="1677">
        <v>789</v>
      </c>
      <c r="G10" s="1677">
        <v>84</v>
      </c>
      <c r="H10" s="1896">
        <v>0</v>
      </c>
      <c r="I10" s="1680">
        <f t="shared" si="1"/>
        <v>873</v>
      </c>
      <c r="J10" s="505">
        <f t="shared" si="2"/>
        <v>5.0541516245487361E-2</v>
      </c>
      <c r="K10" s="1680">
        <v>990</v>
      </c>
      <c r="L10" s="1680">
        <v>99</v>
      </c>
      <c r="M10" s="1681">
        <v>0</v>
      </c>
      <c r="N10" s="1680">
        <f t="shared" si="3"/>
        <v>1089</v>
      </c>
      <c r="O10" s="1679">
        <f t="shared" si="4"/>
        <v>0.24742268041237114</v>
      </c>
      <c r="P10" s="1680">
        <v>1155</v>
      </c>
      <c r="Q10" s="1680">
        <v>81</v>
      </c>
      <c r="R10" s="1681">
        <v>0</v>
      </c>
      <c r="S10" s="1680">
        <f t="shared" si="5"/>
        <v>1236</v>
      </c>
      <c r="T10" s="505">
        <f t="shared" si="6"/>
        <v>0.13498622589531681</v>
      </c>
      <c r="U10" s="1680">
        <v>1026</v>
      </c>
      <c r="V10" s="1680">
        <v>72</v>
      </c>
      <c r="W10" s="1681">
        <v>0</v>
      </c>
      <c r="X10" s="1680">
        <f t="shared" si="7"/>
        <v>1098</v>
      </c>
      <c r="Y10" s="505">
        <f t="shared" si="8"/>
        <v>-0.11165048543689321</v>
      </c>
      <c r="Z10" s="1680">
        <v>969</v>
      </c>
      <c r="AA10" s="1680">
        <v>78</v>
      </c>
      <c r="AB10" s="1681">
        <v>0</v>
      </c>
      <c r="AC10" s="1680">
        <f t="shared" si="9"/>
        <v>1047</v>
      </c>
      <c r="AD10" s="505">
        <f t="shared" si="10"/>
        <v>-4.6448087431693992E-2</v>
      </c>
      <c r="AE10" s="1680">
        <v>612</v>
      </c>
      <c r="AF10" s="1680">
        <v>72</v>
      </c>
      <c r="AG10" s="1681">
        <v>0</v>
      </c>
      <c r="AH10" s="1680">
        <f t="shared" si="11"/>
        <v>684</v>
      </c>
      <c r="AI10" s="505">
        <f t="shared" si="12"/>
        <v>-0.34670487106017189</v>
      </c>
      <c r="AJ10" s="1680">
        <v>675</v>
      </c>
      <c r="AK10" s="1680">
        <v>69</v>
      </c>
      <c r="AL10" s="1681">
        <v>0</v>
      </c>
      <c r="AM10" s="1680">
        <f t="shared" si="13"/>
        <v>744</v>
      </c>
      <c r="AN10" s="1679">
        <f t="shared" si="14"/>
        <v>8.771929824561403E-2</v>
      </c>
      <c r="AO10" s="1680">
        <v>672</v>
      </c>
      <c r="AP10" s="1680">
        <v>63</v>
      </c>
      <c r="AQ10" s="1681">
        <v>0</v>
      </c>
      <c r="AR10" s="1680">
        <f t="shared" si="15"/>
        <v>735</v>
      </c>
      <c r="AS10" s="1679">
        <f t="shared" si="16"/>
        <v>-1.2096774193548387E-2</v>
      </c>
    </row>
    <row r="11" spans="1:45" x14ac:dyDescent="0.25">
      <c r="A11" s="1319" t="s">
        <v>1020</v>
      </c>
      <c r="B11" s="1677">
        <v>0</v>
      </c>
      <c r="C11" s="1677">
        <v>192</v>
      </c>
      <c r="D11" s="1896">
        <v>0</v>
      </c>
      <c r="E11" s="282">
        <f t="shared" si="0"/>
        <v>192</v>
      </c>
      <c r="F11" s="1677">
        <v>69</v>
      </c>
      <c r="G11" s="1677">
        <v>156</v>
      </c>
      <c r="H11" s="1896">
        <v>0</v>
      </c>
      <c r="I11" s="1680">
        <f t="shared" si="1"/>
        <v>225</v>
      </c>
      <c r="J11" s="505">
        <f t="shared" si="2"/>
        <v>0.171875</v>
      </c>
      <c r="K11" s="1680">
        <v>78</v>
      </c>
      <c r="L11" s="1680">
        <v>207</v>
      </c>
      <c r="M11" s="1681">
        <v>0</v>
      </c>
      <c r="N11" s="1680">
        <f t="shared" si="3"/>
        <v>285</v>
      </c>
      <c r="O11" s="1679">
        <f t="shared" si="4"/>
        <v>0.26666666666666666</v>
      </c>
      <c r="P11" s="1680">
        <v>90</v>
      </c>
      <c r="Q11" s="1680">
        <v>207</v>
      </c>
      <c r="R11" s="1681">
        <v>0</v>
      </c>
      <c r="S11" s="1680">
        <f t="shared" si="5"/>
        <v>297</v>
      </c>
      <c r="T11" s="505">
        <f t="shared" si="6"/>
        <v>4.2105263157894736E-2</v>
      </c>
      <c r="U11" s="1680">
        <v>72</v>
      </c>
      <c r="V11" s="1680">
        <v>243</v>
      </c>
      <c r="W11" s="1681">
        <v>0</v>
      </c>
      <c r="X11" s="1680">
        <f t="shared" si="7"/>
        <v>315</v>
      </c>
      <c r="Y11" s="505">
        <f t="shared" si="8"/>
        <v>6.0606060606060608E-2</v>
      </c>
      <c r="Z11" s="1680">
        <v>150</v>
      </c>
      <c r="AA11" s="1680">
        <v>207</v>
      </c>
      <c r="AB11" s="1681">
        <v>0</v>
      </c>
      <c r="AC11" s="1680">
        <f t="shared" si="9"/>
        <v>357</v>
      </c>
      <c r="AD11" s="505">
        <f t="shared" si="10"/>
        <v>0.13333333333333333</v>
      </c>
      <c r="AE11" s="1680">
        <v>240</v>
      </c>
      <c r="AF11" s="1680">
        <v>192</v>
      </c>
      <c r="AG11" s="1681">
        <v>0</v>
      </c>
      <c r="AH11" s="1680">
        <f t="shared" si="11"/>
        <v>432</v>
      </c>
      <c r="AI11" s="505">
        <f t="shared" si="12"/>
        <v>0.21008403361344538</v>
      </c>
      <c r="AJ11" s="1680">
        <v>309</v>
      </c>
      <c r="AK11" s="1680">
        <v>216</v>
      </c>
      <c r="AL11" s="1681">
        <v>0</v>
      </c>
      <c r="AM11" s="1680">
        <f t="shared" si="13"/>
        <v>525</v>
      </c>
      <c r="AN11" s="1679">
        <f t="shared" si="14"/>
        <v>0.21527777777777779</v>
      </c>
      <c r="AO11" s="1680">
        <v>297</v>
      </c>
      <c r="AP11" s="1680">
        <v>228</v>
      </c>
      <c r="AQ11" s="1681">
        <v>0</v>
      </c>
      <c r="AR11" s="1680">
        <f t="shared" si="15"/>
        <v>525</v>
      </c>
      <c r="AS11" s="1679">
        <f t="shared" si="16"/>
        <v>0</v>
      </c>
    </row>
    <row r="12" spans="1:45" x14ac:dyDescent="0.25">
      <c r="A12" s="1319" t="s">
        <v>1021</v>
      </c>
      <c r="B12" s="1677">
        <v>161</v>
      </c>
      <c r="C12" s="1677">
        <v>156</v>
      </c>
      <c r="D12" s="1896">
        <v>0</v>
      </c>
      <c r="E12" s="282">
        <f t="shared" si="0"/>
        <v>317</v>
      </c>
      <c r="F12" s="1677">
        <v>216</v>
      </c>
      <c r="G12" s="1677">
        <v>135</v>
      </c>
      <c r="H12" s="1896">
        <v>0</v>
      </c>
      <c r="I12" s="1680">
        <f t="shared" si="1"/>
        <v>351</v>
      </c>
      <c r="J12" s="505">
        <f t="shared" si="2"/>
        <v>0.10725552050473186</v>
      </c>
      <c r="K12" s="1680">
        <v>243</v>
      </c>
      <c r="L12" s="1680">
        <v>180</v>
      </c>
      <c r="M12" s="1681">
        <v>0</v>
      </c>
      <c r="N12" s="1680">
        <f t="shared" si="3"/>
        <v>423</v>
      </c>
      <c r="O12" s="1679">
        <f t="shared" si="4"/>
        <v>0.20512820512820512</v>
      </c>
      <c r="P12" s="1680">
        <v>279</v>
      </c>
      <c r="Q12" s="1680">
        <v>180</v>
      </c>
      <c r="R12" s="1681">
        <v>0</v>
      </c>
      <c r="S12" s="1680">
        <f t="shared" si="5"/>
        <v>459</v>
      </c>
      <c r="T12" s="505">
        <f t="shared" si="6"/>
        <v>8.5106382978723402E-2</v>
      </c>
      <c r="U12" s="1680">
        <v>343</v>
      </c>
      <c r="V12" s="1680">
        <v>201</v>
      </c>
      <c r="W12" s="1681">
        <v>0</v>
      </c>
      <c r="X12" s="1680">
        <f t="shared" si="7"/>
        <v>544</v>
      </c>
      <c r="Y12" s="505">
        <f t="shared" si="8"/>
        <v>0.18518518518518517</v>
      </c>
      <c r="Z12" s="1680">
        <v>317</v>
      </c>
      <c r="AA12" s="1680">
        <v>237</v>
      </c>
      <c r="AB12" s="1681">
        <v>0</v>
      </c>
      <c r="AC12" s="1680">
        <f t="shared" si="9"/>
        <v>554</v>
      </c>
      <c r="AD12" s="505">
        <f t="shared" si="10"/>
        <v>1.8382352941176471E-2</v>
      </c>
      <c r="AE12" s="1680">
        <v>288</v>
      </c>
      <c r="AF12" s="1680">
        <v>217</v>
      </c>
      <c r="AG12" s="1681">
        <v>0</v>
      </c>
      <c r="AH12" s="1680">
        <f t="shared" si="11"/>
        <v>505</v>
      </c>
      <c r="AI12" s="505">
        <f t="shared" si="12"/>
        <v>-8.8447653429602882E-2</v>
      </c>
      <c r="AJ12" s="1680">
        <v>336</v>
      </c>
      <c r="AK12" s="1680">
        <v>258</v>
      </c>
      <c r="AL12" s="1681">
        <v>0</v>
      </c>
      <c r="AM12" s="1680">
        <f t="shared" si="13"/>
        <v>594</v>
      </c>
      <c r="AN12" s="1679">
        <f t="shared" si="14"/>
        <v>0.17623762376237623</v>
      </c>
      <c r="AO12" s="1680">
        <v>308</v>
      </c>
      <c r="AP12" s="1680">
        <v>241</v>
      </c>
      <c r="AQ12" s="1681">
        <v>0</v>
      </c>
      <c r="AR12" s="1680">
        <f t="shared" si="15"/>
        <v>549</v>
      </c>
      <c r="AS12" s="1679">
        <f t="shared" si="16"/>
        <v>-7.575757575757576E-2</v>
      </c>
    </row>
    <row r="13" spans="1:45" x14ac:dyDescent="0.25">
      <c r="A13" s="1319" t="s">
        <v>1022</v>
      </c>
      <c r="B13" s="1677">
        <v>0</v>
      </c>
      <c r="C13" s="1677">
        <v>426</v>
      </c>
      <c r="D13" s="1896">
        <v>0</v>
      </c>
      <c r="E13" s="282">
        <f t="shared" si="0"/>
        <v>426</v>
      </c>
      <c r="F13" s="1677">
        <v>0</v>
      </c>
      <c r="G13" s="1677">
        <v>423</v>
      </c>
      <c r="H13" s="1896">
        <v>0</v>
      </c>
      <c r="I13" s="1680">
        <f t="shared" si="1"/>
        <v>423</v>
      </c>
      <c r="J13" s="505">
        <f t="shared" si="2"/>
        <v>-7.0422535211267607E-3</v>
      </c>
      <c r="K13" s="1680">
        <v>0</v>
      </c>
      <c r="L13" s="1680">
        <v>528</v>
      </c>
      <c r="M13" s="1681">
        <v>0</v>
      </c>
      <c r="N13" s="1680">
        <f t="shared" si="3"/>
        <v>528</v>
      </c>
      <c r="O13" s="1679">
        <f t="shared" si="4"/>
        <v>0.24822695035460993</v>
      </c>
      <c r="P13" s="1680">
        <v>0</v>
      </c>
      <c r="Q13" s="1680">
        <v>501</v>
      </c>
      <c r="R13" s="1681">
        <v>0</v>
      </c>
      <c r="S13" s="1680">
        <f t="shared" si="5"/>
        <v>501</v>
      </c>
      <c r="T13" s="505">
        <f t="shared" si="6"/>
        <v>-5.113636363636364E-2</v>
      </c>
      <c r="U13" s="1680">
        <v>0</v>
      </c>
      <c r="V13" s="1680">
        <v>564</v>
      </c>
      <c r="W13" s="1681">
        <v>0</v>
      </c>
      <c r="X13" s="1680">
        <f t="shared" si="7"/>
        <v>564</v>
      </c>
      <c r="Y13" s="505">
        <f t="shared" si="8"/>
        <v>0.12574850299401197</v>
      </c>
      <c r="Z13" s="1680">
        <v>0</v>
      </c>
      <c r="AA13" s="1680">
        <v>609</v>
      </c>
      <c r="AB13" s="1681">
        <v>0</v>
      </c>
      <c r="AC13" s="1680">
        <f t="shared" si="9"/>
        <v>609</v>
      </c>
      <c r="AD13" s="505">
        <f t="shared" si="10"/>
        <v>7.9787234042553196E-2</v>
      </c>
      <c r="AE13" s="1680">
        <v>0</v>
      </c>
      <c r="AF13" s="1680">
        <v>603</v>
      </c>
      <c r="AG13" s="1681">
        <v>0</v>
      </c>
      <c r="AH13" s="1680">
        <f t="shared" si="11"/>
        <v>603</v>
      </c>
      <c r="AI13" s="505">
        <f t="shared" si="12"/>
        <v>-9.852216748768473E-3</v>
      </c>
      <c r="AJ13" s="1680">
        <v>0</v>
      </c>
      <c r="AK13" s="1680">
        <v>525</v>
      </c>
      <c r="AL13" s="1681">
        <v>0</v>
      </c>
      <c r="AM13" s="1680">
        <f t="shared" si="13"/>
        <v>525</v>
      </c>
      <c r="AN13" s="1679">
        <f t="shared" si="14"/>
        <v>-0.12935323383084577</v>
      </c>
      <c r="AO13" s="1680">
        <v>0</v>
      </c>
      <c r="AP13" s="1680">
        <v>492</v>
      </c>
      <c r="AQ13" s="1681">
        <v>0</v>
      </c>
      <c r="AR13" s="1680">
        <f t="shared" si="15"/>
        <v>492</v>
      </c>
      <c r="AS13" s="1679">
        <f t="shared" si="16"/>
        <v>-6.2857142857142861E-2</v>
      </c>
    </row>
    <row r="14" spans="1:45" x14ac:dyDescent="0.25">
      <c r="A14" s="1319" t="s">
        <v>1023</v>
      </c>
      <c r="B14" s="1677">
        <v>0</v>
      </c>
      <c r="C14" s="1677">
        <v>282</v>
      </c>
      <c r="D14" s="1896">
        <v>0</v>
      </c>
      <c r="E14" s="282">
        <f t="shared" si="0"/>
        <v>282</v>
      </c>
      <c r="F14" s="1677">
        <v>0</v>
      </c>
      <c r="G14" s="1677">
        <v>276</v>
      </c>
      <c r="H14" s="1896">
        <v>0</v>
      </c>
      <c r="I14" s="1680">
        <f t="shared" si="1"/>
        <v>276</v>
      </c>
      <c r="J14" s="505">
        <f t="shared" si="2"/>
        <v>-2.1276595744680851E-2</v>
      </c>
      <c r="K14" s="1680">
        <v>0</v>
      </c>
      <c r="L14" s="1680">
        <v>324</v>
      </c>
      <c r="M14" s="1681">
        <v>0</v>
      </c>
      <c r="N14" s="1680">
        <f t="shared" si="3"/>
        <v>324</v>
      </c>
      <c r="O14" s="1679">
        <f t="shared" si="4"/>
        <v>0.17391304347826086</v>
      </c>
      <c r="P14" s="1680">
        <v>0</v>
      </c>
      <c r="Q14" s="1680">
        <v>300</v>
      </c>
      <c r="R14" s="1681">
        <v>0</v>
      </c>
      <c r="S14" s="1680">
        <f t="shared" si="5"/>
        <v>300</v>
      </c>
      <c r="T14" s="505">
        <f t="shared" si="6"/>
        <v>-7.407407407407407E-2</v>
      </c>
      <c r="U14" s="1680">
        <v>0</v>
      </c>
      <c r="V14" s="1680">
        <v>498</v>
      </c>
      <c r="W14" s="1681">
        <v>0</v>
      </c>
      <c r="X14" s="1680">
        <f t="shared" si="7"/>
        <v>498</v>
      </c>
      <c r="Y14" s="505">
        <f t="shared" si="8"/>
        <v>0.66</v>
      </c>
      <c r="Z14" s="1680">
        <v>0</v>
      </c>
      <c r="AA14" s="1680">
        <v>429</v>
      </c>
      <c r="AB14" s="1681">
        <v>0</v>
      </c>
      <c r="AC14" s="1680">
        <f t="shared" si="9"/>
        <v>429</v>
      </c>
      <c r="AD14" s="505">
        <f t="shared" si="10"/>
        <v>-0.13855421686746988</v>
      </c>
      <c r="AE14" s="1680">
        <v>0</v>
      </c>
      <c r="AF14" s="1680">
        <v>303</v>
      </c>
      <c r="AG14" s="1681">
        <v>0</v>
      </c>
      <c r="AH14" s="1680">
        <f t="shared" si="11"/>
        <v>303</v>
      </c>
      <c r="AI14" s="505">
        <f t="shared" si="12"/>
        <v>-0.2937062937062937</v>
      </c>
      <c r="AJ14" s="1680">
        <v>0</v>
      </c>
      <c r="AK14" s="1680">
        <v>333</v>
      </c>
      <c r="AL14" s="1681">
        <v>0</v>
      </c>
      <c r="AM14" s="1680">
        <f t="shared" si="13"/>
        <v>333</v>
      </c>
      <c r="AN14" s="1679">
        <f t="shared" si="14"/>
        <v>9.9009900990099015E-2</v>
      </c>
      <c r="AO14" s="1680">
        <v>0</v>
      </c>
      <c r="AP14" s="1680">
        <v>399</v>
      </c>
      <c r="AQ14" s="1681">
        <v>0</v>
      </c>
      <c r="AR14" s="1680">
        <f t="shared" si="15"/>
        <v>399</v>
      </c>
      <c r="AS14" s="1679">
        <f t="shared" si="16"/>
        <v>0.1981981981981982</v>
      </c>
    </row>
    <row r="15" spans="1:45" s="484" customFormat="1" ht="13.8" x14ac:dyDescent="0.25">
      <c r="A15" s="1322" t="s">
        <v>1015</v>
      </c>
      <c r="B15" s="481">
        <f t="shared" ref="B15:I15" si="17">SUM(B7:B14)</f>
        <v>1965</v>
      </c>
      <c r="C15" s="481">
        <f t="shared" si="17"/>
        <v>1883</v>
      </c>
      <c r="D15" s="481">
        <f t="shared" si="17"/>
        <v>0</v>
      </c>
      <c r="E15" s="482">
        <f t="shared" si="17"/>
        <v>3848</v>
      </c>
      <c r="F15" s="481">
        <f t="shared" si="17"/>
        <v>2535</v>
      </c>
      <c r="G15" s="481">
        <f t="shared" si="17"/>
        <v>1908</v>
      </c>
      <c r="H15" s="481">
        <f t="shared" si="17"/>
        <v>0</v>
      </c>
      <c r="I15" s="481">
        <f t="shared" si="17"/>
        <v>4443</v>
      </c>
      <c r="J15" s="585">
        <f t="shared" si="2"/>
        <v>0.15462577962577961</v>
      </c>
      <c r="K15" s="481">
        <f>SUM(K7:K14)</f>
        <v>2634</v>
      </c>
      <c r="L15" s="481">
        <f>SUM(L7:L14)</f>
        <v>2443</v>
      </c>
      <c r="M15" s="481">
        <f>SUM(M7:M14)</f>
        <v>0</v>
      </c>
      <c r="N15" s="481">
        <f>SUM(N7:N14)</f>
        <v>5077</v>
      </c>
      <c r="O15" s="593">
        <f t="shared" si="4"/>
        <v>0.14269637632230475</v>
      </c>
      <c r="P15" s="481">
        <f>SUM(P7:P14)</f>
        <v>2904</v>
      </c>
      <c r="Q15" s="481">
        <f>SUM(Q7:Q14)</f>
        <v>2185</v>
      </c>
      <c r="R15" s="481">
        <f>SUM(R7:R14)</f>
        <v>0</v>
      </c>
      <c r="S15" s="481">
        <f>SUM(S7:S14)</f>
        <v>5089</v>
      </c>
      <c r="T15" s="585">
        <f t="shared" si="6"/>
        <v>2.3636005515067955E-3</v>
      </c>
      <c r="U15" s="481">
        <f>SUM(U7:U14)</f>
        <v>2865</v>
      </c>
      <c r="V15" s="481">
        <f>SUM(V7:V14)</f>
        <v>2507</v>
      </c>
      <c r="W15" s="481">
        <f>SUM(W7:W14)</f>
        <v>0</v>
      </c>
      <c r="X15" s="481">
        <f>SUM(X7:X14)</f>
        <v>5372</v>
      </c>
      <c r="Y15" s="585">
        <f t="shared" si="8"/>
        <v>5.5610139516604443E-2</v>
      </c>
      <c r="Z15" s="481">
        <f>SUM(Z7:Z14)</f>
        <v>2864</v>
      </c>
      <c r="AA15" s="481">
        <f>SUM(AA7:AA14)</f>
        <v>2584</v>
      </c>
      <c r="AB15" s="481">
        <f>SUM(AB7:AB14)</f>
        <v>0</v>
      </c>
      <c r="AC15" s="481">
        <f>SUM(AC7:AC14)</f>
        <v>5448</v>
      </c>
      <c r="AD15" s="585">
        <f t="shared" si="10"/>
        <v>1.4147431124348473E-2</v>
      </c>
      <c r="AE15" s="481">
        <f>SUM(AE7:AE14)</f>
        <v>2391</v>
      </c>
      <c r="AF15" s="481">
        <f>SUM(AF7:AF14)</f>
        <v>2437</v>
      </c>
      <c r="AG15" s="481">
        <f>SUM(AG7:AG14)</f>
        <v>0</v>
      </c>
      <c r="AH15" s="481">
        <f>SUM(AH7:AH14)</f>
        <v>4828</v>
      </c>
      <c r="AI15" s="585">
        <f t="shared" si="12"/>
        <v>-0.11380323054331865</v>
      </c>
      <c r="AJ15" s="481">
        <f>SUM(AJ7:AJ14)</f>
        <v>2699</v>
      </c>
      <c r="AK15" s="481">
        <f>SUM(AK7:AK14)</f>
        <v>2345</v>
      </c>
      <c r="AL15" s="481">
        <f>SUM(AL7:AL14)</f>
        <v>0</v>
      </c>
      <c r="AM15" s="481">
        <f>SUM(AM7:AM14)</f>
        <v>5044</v>
      </c>
      <c r="AN15" s="593">
        <f t="shared" si="14"/>
        <v>4.4739022369511182E-2</v>
      </c>
      <c r="AO15" s="481">
        <f>SUM(AO7:AO14)</f>
        <v>2624</v>
      </c>
      <c r="AP15" s="481">
        <f>SUM(AP7:AP14)</f>
        <v>2395</v>
      </c>
      <c r="AQ15" s="481">
        <f>SUM(AQ7:AQ14)</f>
        <v>0</v>
      </c>
      <c r="AR15" s="481">
        <f>SUM(AR7:AR14)</f>
        <v>5019</v>
      </c>
      <c r="AS15" s="593">
        <f t="shared" si="16"/>
        <v>-4.9563838223632035E-3</v>
      </c>
    </row>
    <row r="16" spans="1:45" x14ac:dyDescent="0.25">
      <c r="A16" s="1325" t="s">
        <v>432</v>
      </c>
      <c r="B16" s="1900"/>
      <c r="C16" s="1900"/>
      <c r="D16" s="1900"/>
      <c r="E16" s="956"/>
      <c r="F16" s="1869"/>
      <c r="G16" s="1877"/>
      <c r="H16" s="1877"/>
      <c r="I16" s="1877"/>
      <c r="J16" s="438"/>
      <c r="K16" s="1869"/>
      <c r="L16" s="1877"/>
      <c r="M16" s="1877"/>
      <c r="N16" s="1877"/>
      <c r="O16" s="438"/>
      <c r="P16" s="1869"/>
      <c r="Q16" s="1877"/>
      <c r="R16" s="1877"/>
      <c r="S16" s="1877"/>
      <c r="T16" s="438"/>
      <c r="U16" s="1869"/>
      <c r="V16" s="1877"/>
      <c r="W16" s="1877"/>
      <c r="X16" s="1877"/>
      <c r="Y16" s="438"/>
      <c r="Z16" s="1869"/>
      <c r="AA16" s="1877"/>
      <c r="AB16" s="1877"/>
      <c r="AC16" s="1877"/>
      <c r="AD16" s="438"/>
      <c r="AE16" s="1869"/>
      <c r="AF16" s="1877"/>
      <c r="AG16" s="1877"/>
      <c r="AH16" s="1877"/>
      <c r="AI16" s="438"/>
      <c r="AJ16" s="1869"/>
      <c r="AK16" s="1877"/>
      <c r="AL16" s="1877"/>
      <c r="AM16" s="1877"/>
      <c r="AN16" s="438"/>
      <c r="AO16" s="1869"/>
      <c r="AP16" s="1877"/>
      <c r="AQ16" s="1877"/>
      <c r="AR16" s="1877"/>
      <c r="AS16" s="438"/>
    </row>
    <row r="17" spans="1:45" x14ac:dyDescent="0.25">
      <c r="A17" s="1326" t="s">
        <v>1043</v>
      </c>
      <c r="B17" s="1616">
        <v>120</v>
      </c>
      <c r="C17" s="1617">
        <v>12</v>
      </c>
      <c r="D17" s="1896">
        <v>0</v>
      </c>
      <c r="E17" s="326">
        <f>SUM(B17:D17)</f>
        <v>132</v>
      </c>
      <c r="F17" s="1616">
        <v>135</v>
      </c>
      <c r="G17" s="1617">
        <v>0</v>
      </c>
      <c r="H17" s="1896">
        <v>0</v>
      </c>
      <c r="I17" s="1246">
        <f>SUM(F17:H17)</f>
        <v>135</v>
      </c>
      <c r="J17" s="491">
        <f t="shared" ref="J17:J23" si="18">IF(E17&gt;0,(I17-E17)/E17,(IF(I17=0,"N/A",100%)))</f>
        <v>2.2727272727272728E-2</v>
      </c>
      <c r="K17" s="1683">
        <v>249</v>
      </c>
      <c r="L17" s="1246">
        <v>0</v>
      </c>
      <c r="M17" s="1681">
        <v>0</v>
      </c>
      <c r="N17" s="1246">
        <f>SUM(K17:M17)</f>
        <v>249</v>
      </c>
      <c r="O17" s="491">
        <f t="shared" ref="O17:O23" si="19">IF(I17&gt;0,(N17-I17)/I17,(IF(N17=0,"N/A",100%)))</f>
        <v>0.84444444444444444</v>
      </c>
      <c r="P17" s="1683">
        <v>228</v>
      </c>
      <c r="Q17" s="1246">
        <v>0</v>
      </c>
      <c r="R17" s="1681">
        <v>0</v>
      </c>
      <c r="S17" s="1246">
        <f>SUM(P17:R17)</f>
        <v>228</v>
      </c>
      <c r="T17" s="491">
        <f t="shared" ref="T17:T23" si="20">IF(N17&gt;0,(S17-N17)/N17,(IF(S17=0,"N/A",100%)))</f>
        <v>-8.4337349397590355E-2</v>
      </c>
      <c r="U17" s="1683">
        <v>210</v>
      </c>
      <c r="V17" s="1246">
        <v>0</v>
      </c>
      <c r="W17" s="1681">
        <v>0</v>
      </c>
      <c r="X17" s="1246">
        <f>SUM(U17:W17)</f>
        <v>210</v>
      </c>
      <c r="Y17" s="491">
        <f t="shared" ref="Y17:Y23" si="21">IF(S17&gt;0,(X17-S17)/S17,(IF(X17=0,"N/A",100%)))</f>
        <v>-7.8947368421052627E-2</v>
      </c>
      <c r="Z17" s="1683">
        <v>213</v>
      </c>
      <c r="AA17" s="1246">
        <v>0</v>
      </c>
      <c r="AB17" s="1681">
        <v>0</v>
      </c>
      <c r="AC17" s="1246">
        <f>SUM(Z17:AB17)</f>
        <v>213</v>
      </c>
      <c r="AD17" s="491">
        <f t="shared" ref="AD17:AD23" si="22">IF(X17&gt;0,(AC17-X17)/X17,(IF(AC17=0,"N/A",100%)))</f>
        <v>1.4285714285714285E-2</v>
      </c>
      <c r="AE17" s="1683">
        <v>309</v>
      </c>
      <c r="AF17" s="1246">
        <v>0</v>
      </c>
      <c r="AG17" s="1681">
        <v>0</v>
      </c>
      <c r="AH17" s="1246">
        <f>SUM(AE17:AG17)</f>
        <v>309</v>
      </c>
      <c r="AI17" s="491">
        <f t="shared" ref="AI17:AI23" si="23">IF(AC17&gt;0,(AH17-AC17)/AC17,(IF(AH17=0,"N/A",100%)))</f>
        <v>0.45070422535211269</v>
      </c>
      <c r="AJ17" s="1683">
        <v>312</v>
      </c>
      <c r="AK17" s="1246">
        <v>0</v>
      </c>
      <c r="AL17" s="1681">
        <v>0</v>
      </c>
      <c r="AM17" s="1246">
        <f>SUM(AJ17:AL17)</f>
        <v>312</v>
      </c>
      <c r="AN17" s="491">
        <f t="shared" ref="AN17:AN23" si="24">IF(AH17&gt;0,(AM17-AH17)/AH17,(IF(AM17=0,"N/A",100%)))</f>
        <v>9.7087378640776691E-3</v>
      </c>
      <c r="AO17" s="1683">
        <v>255</v>
      </c>
      <c r="AP17" s="1246">
        <v>0</v>
      </c>
      <c r="AQ17" s="1681">
        <v>0</v>
      </c>
      <c r="AR17" s="1246">
        <f>SUM(AO17:AQ17)</f>
        <v>255</v>
      </c>
      <c r="AS17" s="491">
        <f t="shared" ref="AS17:AS23" si="25">IF(AM17&gt;0,(AR17-AM17)/AM17,(IF(AR17=0,"N/A",100%)))</f>
        <v>-0.18269230769230768</v>
      </c>
    </row>
    <row r="18" spans="1:45" x14ac:dyDescent="0.25">
      <c r="A18" s="1326" t="s">
        <v>514</v>
      </c>
      <c r="B18" s="1616">
        <v>0</v>
      </c>
      <c r="C18" s="1617">
        <v>45</v>
      </c>
      <c r="D18" s="1896">
        <v>0</v>
      </c>
      <c r="E18" s="326">
        <f>SUM(B18:D18)</f>
        <v>45</v>
      </c>
      <c r="F18" s="1616">
        <v>0</v>
      </c>
      <c r="G18" s="1617">
        <v>78</v>
      </c>
      <c r="H18" s="1896">
        <v>0</v>
      </c>
      <c r="I18" s="1246">
        <f>SUM(F18:H18)</f>
        <v>78</v>
      </c>
      <c r="J18" s="491">
        <f t="shared" si="18"/>
        <v>0.73333333333333328</v>
      </c>
      <c r="K18" s="1683">
        <v>0</v>
      </c>
      <c r="L18" s="1246">
        <v>72</v>
      </c>
      <c r="M18" s="1681">
        <v>0</v>
      </c>
      <c r="N18" s="1246">
        <f>SUM(K18:M18)</f>
        <v>72</v>
      </c>
      <c r="O18" s="491">
        <f t="shared" si="19"/>
        <v>-7.6923076923076927E-2</v>
      </c>
      <c r="P18" s="1683">
        <v>0</v>
      </c>
      <c r="Q18" s="1246">
        <v>42</v>
      </c>
      <c r="R18" s="1681">
        <v>0</v>
      </c>
      <c r="S18" s="1246">
        <f>SUM(P18:R18)</f>
        <v>42</v>
      </c>
      <c r="T18" s="491">
        <f t="shared" si="20"/>
        <v>-0.41666666666666669</v>
      </c>
      <c r="U18" s="1683">
        <v>0</v>
      </c>
      <c r="V18" s="1246">
        <v>45</v>
      </c>
      <c r="W18" s="1681">
        <v>0</v>
      </c>
      <c r="X18" s="1246">
        <f>SUM(U18:W18)</f>
        <v>45</v>
      </c>
      <c r="Y18" s="491">
        <f t="shared" si="21"/>
        <v>7.1428571428571425E-2</v>
      </c>
      <c r="Z18" s="1683">
        <v>0</v>
      </c>
      <c r="AA18" s="1246">
        <v>18</v>
      </c>
      <c r="AB18" s="1681">
        <v>0</v>
      </c>
      <c r="AC18" s="1246">
        <f>SUM(Z18:AB18)</f>
        <v>18</v>
      </c>
      <c r="AD18" s="491">
        <f t="shared" si="22"/>
        <v>-0.6</v>
      </c>
      <c r="AE18" s="1683">
        <v>0</v>
      </c>
      <c r="AF18" s="1246">
        <v>24</v>
      </c>
      <c r="AG18" s="1681">
        <v>0</v>
      </c>
      <c r="AH18" s="1246">
        <f>SUM(AE18:AG18)</f>
        <v>24</v>
      </c>
      <c r="AI18" s="491">
        <f t="shared" si="23"/>
        <v>0.33333333333333331</v>
      </c>
      <c r="AJ18" s="1683">
        <v>0</v>
      </c>
      <c r="AK18" s="1246">
        <v>0</v>
      </c>
      <c r="AL18" s="1681">
        <v>0</v>
      </c>
      <c r="AM18" s="1246">
        <f>SUM(AJ18:AL18)</f>
        <v>0</v>
      </c>
      <c r="AN18" s="491">
        <f t="shared" si="24"/>
        <v>-1</v>
      </c>
      <c r="AO18" s="1683">
        <v>0</v>
      </c>
      <c r="AP18" s="1246">
        <v>0</v>
      </c>
      <c r="AQ18" s="1681">
        <v>0</v>
      </c>
      <c r="AR18" s="1246">
        <f>SUM(AO18:AQ18)</f>
        <v>0</v>
      </c>
      <c r="AS18" s="491" t="str">
        <f t="shared" si="25"/>
        <v>N/A</v>
      </c>
    </row>
    <row r="19" spans="1:45" x14ac:dyDescent="0.25">
      <c r="A19" s="1326" t="s">
        <v>1652</v>
      </c>
      <c r="B19" s="1616">
        <v>0</v>
      </c>
      <c r="C19" s="1617">
        <v>0</v>
      </c>
      <c r="D19" s="1896">
        <v>0</v>
      </c>
      <c r="E19" s="326">
        <f>SUM(B19:D19)</f>
        <v>0</v>
      </c>
      <c r="F19" s="1616">
        <v>0</v>
      </c>
      <c r="G19" s="1617">
        <v>0</v>
      </c>
      <c r="H19" s="1896">
        <v>0</v>
      </c>
      <c r="I19" s="1246">
        <f>SUM(F19:H19)</f>
        <v>0</v>
      </c>
      <c r="J19" s="491" t="str">
        <f>IF(E19&gt;0,(I19-E19)/E19,(IF(I19=0,"N/A",100%)))</f>
        <v>N/A</v>
      </c>
      <c r="K19" s="1616">
        <v>0</v>
      </c>
      <c r="L19" s="1617">
        <v>0</v>
      </c>
      <c r="M19" s="1896">
        <v>0</v>
      </c>
      <c r="N19" s="1246">
        <f>SUM(K19:M19)</f>
        <v>0</v>
      </c>
      <c r="O19" s="491" t="str">
        <f t="shared" si="19"/>
        <v>N/A</v>
      </c>
      <c r="P19" s="1616">
        <v>0</v>
      </c>
      <c r="Q19" s="1617">
        <v>0</v>
      </c>
      <c r="R19" s="1896">
        <v>0</v>
      </c>
      <c r="S19" s="1246">
        <f>SUM(P19:R19)</f>
        <v>0</v>
      </c>
      <c r="T19" s="491" t="str">
        <f t="shared" si="20"/>
        <v>N/A</v>
      </c>
      <c r="U19" s="1616">
        <v>0</v>
      </c>
      <c r="V19" s="1617">
        <v>0</v>
      </c>
      <c r="W19" s="1896">
        <v>0</v>
      </c>
      <c r="X19" s="1246">
        <f>SUM(U19:W19)</f>
        <v>0</v>
      </c>
      <c r="Y19" s="491" t="str">
        <f t="shared" si="21"/>
        <v>N/A</v>
      </c>
      <c r="Z19" s="1616">
        <v>0</v>
      </c>
      <c r="AA19" s="1617">
        <v>0</v>
      </c>
      <c r="AB19" s="1896">
        <v>0</v>
      </c>
      <c r="AC19" s="1246">
        <f>SUM(Z19:AB19)</f>
        <v>0</v>
      </c>
      <c r="AD19" s="491" t="str">
        <f t="shared" si="22"/>
        <v>N/A</v>
      </c>
      <c r="AE19" s="1616">
        <v>0</v>
      </c>
      <c r="AF19" s="1617">
        <v>0</v>
      </c>
      <c r="AG19" s="1896">
        <v>0</v>
      </c>
      <c r="AH19" s="1246">
        <f>SUM(AE19:AG19)</f>
        <v>0</v>
      </c>
      <c r="AI19" s="491" t="str">
        <f t="shared" si="23"/>
        <v>N/A</v>
      </c>
      <c r="AJ19" s="1683">
        <v>0</v>
      </c>
      <c r="AK19" s="1246">
        <v>0</v>
      </c>
      <c r="AL19" s="1681">
        <v>39</v>
      </c>
      <c r="AM19" s="1246">
        <f>SUM(AJ19:AL19)</f>
        <v>39</v>
      </c>
      <c r="AN19" s="491">
        <f>IF(AH19&gt;0,(AM19-AH19)/AH19,(IF(AM19=0,"N/A",100%)))</f>
        <v>1</v>
      </c>
      <c r="AO19" s="1683">
        <v>0</v>
      </c>
      <c r="AP19" s="1246">
        <v>0</v>
      </c>
      <c r="AQ19" s="1681">
        <v>27</v>
      </c>
      <c r="AR19" s="1246">
        <f>SUM(AO19:AQ19)</f>
        <v>27</v>
      </c>
      <c r="AS19" s="491">
        <f t="shared" si="25"/>
        <v>-0.30769230769230771</v>
      </c>
    </row>
    <row r="20" spans="1:45" x14ac:dyDescent="0.25">
      <c r="A20" s="1326" t="s">
        <v>1042</v>
      </c>
      <c r="B20" s="1616">
        <v>414</v>
      </c>
      <c r="C20" s="1617">
        <v>546</v>
      </c>
      <c r="D20" s="1896">
        <v>0</v>
      </c>
      <c r="E20" s="326">
        <f>SUM(B20:D20)</f>
        <v>960</v>
      </c>
      <c r="F20" s="1616">
        <v>459</v>
      </c>
      <c r="G20" s="1617">
        <v>596</v>
      </c>
      <c r="H20" s="1896">
        <v>0</v>
      </c>
      <c r="I20" s="1246">
        <f>SUM(F20:H20)</f>
        <v>1055</v>
      </c>
      <c r="J20" s="491">
        <f t="shared" si="18"/>
        <v>9.8958333333333329E-2</v>
      </c>
      <c r="K20" s="1683">
        <v>777</v>
      </c>
      <c r="L20" s="1246">
        <v>402</v>
      </c>
      <c r="M20" s="1681">
        <v>0</v>
      </c>
      <c r="N20" s="1246">
        <f>SUM(K20:M20)</f>
        <v>1179</v>
      </c>
      <c r="O20" s="491">
        <f t="shared" si="19"/>
        <v>0.11753554502369669</v>
      </c>
      <c r="P20" s="1683">
        <v>903</v>
      </c>
      <c r="Q20" s="1246">
        <v>323</v>
      </c>
      <c r="R20" s="1681">
        <v>0</v>
      </c>
      <c r="S20" s="1246">
        <f>SUM(P20:R20)</f>
        <v>1226</v>
      </c>
      <c r="T20" s="491">
        <f t="shared" si="20"/>
        <v>3.9864291772688722E-2</v>
      </c>
      <c r="U20" s="1683">
        <v>768</v>
      </c>
      <c r="V20" s="1246">
        <v>226</v>
      </c>
      <c r="W20" s="1681">
        <v>0</v>
      </c>
      <c r="X20" s="1246">
        <f>SUM(U20:W20)</f>
        <v>994</v>
      </c>
      <c r="Y20" s="491">
        <f t="shared" si="21"/>
        <v>-0.18923327895595432</v>
      </c>
      <c r="Z20" s="1683">
        <v>798</v>
      </c>
      <c r="AA20" s="1246">
        <v>285</v>
      </c>
      <c r="AB20" s="1681">
        <v>0</v>
      </c>
      <c r="AC20" s="1246">
        <f>SUM(Z20:AB20)</f>
        <v>1083</v>
      </c>
      <c r="AD20" s="491">
        <f t="shared" si="22"/>
        <v>8.9537223340040245E-2</v>
      </c>
      <c r="AE20" s="1683">
        <v>1011</v>
      </c>
      <c r="AF20" s="1246">
        <v>289</v>
      </c>
      <c r="AG20" s="1681">
        <v>0</v>
      </c>
      <c r="AH20" s="1246">
        <f>SUM(AE20:AG20)</f>
        <v>1300</v>
      </c>
      <c r="AI20" s="491">
        <f t="shared" si="23"/>
        <v>0.20036934441366575</v>
      </c>
      <c r="AJ20" s="1683">
        <v>879</v>
      </c>
      <c r="AK20" s="1246">
        <v>244</v>
      </c>
      <c r="AL20" s="1681">
        <v>0</v>
      </c>
      <c r="AM20" s="1246">
        <f>SUM(AJ20:AL20)</f>
        <v>1123</v>
      </c>
      <c r="AN20" s="491">
        <f t="shared" si="24"/>
        <v>-0.13615384615384615</v>
      </c>
      <c r="AO20" s="1683">
        <v>744</v>
      </c>
      <c r="AP20" s="1246">
        <v>348</v>
      </c>
      <c r="AQ20" s="1681">
        <v>0</v>
      </c>
      <c r="AR20" s="1246">
        <f>SUM(AO20:AQ20)</f>
        <v>1092</v>
      </c>
      <c r="AS20" s="491">
        <f t="shared" si="25"/>
        <v>-2.7604630454140695E-2</v>
      </c>
    </row>
    <row r="21" spans="1:45" x14ac:dyDescent="0.25">
      <c r="A21" s="1326" t="s">
        <v>1014</v>
      </c>
      <c r="B21" s="1616">
        <v>886</v>
      </c>
      <c r="C21" s="1617">
        <v>480</v>
      </c>
      <c r="D21" s="1896">
        <v>0</v>
      </c>
      <c r="E21" s="326">
        <f>SUM(B21:D21)</f>
        <v>1366</v>
      </c>
      <c r="F21" s="1616">
        <v>985</v>
      </c>
      <c r="G21" s="1617">
        <v>498</v>
      </c>
      <c r="H21" s="1896">
        <v>0</v>
      </c>
      <c r="I21" s="1246">
        <f>SUM(F21:H21)</f>
        <v>1483</v>
      </c>
      <c r="J21" s="491">
        <f t="shared" si="18"/>
        <v>8.5651537335285508E-2</v>
      </c>
      <c r="K21" s="1683">
        <v>1083</v>
      </c>
      <c r="L21" s="1246">
        <v>327</v>
      </c>
      <c r="M21" s="1681">
        <v>0</v>
      </c>
      <c r="N21" s="1246">
        <f>SUM(K21:M21)</f>
        <v>1410</v>
      </c>
      <c r="O21" s="491">
        <f t="shared" si="19"/>
        <v>-4.9224544841537425E-2</v>
      </c>
      <c r="P21" s="1683">
        <v>1044</v>
      </c>
      <c r="Q21" s="1246">
        <v>396</v>
      </c>
      <c r="R21" s="1681">
        <v>0</v>
      </c>
      <c r="S21" s="1246">
        <f>SUM(P21:R21)</f>
        <v>1440</v>
      </c>
      <c r="T21" s="491">
        <f t="shared" si="20"/>
        <v>2.1276595744680851E-2</v>
      </c>
      <c r="U21" s="1683">
        <v>1168</v>
      </c>
      <c r="V21" s="1246">
        <v>504</v>
      </c>
      <c r="W21" s="1681">
        <v>0</v>
      </c>
      <c r="X21" s="1246">
        <f>SUM(U21:W21)</f>
        <v>1672</v>
      </c>
      <c r="Y21" s="491">
        <f t="shared" si="21"/>
        <v>0.16111111111111112</v>
      </c>
      <c r="Z21" s="1683">
        <v>1113</v>
      </c>
      <c r="AA21" s="1246">
        <v>501</v>
      </c>
      <c r="AB21" s="1681">
        <v>0</v>
      </c>
      <c r="AC21" s="1246">
        <f>SUM(Z21:AB21)</f>
        <v>1614</v>
      </c>
      <c r="AD21" s="491">
        <f t="shared" si="22"/>
        <v>-3.4688995215311005E-2</v>
      </c>
      <c r="AE21" s="1683">
        <v>578</v>
      </c>
      <c r="AF21" s="1246">
        <v>402</v>
      </c>
      <c r="AG21" s="1681">
        <v>0</v>
      </c>
      <c r="AH21" s="1246">
        <f>SUM(AE21:AG21)</f>
        <v>980</v>
      </c>
      <c r="AI21" s="491">
        <f t="shared" si="23"/>
        <v>-0.39281288723667906</v>
      </c>
      <c r="AJ21" s="1683">
        <v>582</v>
      </c>
      <c r="AK21" s="1246">
        <v>398</v>
      </c>
      <c r="AL21" s="1681">
        <v>0</v>
      </c>
      <c r="AM21" s="1246">
        <f>SUM(AJ21:AL21)</f>
        <v>980</v>
      </c>
      <c r="AN21" s="491">
        <f t="shared" si="24"/>
        <v>0</v>
      </c>
      <c r="AO21" s="1683">
        <v>663</v>
      </c>
      <c r="AP21" s="1246">
        <v>318</v>
      </c>
      <c r="AQ21" s="1681">
        <v>0</v>
      </c>
      <c r="AR21" s="1246">
        <f>SUM(AO21:AQ21)</f>
        <v>981</v>
      </c>
      <c r="AS21" s="491">
        <f t="shared" si="25"/>
        <v>1.0204081632653062E-3</v>
      </c>
    </row>
    <row r="22" spans="1:45" s="484" customFormat="1" ht="13.8" x14ac:dyDescent="0.25">
      <c r="A22" s="1327" t="s">
        <v>1015</v>
      </c>
      <c r="B22" s="1259">
        <f t="shared" ref="B22:I22" si="26">SUM(B17:B21)</f>
        <v>1420</v>
      </c>
      <c r="C22" s="1259">
        <f t="shared" si="26"/>
        <v>1083</v>
      </c>
      <c r="D22" s="1259">
        <f t="shared" si="26"/>
        <v>0</v>
      </c>
      <c r="E22" s="495">
        <f t="shared" si="26"/>
        <v>2503</v>
      </c>
      <c r="F22" s="1732">
        <f t="shared" si="26"/>
        <v>1579</v>
      </c>
      <c r="G22" s="1259">
        <f t="shared" si="26"/>
        <v>1172</v>
      </c>
      <c r="H22" s="1259">
        <f t="shared" si="26"/>
        <v>0</v>
      </c>
      <c r="I22" s="1259">
        <f t="shared" si="26"/>
        <v>2751</v>
      </c>
      <c r="J22" s="496">
        <f t="shared" si="18"/>
        <v>9.9081102676787852E-2</v>
      </c>
      <c r="K22" s="1732">
        <f>SUM(K17:K21)</f>
        <v>2109</v>
      </c>
      <c r="L22" s="1259">
        <f>SUM(L17:L21)</f>
        <v>801</v>
      </c>
      <c r="M22" s="1259">
        <f>SUM(M17:M21)</f>
        <v>0</v>
      </c>
      <c r="N22" s="1259">
        <f>SUM(N17:N21)</f>
        <v>2910</v>
      </c>
      <c r="O22" s="496">
        <f t="shared" si="19"/>
        <v>5.7797164667393673E-2</v>
      </c>
      <c r="P22" s="1732">
        <f>SUM(P17:P21)</f>
        <v>2175</v>
      </c>
      <c r="Q22" s="1259">
        <f>SUM(Q17:Q21)</f>
        <v>761</v>
      </c>
      <c r="R22" s="1259">
        <f>SUM(R17:R21)</f>
        <v>0</v>
      </c>
      <c r="S22" s="1259">
        <f>SUM(S17:S21)</f>
        <v>2936</v>
      </c>
      <c r="T22" s="496">
        <f t="shared" si="20"/>
        <v>8.9347079037800682E-3</v>
      </c>
      <c r="U22" s="1732">
        <f>SUM(U17:U21)</f>
        <v>2146</v>
      </c>
      <c r="V22" s="1259">
        <f>SUM(V17:V21)</f>
        <v>775</v>
      </c>
      <c r="W22" s="1259">
        <f>SUM(W17:W21)</f>
        <v>0</v>
      </c>
      <c r="X22" s="1259">
        <f>SUM(X17:X21)</f>
        <v>2921</v>
      </c>
      <c r="Y22" s="496">
        <f t="shared" si="21"/>
        <v>-5.108991825613079E-3</v>
      </c>
      <c r="Z22" s="1732">
        <f>SUM(Z17:Z21)</f>
        <v>2124</v>
      </c>
      <c r="AA22" s="1259">
        <f>SUM(AA17:AA21)</f>
        <v>804</v>
      </c>
      <c r="AB22" s="1259">
        <f>SUM(AB17:AB21)</f>
        <v>0</v>
      </c>
      <c r="AC22" s="1259">
        <f>SUM(AC17:AC21)</f>
        <v>2928</v>
      </c>
      <c r="AD22" s="496">
        <f t="shared" si="22"/>
        <v>2.3964395754878468E-3</v>
      </c>
      <c r="AE22" s="1732">
        <f>SUM(AE17:AE21)</f>
        <v>1898</v>
      </c>
      <c r="AF22" s="1259">
        <f>SUM(AF17:AF21)</f>
        <v>715</v>
      </c>
      <c r="AG22" s="1259">
        <f>SUM(AG17:AG21)</f>
        <v>0</v>
      </c>
      <c r="AH22" s="1259">
        <f>SUM(AH17:AH21)</f>
        <v>2613</v>
      </c>
      <c r="AI22" s="496">
        <f t="shared" si="23"/>
        <v>-0.10758196721311475</v>
      </c>
      <c r="AJ22" s="1732">
        <f>SUM(AJ17:AJ21)</f>
        <v>1773</v>
      </c>
      <c r="AK22" s="1259">
        <f>SUM(AK17:AK21)</f>
        <v>642</v>
      </c>
      <c r="AL22" s="1259">
        <f>SUM(AL17:AL21)</f>
        <v>39</v>
      </c>
      <c r="AM22" s="1259">
        <f>SUM(AM17:AM21)</f>
        <v>2454</v>
      </c>
      <c r="AN22" s="496">
        <f t="shared" si="24"/>
        <v>-6.0849598163030996E-2</v>
      </c>
      <c r="AO22" s="1732">
        <f>SUM(AO17:AO21)</f>
        <v>1662</v>
      </c>
      <c r="AP22" s="1259">
        <f>SUM(AP17:AP21)</f>
        <v>666</v>
      </c>
      <c r="AQ22" s="1259">
        <f>SUM(AQ17:AQ21)</f>
        <v>27</v>
      </c>
      <c r="AR22" s="1259">
        <f>SUM(AR17:AR21)</f>
        <v>2355</v>
      </c>
      <c r="AS22" s="496">
        <f t="shared" si="25"/>
        <v>-4.0342298288508556E-2</v>
      </c>
    </row>
    <row r="23" spans="1:45" s="502" customFormat="1" ht="16.2" thickBot="1" x14ac:dyDescent="0.35">
      <c r="A23" s="1328" t="s">
        <v>433</v>
      </c>
      <c r="B23" s="974">
        <f t="shared" ref="B23:I23" si="27">+B22+B15</f>
        <v>3385</v>
      </c>
      <c r="C23" s="974">
        <f t="shared" si="27"/>
        <v>2966</v>
      </c>
      <c r="D23" s="974">
        <f t="shared" si="27"/>
        <v>0</v>
      </c>
      <c r="E23" s="989">
        <f t="shared" si="27"/>
        <v>6351</v>
      </c>
      <c r="F23" s="988">
        <f t="shared" si="27"/>
        <v>4114</v>
      </c>
      <c r="G23" s="974">
        <f t="shared" si="27"/>
        <v>3080</v>
      </c>
      <c r="H23" s="974">
        <f t="shared" si="27"/>
        <v>0</v>
      </c>
      <c r="I23" s="974">
        <f t="shared" si="27"/>
        <v>7194</v>
      </c>
      <c r="J23" s="975">
        <f t="shared" si="18"/>
        <v>0.13273500236183278</v>
      </c>
      <c r="K23" s="988">
        <f>+K22+K15</f>
        <v>4743</v>
      </c>
      <c r="L23" s="974">
        <f>+L22+L15</f>
        <v>3244</v>
      </c>
      <c r="M23" s="974">
        <f>+M22+M15</f>
        <v>0</v>
      </c>
      <c r="N23" s="974">
        <f>+N22+N15</f>
        <v>7987</v>
      </c>
      <c r="O23" s="975">
        <f t="shared" si="19"/>
        <v>0.11023074784542675</v>
      </c>
      <c r="P23" s="988">
        <f>+P22+P15</f>
        <v>5079</v>
      </c>
      <c r="Q23" s="974">
        <f>+Q22+Q15</f>
        <v>2946</v>
      </c>
      <c r="R23" s="974">
        <f>+R22+R15</f>
        <v>0</v>
      </c>
      <c r="S23" s="974">
        <f>+S22+S15</f>
        <v>8025</v>
      </c>
      <c r="T23" s="975">
        <f t="shared" si="20"/>
        <v>4.7577313133842494E-3</v>
      </c>
      <c r="U23" s="988">
        <f>+U22+U15</f>
        <v>5011</v>
      </c>
      <c r="V23" s="974">
        <f>+V22+V15</f>
        <v>3282</v>
      </c>
      <c r="W23" s="974">
        <f>+W22+W15</f>
        <v>0</v>
      </c>
      <c r="X23" s="974">
        <f>+X22+X15</f>
        <v>8293</v>
      </c>
      <c r="Y23" s="975">
        <f t="shared" si="21"/>
        <v>3.3395638629283492E-2</v>
      </c>
      <c r="Z23" s="988">
        <f>+Z22+Z15</f>
        <v>4988</v>
      </c>
      <c r="AA23" s="974">
        <f>+AA22+AA15</f>
        <v>3388</v>
      </c>
      <c r="AB23" s="974">
        <f>+AB22+AB15</f>
        <v>0</v>
      </c>
      <c r="AC23" s="974">
        <f>+AC22+AC15</f>
        <v>8376</v>
      </c>
      <c r="AD23" s="975">
        <f t="shared" si="22"/>
        <v>1.0008440853732063E-2</v>
      </c>
      <c r="AE23" s="988">
        <f>+AE22+AE15</f>
        <v>4289</v>
      </c>
      <c r="AF23" s="974">
        <f>+AF22+AF15</f>
        <v>3152</v>
      </c>
      <c r="AG23" s="974">
        <f>+AG22+AG15</f>
        <v>0</v>
      </c>
      <c r="AH23" s="974">
        <f>+AH22+AH15</f>
        <v>7441</v>
      </c>
      <c r="AI23" s="975">
        <f t="shared" si="23"/>
        <v>-0.11162846227316141</v>
      </c>
      <c r="AJ23" s="988">
        <f>+AJ22+AJ15</f>
        <v>4472</v>
      </c>
      <c r="AK23" s="974">
        <f>+AK22+AK15</f>
        <v>2987</v>
      </c>
      <c r="AL23" s="974">
        <f>+AL22+AL15</f>
        <v>39</v>
      </c>
      <c r="AM23" s="974">
        <f>+AM22+AM15</f>
        <v>7498</v>
      </c>
      <c r="AN23" s="975">
        <f t="shared" si="24"/>
        <v>7.6602607176454781E-3</v>
      </c>
      <c r="AO23" s="988">
        <f>+AO22+AO15</f>
        <v>4286</v>
      </c>
      <c r="AP23" s="974">
        <f>+AP22+AP15</f>
        <v>3061</v>
      </c>
      <c r="AQ23" s="974">
        <f>+AQ22+AQ15</f>
        <v>27</v>
      </c>
      <c r="AR23" s="974">
        <f>+AR22+AR15</f>
        <v>7374</v>
      </c>
      <c r="AS23" s="975">
        <f t="shared" si="25"/>
        <v>-1.6537743398239532E-2</v>
      </c>
    </row>
    <row r="24" spans="1:45" x14ac:dyDescent="0.25">
      <c r="A24" s="503"/>
      <c r="B24" s="286"/>
      <c r="C24" s="286"/>
      <c r="D24" s="286"/>
      <c r="E24" s="286"/>
      <c r="F24" s="286"/>
      <c r="G24" s="286"/>
      <c r="H24" s="286"/>
      <c r="I24" s="286"/>
      <c r="J24" s="504"/>
      <c r="K24" s="280"/>
      <c r="L24" s="280"/>
      <c r="M24" s="280"/>
      <c r="N24" s="280"/>
      <c r="O24" s="280"/>
      <c r="P24" s="280"/>
      <c r="Q24" s="280"/>
      <c r="R24" s="280"/>
      <c r="S24" s="280"/>
      <c r="T24" s="280"/>
      <c r="U24" s="280"/>
      <c r="V24" s="280"/>
      <c r="W24" s="280"/>
      <c r="X24" s="280"/>
      <c r="Y24" s="280"/>
      <c r="Z24" s="280"/>
      <c r="AA24" s="280"/>
      <c r="AB24" s="280"/>
      <c r="AC24" s="280"/>
      <c r="AD24" s="280"/>
      <c r="AE24" s="280"/>
      <c r="AF24" s="280"/>
      <c r="AG24" s="280"/>
      <c r="AH24" s="280"/>
    </row>
    <row r="25" spans="1:45" ht="13.8" thickBot="1" x14ac:dyDescent="0.3">
      <c r="A25" s="503"/>
      <c r="B25" s="286"/>
      <c r="C25" s="286"/>
      <c r="D25" s="286"/>
      <c r="E25" s="286"/>
      <c r="F25" s="286"/>
      <c r="G25" s="286"/>
      <c r="H25" s="286"/>
      <c r="I25" s="286"/>
      <c r="J25" s="504"/>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row>
    <row r="26" spans="1:45" customFormat="1" ht="18" thickBot="1" x14ac:dyDescent="0.35">
      <c r="A26" s="2134" t="s">
        <v>424</v>
      </c>
      <c r="B26" s="2135"/>
      <c r="C26" s="2135"/>
      <c r="D26" s="2135"/>
      <c r="E26" s="2135"/>
      <c r="F26" s="2135"/>
      <c r="G26" s="2135"/>
      <c r="H26" s="2135"/>
      <c r="I26" s="2135"/>
      <c r="J26" s="2135"/>
      <c r="K26" s="2135"/>
      <c r="L26" s="2135"/>
      <c r="M26" s="2135"/>
      <c r="N26" s="2135"/>
      <c r="O26" s="2135"/>
      <c r="P26" s="2135"/>
      <c r="Q26" s="2135"/>
      <c r="R26" s="2135"/>
      <c r="S26" s="2135"/>
      <c r="T26" s="2135"/>
      <c r="U26" s="2135"/>
      <c r="V26" s="2135"/>
      <c r="W26" s="2135"/>
      <c r="X26" s="2135"/>
      <c r="Y26" s="2135"/>
      <c r="Z26" s="2135"/>
      <c r="AA26" s="2135"/>
      <c r="AB26" s="2135"/>
      <c r="AC26" s="2135"/>
      <c r="AD26" s="2135"/>
      <c r="AE26" s="2135"/>
      <c r="AF26" s="2135"/>
      <c r="AG26" s="2135"/>
      <c r="AH26" s="2135"/>
      <c r="AI26" s="2135"/>
      <c r="AJ26" s="2135"/>
      <c r="AK26" s="2135"/>
      <c r="AL26" s="2135"/>
      <c r="AM26" s="2135"/>
      <c r="AN26" s="2135"/>
      <c r="AO26" s="2135"/>
      <c r="AP26" s="2135"/>
      <c r="AQ26" s="2135"/>
      <c r="AR26" s="2135"/>
      <c r="AS26" s="2136"/>
    </row>
    <row r="27" spans="1:45" ht="26.4" x14ac:dyDescent="0.25">
      <c r="A27" s="2142" t="s">
        <v>1006</v>
      </c>
      <c r="B27" s="1711" t="s">
        <v>1008</v>
      </c>
      <c r="C27" s="1711" t="s">
        <v>1009</v>
      </c>
      <c r="D27" s="1711" t="s">
        <v>1010</v>
      </c>
      <c r="E27" s="680" t="s">
        <v>1011</v>
      </c>
      <c r="F27" s="1711" t="s">
        <v>1008</v>
      </c>
      <c r="G27" s="1711" t="s">
        <v>1009</v>
      </c>
      <c r="H27" s="1711" t="s">
        <v>1010</v>
      </c>
      <c r="I27" s="1897" t="s">
        <v>1011</v>
      </c>
      <c r="J27" s="584" t="s">
        <v>1012</v>
      </c>
      <c r="K27" s="1711" t="s">
        <v>1008</v>
      </c>
      <c r="L27" s="1711" t="s">
        <v>1009</v>
      </c>
      <c r="M27" s="1711" t="s">
        <v>1010</v>
      </c>
      <c r="N27" s="1897" t="s">
        <v>1011</v>
      </c>
      <c r="O27" s="1715" t="s">
        <v>1012</v>
      </c>
      <c r="P27" s="1711" t="s">
        <v>1008</v>
      </c>
      <c r="Q27" s="1711" t="s">
        <v>1009</v>
      </c>
      <c r="R27" s="1711" t="s">
        <v>1010</v>
      </c>
      <c r="S27" s="1897" t="s">
        <v>1011</v>
      </c>
      <c r="T27" s="1151" t="s">
        <v>1012</v>
      </c>
      <c r="U27" s="1711" t="s">
        <v>1008</v>
      </c>
      <c r="V27" s="1711" t="s">
        <v>1009</v>
      </c>
      <c r="W27" s="1711" t="s">
        <v>1010</v>
      </c>
      <c r="X27" s="1897" t="s">
        <v>1011</v>
      </c>
      <c r="Y27" s="584" t="s">
        <v>1012</v>
      </c>
      <c r="Z27" s="1711" t="s">
        <v>1008</v>
      </c>
      <c r="AA27" s="1711" t="s">
        <v>1009</v>
      </c>
      <c r="AB27" s="1711" t="s">
        <v>1010</v>
      </c>
      <c r="AC27" s="1897" t="s">
        <v>1011</v>
      </c>
      <c r="AD27" s="584" t="s">
        <v>1012</v>
      </c>
      <c r="AE27" s="1711" t="s">
        <v>1008</v>
      </c>
      <c r="AF27" s="1711" t="s">
        <v>1009</v>
      </c>
      <c r="AG27" s="1711" t="s">
        <v>1010</v>
      </c>
      <c r="AH27" s="1897" t="s">
        <v>1011</v>
      </c>
      <c r="AI27" s="584" t="s">
        <v>1012</v>
      </c>
      <c r="AJ27" s="1711" t="s">
        <v>1008</v>
      </c>
      <c r="AK27" s="1711" t="s">
        <v>1009</v>
      </c>
      <c r="AL27" s="1711" t="s">
        <v>1010</v>
      </c>
      <c r="AM27" s="1897" t="s">
        <v>1011</v>
      </c>
      <c r="AN27" s="1715" t="s">
        <v>1012</v>
      </c>
      <c r="AO27" s="1711" t="s">
        <v>1008</v>
      </c>
      <c r="AP27" s="1711" t="s">
        <v>1009</v>
      </c>
      <c r="AQ27" s="1711" t="s">
        <v>1010</v>
      </c>
      <c r="AR27" s="1897" t="s">
        <v>1011</v>
      </c>
      <c r="AS27" s="1715" t="s">
        <v>1012</v>
      </c>
    </row>
    <row r="28" spans="1:45" x14ac:dyDescent="0.25">
      <c r="A28" s="2143"/>
      <c r="B28" s="1257" t="s">
        <v>1500</v>
      </c>
      <c r="C28" s="1711"/>
      <c r="D28" s="1711"/>
      <c r="E28" s="584"/>
      <c r="F28" s="1257" t="s">
        <v>1499</v>
      </c>
      <c r="G28" s="1711"/>
      <c r="H28" s="1711"/>
      <c r="I28" s="1711"/>
      <c r="J28" s="679"/>
      <c r="K28" s="2138" t="s">
        <v>1448</v>
      </c>
      <c r="L28" s="2139"/>
      <c r="M28" s="2139"/>
      <c r="N28" s="2139"/>
      <c r="O28" s="2140"/>
      <c r="P28" s="1868" t="s">
        <v>1449</v>
      </c>
      <c r="Q28" s="1711"/>
      <c r="R28" s="1711"/>
      <c r="S28" s="1711"/>
      <c r="T28" s="679"/>
      <c r="U28" s="1868" t="s">
        <v>1450</v>
      </c>
      <c r="V28" s="1711"/>
      <c r="W28" s="1711"/>
      <c r="X28" s="1711"/>
      <c r="Y28" s="679"/>
      <c r="Z28" s="1868" t="s">
        <v>1551</v>
      </c>
      <c r="AA28" s="1711"/>
      <c r="AB28" s="1711"/>
      <c r="AC28" s="1711"/>
      <c r="AD28" s="679"/>
      <c r="AE28" s="1868" t="str">
        <f>+AE5</f>
        <v>Fall 2013</v>
      </c>
      <c r="AF28" s="1711"/>
      <c r="AG28" s="1711"/>
      <c r="AH28" s="1711"/>
      <c r="AI28" s="679"/>
      <c r="AJ28" s="1868" t="str">
        <f>+AJ5</f>
        <v>Fall 2014</v>
      </c>
      <c r="AK28" s="1711"/>
      <c r="AL28" s="1711"/>
      <c r="AM28" s="1711"/>
      <c r="AN28" s="679"/>
      <c r="AO28" s="1868" t="str">
        <f>+AO5</f>
        <v>Fall 2015</v>
      </c>
      <c r="AP28" s="1711"/>
      <c r="AQ28" s="1711"/>
      <c r="AR28" s="1711"/>
      <c r="AS28" s="679"/>
    </row>
    <row r="29" spans="1:45" x14ac:dyDescent="0.25">
      <c r="A29" s="1325" t="s">
        <v>434</v>
      </c>
      <c r="B29" s="1873"/>
      <c r="C29" s="1874"/>
      <c r="D29" s="1874"/>
      <c r="E29" s="281"/>
      <c r="F29" s="1873"/>
      <c r="G29" s="1874"/>
      <c r="H29" s="1874"/>
      <c r="I29" s="1874"/>
      <c r="J29" s="438"/>
      <c r="K29" s="1873"/>
      <c r="L29" s="1874"/>
      <c r="M29" s="1874"/>
      <c r="N29" s="1874"/>
      <c r="O29" s="438"/>
      <c r="P29" s="1873"/>
      <c r="Q29" s="1874"/>
      <c r="R29" s="1874"/>
      <c r="S29" s="1874"/>
      <c r="T29" s="281"/>
      <c r="U29" s="1873"/>
      <c r="V29" s="1874"/>
      <c r="W29" s="1874"/>
      <c r="X29" s="1874"/>
      <c r="Y29" s="438"/>
      <c r="Z29" s="1873"/>
      <c r="AA29" s="1874"/>
      <c r="AB29" s="1874"/>
      <c r="AC29" s="1874"/>
      <c r="AD29" s="438"/>
      <c r="AE29" s="1873"/>
      <c r="AF29" s="1874"/>
      <c r="AG29" s="1874"/>
      <c r="AH29" s="1874"/>
      <c r="AI29" s="438"/>
      <c r="AJ29" s="1873"/>
      <c r="AK29" s="1874"/>
      <c r="AL29" s="1874"/>
      <c r="AM29" s="1874"/>
      <c r="AN29" s="438"/>
      <c r="AO29" s="1873"/>
      <c r="AP29" s="1874"/>
      <c r="AQ29" s="1874"/>
      <c r="AR29" s="1874"/>
      <c r="AS29" s="438"/>
    </row>
    <row r="30" spans="1:45" x14ac:dyDescent="0.25">
      <c r="A30" s="1319" t="s">
        <v>1624</v>
      </c>
      <c r="B30" s="1677">
        <v>0</v>
      </c>
      <c r="C30" s="1677">
        <v>0</v>
      </c>
      <c r="D30" s="1896">
        <v>0</v>
      </c>
      <c r="E30" s="282">
        <f t="shared" ref="E30:E38" si="28">SUM(B30:D30)</f>
        <v>0</v>
      </c>
      <c r="F30" s="1677">
        <v>0</v>
      </c>
      <c r="G30" s="1677">
        <v>0</v>
      </c>
      <c r="H30" s="1896">
        <v>0</v>
      </c>
      <c r="I30" s="1680">
        <v>0</v>
      </c>
      <c r="J30" s="505" t="str">
        <f>IF(E30&gt;0,(I30-E30)/E30,(IF(I30=0,"N/A",100%)))</f>
        <v>N/A</v>
      </c>
      <c r="K30" s="1680">
        <v>0</v>
      </c>
      <c r="L30" s="1680">
        <v>0</v>
      </c>
      <c r="M30" s="1681">
        <v>0</v>
      </c>
      <c r="N30" s="1680">
        <f>SUM(K30:M30)</f>
        <v>0</v>
      </c>
      <c r="O30" s="505" t="str">
        <f>IF(I30&gt;0,(N30-I30)/I30,(IF(N30=0,"N/A",100%)))</f>
        <v>N/A</v>
      </c>
      <c r="P30" s="1680">
        <v>0</v>
      </c>
      <c r="Q30" s="1680">
        <v>0</v>
      </c>
      <c r="R30" s="1681">
        <v>0</v>
      </c>
      <c r="S30" s="1680">
        <f>SUM(P30:R30)</f>
        <v>0</v>
      </c>
      <c r="T30" s="505" t="str">
        <f>IF(N30&gt;0,(S30-N30)/N30,(IF(S30=0,"N/A",100%)))</f>
        <v>N/A</v>
      </c>
      <c r="U30" s="1680">
        <v>0</v>
      </c>
      <c r="V30" s="1680">
        <v>0</v>
      </c>
      <c r="W30" s="1681">
        <v>0</v>
      </c>
      <c r="X30" s="1680">
        <f>SUM(U30:W30)</f>
        <v>0</v>
      </c>
      <c r="Y30" s="505" t="str">
        <f>IF(S30&gt;0,(X30-S30)/S30,(IF(X30=0,"N/A",100%)))</f>
        <v>N/A</v>
      </c>
      <c r="Z30" s="1680">
        <v>0</v>
      </c>
      <c r="AA30" s="1680">
        <v>0</v>
      </c>
      <c r="AB30" s="1681">
        <v>0</v>
      </c>
      <c r="AC30" s="1680">
        <f>SUM(Z30:AB30)</f>
        <v>0</v>
      </c>
      <c r="AD30" s="505" t="str">
        <f>IF(X30&gt;0,(AC30-X30)/X30,(IF(AC30=0,"N/A",100%)))</f>
        <v>N/A</v>
      </c>
      <c r="AE30" s="1680">
        <v>6</v>
      </c>
      <c r="AF30" s="1680">
        <v>0</v>
      </c>
      <c r="AG30" s="1681">
        <v>0</v>
      </c>
      <c r="AH30" s="1680">
        <f>SUM(AE30:AG30)</f>
        <v>6</v>
      </c>
      <c r="AI30" s="505">
        <f>IF(AC30&gt;0,(AH30-AC30)/AC30,(IF(AH30=0,"N/A",100%)))</f>
        <v>1</v>
      </c>
      <c r="AJ30" s="1680">
        <v>10</v>
      </c>
      <c r="AK30" s="1680">
        <v>0</v>
      </c>
      <c r="AL30" s="1681">
        <v>0</v>
      </c>
      <c r="AM30" s="1680">
        <f t="shared" ref="AM30:AM38" si="29">SUM(AJ30:AL30)</f>
        <v>10</v>
      </c>
      <c r="AN30" s="505">
        <f t="shared" ref="AN30:AN39" si="30">IF(AH30&gt;0,(AM30-AH30)/AH30,(IF(AM30=0,"N/A",100%)))</f>
        <v>0.66666666666666663</v>
      </c>
      <c r="AO30" s="1680">
        <v>4</v>
      </c>
      <c r="AP30" s="1680">
        <v>4</v>
      </c>
      <c r="AQ30" s="1681">
        <v>0</v>
      </c>
      <c r="AR30" s="1680">
        <f t="shared" ref="AR30:AR38" si="31">SUM(AO30:AQ30)</f>
        <v>8</v>
      </c>
      <c r="AS30" s="505">
        <f t="shared" ref="AS30:AS39" si="32">IF(AM30&gt;0,(AR30-AM30)/AM30,(IF(AR30=0,"N/A",100%)))</f>
        <v>-0.2</v>
      </c>
    </row>
    <row r="31" spans="1:45" x14ac:dyDescent="0.25">
      <c r="A31" s="1319" t="s">
        <v>1025</v>
      </c>
      <c r="B31" s="1677">
        <v>141</v>
      </c>
      <c r="C31" s="1677">
        <v>310</v>
      </c>
      <c r="D31" s="1896">
        <v>0</v>
      </c>
      <c r="E31" s="282">
        <f t="shared" si="28"/>
        <v>451</v>
      </c>
      <c r="F31" s="1677">
        <v>135</v>
      </c>
      <c r="G31" s="1677">
        <v>348</v>
      </c>
      <c r="H31" s="1896">
        <v>0</v>
      </c>
      <c r="I31" s="1680">
        <f t="shared" ref="I31:I38" si="33">SUM(F31:H31)</f>
        <v>483</v>
      </c>
      <c r="J31" s="505">
        <f t="shared" ref="J31:J39" si="34">IF(E31&gt;0,(I31-E31)/E31,(IF(I31=0,"N/A",100%)))</f>
        <v>7.0953436807095344E-2</v>
      </c>
      <c r="K31" s="1680">
        <v>141</v>
      </c>
      <c r="L31" s="1680">
        <v>408</v>
      </c>
      <c r="M31" s="1681">
        <v>0</v>
      </c>
      <c r="N31" s="1680">
        <f t="shared" ref="N31:N38" si="35">SUM(K31:M31)</f>
        <v>549</v>
      </c>
      <c r="O31" s="505">
        <f t="shared" ref="O31:O39" si="36">IF(I31&gt;0,(N31-I31)/I31,(IF(N31=0,"N/A",100%)))</f>
        <v>0.13664596273291926</v>
      </c>
      <c r="P31" s="1680">
        <v>126</v>
      </c>
      <c r="Q31" s="1680">
        <v>252</v>
      </c>
      <c r="R31" s="1681">
        <v>0</v>
      </c>
      <c r="S31" s="1680">
        <f t="shared" ref="S31:S38" si="37">SUM(P31:R31)</f>
        <v>378</v>
      </c>
      <c r="T31" s="505">
        <f t="shared" ref="T31:T39" si="38">IF(N31&gt;0,(S31-N31)/N31,(IF(S31=0,"N/A",100%)))</f>
        <v>-0.31147540983606559</v>
      </c>
      <c r="U31" s="1680">
        <v>111</v>
      </c>
      <c r="V31" s="1680">
        <v>262</v>
      </c>
      <c r="W31" s="1681">
        <v>0</v>
      </c>
      <c r="X31" s="1680">
        <f t="shared" ref="X31:X38" si="39">SUM(U31:W31)</f>
        <v>373</v>
      </c>
      <c r="Y31" s="505">
        <f t="shared" ref="Y31:Y39" si="40">IF(S31&gt;0,(X31-S31)/S31,(IF(X31=0,"N/A",100%)))</f>
        <v>-1.3227513227513227E-2</v>
      </c>
      <c r="Z31" s="1680">
        <v>156</v>
      </c>
      <c r="AA31" s="1680">
        <v>301</v>
      </c>
      <c r="AB31" s="1681">
        <v>0</v>
      </c>
      <c r="AC31" s="1680">
        <f t="shared" ref="AC31:AC38" si="41">SUM(Z31:AB31)</f>
        <v>457</v>
      </c>
      <c r="AD31" s="505">
        <f t="shared" ref="AD31:AD39" si="42">IF(X31&gt;0,(AC31-X31)/X31,(IF(AC31=0,"N/A",100%)))</f>
        <v>0.22520107238605899</v>
      </c>
      <c r="AE31" s="1680">
        <v>150</v>
      </c>
      <c r="AF31" s="1680">
        <v>312</v>
      </c>
      <c r="AG31" s="1681">
        <v>0</v>
      </c>
      <c r="AH31" s="1680">
        <f t="shared" ref="AH31:AH38" si="43">SUM(AE31:AG31)</f>
        <v>462</v>
      </c>
      <c r="AI31" s="505">
        <f t="shared" ref="AI31:AI39" si="44">IF(AC31&gt;0,(AH31-AC31)/AC31,(IF(AH31=0,"N/A",100%)))</f>
        <v>1.0940919037199124E-2</v>
      </c>
      <c r="AJ31" s="1680">
        <v>159</v>
      </c>
      <c r="AK31" s="1680">
        <v>320</v>
      </c>
      <c r="AL31" s="1681">
        <v>0</v>
      </c>
      <c r="AM31" s="1680">
        <f t="shared" si="29"/>
        <v>479</v>
      </c>
      <c r="AN31" s="505">
        <f t="shared" si="30"/>
        <v>3.67965367965368E-2</v>
      </c>
      <c r="AO31" s="1680">
        <v>153</v>
      </c>
      <c r="AP31" s="1680">
        <v>427</v>
      </c>
      <c r="AQ31" s="1681">
        <v>0</v>
      </c>
      <c r="AR31" s="1680">
        <f t="shared" si="31"/>
        <v>580</v>
      </c>
      <c r="AS31" s="505">
        <f t="shared" si="32"/>
        <v>0.21085594989561587</v>
      </c>
    </row>
    <row r="32" spans="1:45" x14ac:dyDescent="0.25">
      <c r="A32" s="1319" t="s">
        <v>1026</v>
      </c>
      <c r="B32" s="1677">
        <v>822.5</v>
      </c>
      <c r="C32" s="1677">
        <v>876.5</v>
      </c>
      <c r="D32" s="1896">
        <v>171</v>
      </c>
      <c r="E32" s="282">
        <f t="shared" si="28"/>
        <v>1870</v>
      </c>
      <c r="F32" s="1677">
        <v>795</v>
      </c>
      <c r="G32" s="1677">
        <v>851</v>
      </c>
      <c r="H32" s="1896">
        <v>210</v>
      </c>
      <c r="I32" s="1680">
        <f t="shared" si="33"/>
        <v>1856</v>
      </c>
      <c r="J32" s="505">
        <f t="shared" si="34"/>
        <v>-7.4866310160427805E-3</v>
      </c>
      <c r="K32" s="1680">
        <v>860.5</v>
      </c>
      <c r="L32" s="1680">
        <v>883.5</v>
      </c>
      <c r="M32" s="1681">
        <v>87</v>
      </c>
      <c r="N32" s="1680">
        <f t="shared" si="35"/>
        <v>1831</v>
      </c>
      <c r="O32" s="505">
        <f t="shared" si="36"/>
        <v>-1.3469827586206896E-2</v>
      </c>
      <c r="P32" s="1680">
        <v>1022</v>
      </c>
      <c r="Q32" s="1680">
        <v>888</v>
      </c>
      <c r="R32" s="1681">
        <v>102</v>
      </c>
      <c r="S32" s="1680">
        <f t="shared" si="37"/>
        <v>2012</v>
      </c>
      <c r="T32" s="505">
        <f t="shared" si="38"/>
        <v>9.8853085745494271E-2</v>
      </c>
      <c r="U32" s="1680">
        <v>1044</v>
      </c>
      <c r="V32" s="1680">
        <v>868</v>
      </c>
      <c r="W32" s="1681">
        <v>72</v>
      </c>
      <c r="X32" s="1680">
        <f t="shared" si="39"/>
        <v>1984</v>
      </c>
      <c r="Y32" s="505">
        <f t="shared" si="40"/>
        <v>-1.3916500994035786E-2</v>
      </c>
      <c r="Z32" s="1680">
        <v>821</v>
      </c>
      <c r="AA32" s="1680">
        <v>900</v>
      </c>
      <c r="AB32" s="1681">
        <v>162</v>
      </c>
      <c r="AC32" s="1680">
        <f t="shared" si="41"/>
        <v>1883</v>
      </c>
      <c r="AD32" s="505">
        <f t="shared" si="42"/>
        <v>-5.0907258064516132E-2</v>
      </c>
      <c r="AE32" s="1680">
        <v>932.5</v>
      </c>
      <c r="AF32" s="1680">
        <v>842</v>
      </c>
      <c r="AG32" s="1681">
        <v>153</v>
      </c>
      <c r="AH32" s="1680">
        <f t="shared" si="43"/>
        <v>1927.5</v>
      </c>
      <c r="AI32" s="505">
        <f t="shared" si="44"/>
        <v>2.3632501327668615E-2</v>
      </c>
      <c r="AJ32" s="1680">
        <v>875.5</v>
      </c>
      <c r="AK32" s="1680">
        <v>693</v>
      </c>
      <c r="AL32" s="1681">
        <v>144</v>
      </c>
      <c r="AM32" s="1680">
        <f t="shared" si="29"/>
        <v>1712.5</v>
      </c>
      <c r="AN32" s="505">
        <f t="shared" si="30"/>
        <v>-0.11154345006485085</v>
      </c>
      <c r="AO32" s="1680">
        <v>919.5</v>
      </c>
      <c r="AP32" s="1680">
        <v>615</v>
      </c>
      <c r="AQ32" s="1681">
        <v>93</v>
      </c>
      <c r="AR32" s="1680">
        <f t="shared" si="31"/>
        <v>1627.5</v>
      </c>
      <c r="AS32" s="505">
        <f t="shared" si="32"/>
        <v>-4.9635036496350364E-2</v>
      </c>
    </row>
    <row r="33" spans="1:45" x14ac:dyDescent="0.25">
      <c r="A33" s="1319" t="s">
        <v>1027</v>
      </c>
      <c r="B33" s="1677">
        <v>0</v>
      </c>
      <c r="C33" s="1677">
        <v>0</v>
      </c>
      <c r="D33" s="1896">
        <v>0</v>
      </c>
      <c r="E33" s="282">
        <f t="shared" si="28"/>
        <v>0</v>
      </c>
      <c r="F33" s="1677">
        <v>0</v>
      </c>
      <c r="G33" s="1677">
        <v>0</v>
      </c>
      <c r="H33" s="1896">
        <v>0</v>
      </c>
      <c r="I33" s="1680">
        <f t="shared" si="33"/>
        <v>0</v>
      </c>
      <c r="J33" s="505" t="str">
        <f t="shared" si="34"/>
        <v>N/A</v>
      </c>
      <c r="K33" s="1680">
        <v>0</v>
      </c>
      <c r="L33" s="1680">
        <v>0</v>
      </c>
      <c r="M33" s="1681">
        <v>0</v>
      </c>
      <c r="N33" s="1680">
        <f t="shared" si="35"/>
        <v>0</v>
      </c>
      <c r="O33" s="505" t="str">
        <f t="shared" si="36"/>
        <v>N/A</v>
      </c>
      <c r="P33" s="1680">
        <v>0</v>
      </c>
      <c r="Q33" s="1680">
        <v>0</v>
      </c>
      <c r="R33" s="1681">
        <v>0</v>
      </c>
      <c r="S33" s="1680">
        <f t="shared" si="37"/>
        <v>0</v>
      </c>
      <c r="T33" s="505" t="str">
        <f t="shared" si="38"/>
        <v>N/A</v>
      </c>
      <c r="U33" s="1680">
        <v>0</v>
      </c>
      <c r="V33" s="1680">
        <v>0</v>
      </c>
      <c r="W33" s="1681">
        <v>0</v>
      </c>
      <c r="X33" s="1680">
        <f t="shared" si="39"/>
        <v>0</v>
      </c>
      <c r="Y33" s="505" t="str">
        <f t="shared" si="40"/>
        <v>N/A</v>
      </c>
      <c r="Z33" s="1680">
        <v>0</v>
      </c>
      <c r="AA33" s="1680">
        <v>0</v>
      </c>
      <c r="AB33" s="1681">
        <v>33</v>
      </c>
      <c r="AC33" s="1680">
        <f t="shared" si="41"/>
        <v>33</v>
      </c>
      <c r="AD33" s="505">
        <f t="shared" si="42"/>
        <v>1</v>
      </c>
      <c r="AE33" s="1680">
        <v>0</v>
      </c>
      <c r="AF33" s="1680">
        <v>0</v>
      </c>
      <c r="AG33" s="1681">
        <v>0</v>
      </c>
      <c r="AH33" s="1680">
        <f t="shared" si="43"/>
        <v>0</v>
      </c>
      <c r="AI33" s="505">
        <f t="shared" si="44"/>
        <v>-1</v>
      </c>
      <c r="AJ33" s="1680">
        <v>0</v>
      </c>
      <c r="AK33" s="1680">
        <v>0</v>
      </c>
      <c r="AL33" s="1681">
        <v>0</v>
      </c>
      <c r="AM33" s="1680">
        <f t="shared" si="29"/>
        <v>0</v>
      </c>
      <c r="AN33" s="505" t="str">
        <f t="shared" si="30"/>
        <v>N/A</v>
      </c>
      <c r="AO33" s="1680">
        <v>0</v>
      </c>
      <c r="AP33" s="1680">
        <v>0</v>
      </c>
      <c r="AQ33" s="1681">
        <v>0</v>
      </c>
      <c r="AR33" s="1680">
        <f t="shared" si="31"/>
        <v>0</v>
      </c>
      <c r="AS33" s="505" t="str">
        <f t="shared" si="32"/>
        <v>N/A</v>
      </c>
    </row>
    <row r="34" spans="1:45" x14ac:dyDescent="0.25">
      <c r="A34" s="1334" t="s">
        <v>1463</v>
      </c>
      <c r="B34" s="1680">
        <v>0</v>
      </c>
      <c r="C34" s="1680">
        <v>0</v>
      </c>
      <c r="D34" s="1681">
        <v>0</v>
      </c>
      <c r="E34" s="282">
        <f t="shared" si="28"/>
        <v>0</v>
      </c>
      <c r="F34" s="1680">
        <v>0</v>
      </c>
      <c r="G34" s="1680">
        <v>0</v>
      </c>
      <c r="H34" s="1681">
        <v>0</v>
      </c>
      <c r="I34" s="1680">
        <f t="shared" si="33"/>
        <v>0</v>
      </c>
      <c r="J34" s="505" t="str">
        <f t="shared" si="34"/>
        <v>N/A</v>
      </c>
      <c r="K34" s="1680">
        <v>0</v>
      </c>
      <c r="L34" s="1680">
        <v>0</v>
      </c>
      <c r="M34" s="1681">
        <v>0</v>
      </c>
      <c r="N34" s="1680">
        <f>SUM(K34:M34)</f>
        <v>0</v>
      </c>
      <c r="O34" s="505" t="str">
        <f>IF(I34&gt;0,(N34-I34)/I34,(IF(N34=0,"N/A",100%)))</f>
        <v>N/A</v>
      </c>
      <c r="P34" s="1680">
        <v>0</v>
      </c>
      <c r="Q34" s="1680">
        <v>0</v>
      </c>
      <c r="R34" s="1681">
        <v>0</v>
      </c>
      <c r="S34" s="1680">
        <f t="shared" si="37"/>
        <v>0</v>
      </c>
      <c r="T34" s="505" t="str">
        <f t="shared" si="38"/>
        <v>N/A</v>
      </c>
      <c r="U34" s="1680">
        <v>0</v>
      </c>
      <c r="V34" s="1680">
        <v>0</v>
      </c>
      <c r="W34" s="1681">
        <v>0</v>
      </c>
      <c r="X34" s="1680">
        <f t="shared" si="39"/>
        <v>0</v>
      </c>
      <c r="Y34" s="505" t="str">
        <f t="shared" si="40"/>
        <v>N/A</v>
      </c>
      <c r="Z34" s="1680">
        <v>0</v>
      </c>
      <c r="AA34" s="1680">
        <v>0</v>
      </c>
      <c r="AB34" s="1681">
        <v>0</v>
      </c>
      <c r="AC34" s="1680">
        <f t="shared" si="41"/>
        <v>0</v>
      </c>
      <c r="AD34" s="505" t="str">
        <f t="shared" si="42"/>
        <v>N/A</v>
      </c>
      <c r="AE34" s="1680">
        <v>0</v>
      </c>
      <c r="AF34" s="1680">
        <v>0</v>
      </c>
      <c r="AG34" s="1681">
        <v>0</v>
      </c>
      <c r="AH34" s="1680">
        <f t="shared" si="43"/>
        <v>0</v>
      </c>
      <c r="AI34" s="505" t="str">
        <f t="shared" si="44"/>
        <v>N/A</v>
      </c>
      <c r="AJ34" s="1680">
        <v>0</v>
      </c>
      <c r="AK34" s="1680">
        <v>0</v>
      </c>
      <c r="AL34" s="1681">
        <v>0</v>
      </c>
      <c r="AM34" s="1680">
        <f t="shared" si="29"/>
        <v>0</v>
      </c>
      <c r="AN34" s="505" t="str">
        <f t="shared" si="30"/>
        <v>N/A</v>
      </c>
      <c r="AO34" s="1680">
        <v>0</v>
      </c>
      <c r="AP34" s="1680">
        <v>0</v>
      </c>
      <c r="AQ34" s="1681">
        <v>0</v>
      </c>
      <c r="AR34" s="1680">
        <f t="shared" si="31"/>
        <v>0</v>
      </c>
      <c r="AS34" s="505" t="str">
        <f t="shared" si="32"/>
        <v>N/A</v>
      </c>
    </row>
    <row r="35" spans="1:45" x14ac:dyDescent="0.25">
      <c r="A35" s="1334" t="s">
        <v>1464</v>
      </c>
      <c r="B35" s="1680">
        <v>0</v>
      </c>
      <c r="C35" s="1680">
        <v>0</v>
      </c>
      <c r="D35" s="1681">
        <v>0</v>
      </c>
      <c r="E35" s="282">
        <f t="shared" si="28"/>
        <v>0</v>
      </c>
      <c r="F35" s="1680">
        <v>0</v>
      </c>
      <c r="G35" s="1680">
        <v>0</v>
      </c>
      <c r="H35" s="1681">
        <v>0</v>
      </c>
      <c r="I35" s="1680">
        <f t="shared" si="33"/>
        <v>0</v>
      </c>
      <c r="J35" s="505" t="str">
        <f t="shared" si="34"/>
        <v>N/A</v>
      </c>
      <c r="K35" s="1680">
        <v>0</v>
      </c>
      <c r="L35" s="1680">
        <v>0</v>
      </c>
      <c r="M35" s="1681">
        <v>0</v>
      </c>
      <c r="N35" s="1680">
        <f>SUM(K35:M35)</f>
        <v>0</v>
      </c>
      <c r="O35" s="505" t="str">
        <f>IF(I35&gt;0,(N35-I35)/I35,(IF(N35=0,"N/A",100%)))</f>
        <v>N/A</v>
      </c>
      <c r="P35" s="1680">
        <v>0</v>
      </c>
      <c r="Q35" s="1680">
        <v>0</v>
      </c>
      <c r="R35" s="1681">
        <v>0</v>
      </c>
      <c r="S35" s="1680">
        <f t="shared" si="37"/>
        <v>0</v>
      </c>
      <c r="T35" s="505" t="str">
        <f t="shared" si="38"/>
        <v>N/A</v>
      </c>
      <c r="U35" s="1680">
        <v>0</v>
      </c>
      <c r="V35" s="1680">
        <v>0</v>
      </c>
      <c r="W35" s="1681">
        <v>0</v>
      </c>
      <c r="X35" s="1680">
        <f t="shared" si="39"/>
        <v>0</v>
      </c>
      <c r="Y35" s="505" t="str">
        <f t="shared" si="40"/>
        <v>N/A</v>
      </c>
      <c r="Z35" s="1680">
        <v>0</v>
      </c>
      <c r="AA35" s="1680">
        <v>0</v>
      </c>
      <c r="AB35" s="1681">
        <v>0</v>
      </c>
      <c r="AC35" s="1680">
        <f t="shared" si="41"/>
        <v>0</v>
      </c>
      <c r="AD35" s="505" t="str">
        <f t="shared" si="42"/>
        <v>N/A</v>
      </c>
      <c r="AE35" s="1680">
        <v>0</v>
      </c>
      <c r="AF35" s="1680">
        <v>0</v>
      </c>
      <c r="AG35" s="1681">
        <v>0</v>
      </c>
      <c r="AH35" s="1680">
        <f t="shared" si="43"/>
        <v>0</v>
      </c>
      <c r="AI35" s="505" t="str">
        <f t="shared" si="44"/>
        <v>N/A</v>
      </c>
      <c r="AJ35" s="1680">
        <v>0</v>
      </c>
      <c r="AK35" s="1680">
        <v>0</v>
      </c>
      <c r="AL35" s="1681">
        <v>0</v>
      </c>
      <c r="AM35" s="1680">
        <f t="shared" si="29"/>
        <v>0</v>
      </c>
      <c r="AN35" s="505" t="str">
        <f t="shared" si="30"/>
        <v>N/A</v>
      </c>
      <c r="AO35" s="1680">
        <v>0</v>
      </c>
      <c r="AP35" s="1680">
        <v>0</v>
      </c>
      <c r="AQ35" s="1681">
        <v>0</v>
      </c>
      <c r="AR35" s="1680">
        <f t="shared" si="31"/>
        <v>0</v>
      </c>
      <c r="AS35" s="505" t="str">
        <f t="shared" si="32"/>
        <v>N/A</v>
      </c>
    </row>
    <row r="36" spans="1:45" x14ac:dyDescent="0.25">
      <c r="A36" s="1334" t="s">
        <v>1149</v>
      </c>
      <c r="B36" s="1677">
        <v>0</v>
      </c>
      <c r="C36" s="1677">
        <v>0</v>
      </c>
      <c r="D36" s="1896">
        <v>0</v>
      </c>
      <c r="E36" s="282">
        <f t="shared" si="28"/>
        <v>0</v>
      </c>
      <c r="F36" s="1677">
        <v>0</v>
      </c>
      <c r="G36" s="1677">
        <v>72</v>
      </c>
      <c r="H36" s="1896">
        <v>72</v>
      </c>
      <c r="I36" s="1680">
        <f t="shared" si="33"/>
        <v>144</v>
      </c>
      <c r="J36" s="505">
        <f>IF(E36&gt;0,(I36-E36)/E36,(IF(I36=0,"N/A",100%)))</f>
        <v>1</v>
      </c>
      <c r="K36" s="1680">
        <v>0</v>
      </c>
      <c r="L36" s="1680">
        <v>45</v>
      </c>
      <c r="M36" s="1681">
        <v>78</v>
      </c>
      <c r="N36" s="1680">
        <f t="shared" si="35"/>
        <v>123</v>
      </c>
      <c r="O36" s="505">
        <f>IF(I36&gt;0,(N36-I36)/I36,(IF(N36=0,"N/A",100%)))</f>
        <v>-0.14583333333333334</v>
      </c>
      <c r="P36" s="1680">
        <v>0</v>
      </c>
      <c r="Q36" s="1680">
        <v>27</v>
      </c>
      <c r="R36" s="1681">
        <v>192</v>
      </c>
      <c r="S36" s="1680">
        <f t="shared" si="37"/>
        <v>219</v>
      </c>
      <c r="T36" s="505">
        <f t="shared" si="38"/>
        <v>0.78048780487804881</v>
      </c>
      <c r="U36" s="1680">
        <v>0</v>
      </c>
      <c r="V36" s="1680">
        <v>27</v>
      </c>
      <c r="W36" s="1681">
        <v>39</v>
      </c>
      <c r="X36" s="1680">
        <f t="shared" si="39"/>
        <v>66</v>
      </c>
      <c r="Y36" s="505">
        <f t="shared" si="40"/>
        <v>-0.69863013698630139</v>
      </c>
      <c r="Z36" s="1680">
        <v>0</v>
      </c>
      <c r="AA36" s="1680">
        <v>51</v>
      </c>
      <c r="AB36" s="1681">
        <v>102</v>
      </c>
      <c r="AC36" s="1680">
        <f t="shared" si="41"/>
        <v>153</v>
      </c>
      <c r="AD36" s="505">
        <f t="shared" si="42"/>
        <v>1.3181818181818181</v>
      </c>
      <c r="AE36" s="1680">
        <v>0</v>
      </c>
      <c r="AF36" s="1680">
        <v>21</v>
      </c>
      <c r="AG36" s="1681">
        <v>171</v>
      </c>
      <c r="AH36" s="1680">
        <f t="shared" si="43"/>
        <v>192</v>
      </c>
      <c r="AI36" s="505">
        <f t="shared" si="44"/>
        <v>0.25490196078431371</v>
      </c>
      <c r="AJ36" s="1680">
        <v>0</v>
      </c>
      <c r="AK36" s="1680">
        <v>3</v>
      </c>
      <c r="AL36" s="1681">
        <v>117</v>
      </c>
      <c r="AM36" s="1680">
        <f t="shared" si="29"/>
        <v>120</v>
      </c>
      <c r="AN36" s="505">
        <f t="shared" si="30"/>
        <v>-0.375</v>
      </c>
      <c r="AO36" s="1680">
        <v>0</v>
      </c>
      <c r="AP36" s="1680">
        <v>54</v>
      </c>
      <c r="AQ36" s="1681">
        <v>33</v>
      </c>
      <c r="AR36" s="1680">
        <f t="shared" si="31"/>
        <v>87</v>
      </c>
      <c r="AS36" s="505">
        <f t="shared" si="32"/>
        <v>-0.27500000000000002</v>
      </c>
    </row>
    <row r="37" spans="1:45" x14ac:dyDescent="0.25">
      <c r="A37" s="1319" t="s">
        <v>1028</v>
      </c>
      <c r="B37" s="1677">
        <v>162</v>
      </c>
      <c r="C37" s="1677">
        <v>91</v>
      </c>
      <c r="D37" s="1896">
        <v>0</v>
      </c>
      <c r="E37" s="282">
        <f t="shared" si="28"/>
        <v>253</v>
      </c>
      <c r="F37" s="1677">
        <v>168</v>
      </c>
      <c r="G37" s="1677">
        <v>164</v>
      </c>
      <c r="H37" s="1896">
        <v>0</v>
      </c>
      <c r="I37" s="1680">
        <f t="shared" si="33"/>
        <v>332</v>
      </c>
      <c r="J37" s="505">
        <f t="shared" si="34"/>
        <v>0.31225296442687744</v>
      </c>
      <c r="K37" s="1680">
        <v>255</v>
      </c>
      <c r="L37" s="1680">
        <v>88</v>
      </c>
      <c r="M37" s="1681">
        <v>0</v>
      </c>
      <c r="N37" s="1680">
        <f t="shared" si="35"/>
        <v>343</v>
      </c>
      <c r="O37" s="505">
        <f t="shared" si="36"/>
        <v>3.313253012048193E-2</v>
      </c>
      <c r="P37" s="1680">
        <v>300</v>
      </c>
      <c r="Q37" s="1680">
        <v>114</v>
      </c>
      <c r="R37" s="1681">
        <v>0</v>
      </c>
      <c r="S37" s="1680">
        <f t="shared" si="37"/>
        <v>414</v>
      </c>
      <c r="T37" s="505">
        <f t="shared" si="38"/>
        <v>0.20699708454810495</v>
      </c>
      <c r="U37" s="1680">
        <v>300</v>
      </c>
      <c r="V37" s="1680">
        <v>164</v>
      </c>
      <c r="W37" s="1681">
        <v>0</v>
      </c>
      <c r="X37" s="1680">
        <f t="shared" si="39"/>
        <v>464</v>
      </c>
      <c r="Y37" s="505">
        <f t="shared" si="40"/>
        <v>0.12077294685990338</v>
      </c>
      <c r="Z37" s="1680">
        <v>246</v>
      </c>
      <c r="AA37" s="1680">
        <v>116</v>
      </c>
      <c r="AB37" s="1681">
        <v>0</v>
      </c>
      <c r="AC37" s="1680">
        <f t="shared" si="41"/>
        <v>362</v>
      </c>
      <c r="AD37" s="505">
        <f t="shared" si="42"/>
        <v>-0.21982758620689655</v>
      </c>
      <c r="AE37" s="1680">
        <v>258</v>
      </c>
      <c r="AF37" s="1680">
        <v>185</v>
      </c>
      <c r="AG37" s="1681">
        <v>0</v>
      </c>
      <c r="AH37" s="1680">
        <f t="shared" si="43"/>
        <v>443</v>
      </c>
      <c r="AI37" s="505">
        <f t="shared" si="44"/>
        <v>0.22375690607734808</v>
      </c>
      <c r="AJ37" s="1680">
        <v>276</v>
      </c>
      <c r="AK37" s="1680">
        <v>164</v>
      </c>
      <c r="AL37" s="1681">
        <v>0</v>
      </c>
      <c r="AM37" s="1680">
        <f t="shared" si="29"/>
        <v>440</v>
      </c>
      <c r="AN37" s="505">
        <f t="shared" si="30"/>
        <v>-6.7720090293453723E-3</v>
      </c>
      <c r="AO37" s="1680">
        <v>267</v>
      </c>
      <c r="AP37" s="1680">
        <v>215</v>
      </c>
      <c r="AQ37" s="1681">
        <v>0</v>
      </c>
      <c r="AR37" s="1680">
        <f t="shared" si="31"/>
        <v>482</v>
      </c>
      <c r="AS37" s="505">
        <f t="shared" si="32"/>
        <v>9.5454545454545459E-2</v>
      </c>
    </row>
    <row r="38" spans="1:45" x14ac:dyDescent="0.25">
      <c r="A38" s="1319" t="s">
        <v>1029</v>
      </c>
      <c r="B38" s="1677">
        <v>9</v>
      </c>
      <c r="C38" s="1677">
        <v>0</v>
      </c>
      <c r="D38" s="1896">
        <v>0</v>
      </c>
      <c r="E38" s="282">
        <f t="shared" si="28"/>
        <v>9</v>
      </c>
      <c r="F38" s="1677">
        <v>19</v>
      </c>
      <c r="G38" s="1677">
        <v>22</v>
      </c>
      <c r="H38" s="1896">
        <v>0</v>
      </c>
      <c r="I38" s="1680">
        <f t="shared" si="33"/>
        <v>41</v>
      </c>
      <c r="J38" s="505">
        <f t="shared" si="34"/>
        <v>3.5555555555555554</v>
      </c>
      <c r="K38" s="1680">
        <v>9</v>
      </c>
      <c r="L38" s="1680">
        <v>17</v>
      </c>
      <c r="M38" s="1681">
        <v>0</v>
      </c>
      <c r="N38" s="1680">
        <f t="shared" si="35"/>
        <v>26</v>
      </c>
      <c r="O38" s="505">
        <f t="shared" si="36"/>
        <v>-0.36585365853658536</v>
      </c>
      <c r="P38" s="1680">
        <v>15</v>
      </c>
      <c r="Q38" s="1680">
        <v>14</v>
      </c>
      <c r="R38" s="1681">
        <v>0</v>
      </c>
      <c r="S38" s="1680">
        <f t="shared" si="37"/>
        <v>29</v>
      </c>
      <c r="T38" s="505">
        <f t="shared" si="38"/>
        <v>0.11538461538461539</v>
      </c>
      <c r="U38" s="1680">
        <v>20</v>
      </c>
      <c r="V38" s="1680">
        <v>13</v>
      </c>
      <c r="W38" s="1681">
        <v>0</v>
      </c>
      <c r="X38" s="1680">
        <f t="shared" si="39"/>
        <v>33</v>
      </c>
      <c r="Y38" s="505">
        <f t="shared" si="40"/>
        <v>0.13793103448275862</v>
      </c>
      <c r="Z38" s="1680">
        <v>22</v>
      </c>
      <c r="AA38" s="1680">
        <v>15</v>
      </c>
      <c r="AB38" s="1681">
        <v>0</v>
      </c>
      <c r="AC38" s="1680">
        <f t="shared" si="41"/>
        <v>37</v>
      </c>
      <c r="AD38" s="505">
        <f t="shared" si="42"/>
        <v>0.12121212121212122</v>
      </c>
      <c r="AE38" s="1680">
        <v>26</v>
      </c>
      <c r="AF38" s="1680">
        <v>18</v>
      </c>
      <c r="AG38" s="1681">
        <v>0</v>
      </c>
      <c r="AH38" s="1680">
        <f t="shared" si="43"/>
        <v>44</v>
      </c>
      <c r="AI38" s="505">
        <f t="shared" si="44"/>
        <v>0.1891891891891892</v>
      </c>
      <c r="AJ38" s="1680">
        <v>30</v>
      </c>
      <c r="AK38" s="1680">
        <v>24</v>
      </c>
      <c r="AL38" s="1681">
        <v>0</v>
      </c>
      <c r="AM38" s="1680">
        <f t="shared" si="29"/>
        <v>54</v>
      </c>
      <c r="AN38" s="505">
        <f t="shared" si="30"/>
        <v>0.22727272727272727</v>
      </c>
      <c r="AO38" s="1680">
        <v>38</v>
      </c>
      <c r="AP38" s="1680">
        <v>20</v>
      </c>
      <c r="AQ38" s="1681">
        <v>0</v>
      </c>
      <c r="AR38" s="1680">
        <f t="shared" si="31"/>
        <v>58</v>
      </c>
      <c r="AS38" s="505">
        <f t="shared" si="32"/>
        <v>7.407407407407407E-2</v>
      </c>
    </row>
    <row r="39" spans="1:45" s="484" customFormat="1" ht="13.8" x14ac:dyDescent="0.25">
      <c r="A39" s="1335" t="s">
        <v>1015</v>
      </c>
      <c r="B39" s="1732">
        <f t="shared" ref="B39:I39" si="45">SUM(B30:B38)</f>
        <v>1134.5</v>
      </c>
      <c r="C39" s="1732">
        <f t="shared" si="45"/>
        <v>1277.5</v>
      </c>
      <c r="D39" s="1732">
        <f t="shared" si="45"/>
        <v>171</v>
      </c>
      <c r="E39" s="495">
        <f t="shared" si="45"/>
        <v>2583</v>
      </c>
      <c r="F39" s="1732">
        <f t="shared" si="45"/>
        <v>1117</v>
      </c>
      <c r="G39" s="1732">
        <f t="shared" si="45"/>
        <v>1457</v>
      </c>
      <c r="H39" s="1732">
        <f t="shared" si="45"/>
        <v>282</v>
      </c>
      <c r="I39" s="1732">
        <f t="shared" si="45"/>
        <v>2856</v>
      </c>
      <c r="J39" s="496">
        <f t="shared" si="34"/>
        <v>0.10569105691056911</v>
      </c>
      <c r="K39" s="1732">
        <f>SUM(K30:K38)</f>
        <v>1265.5</v>
      </c>
      <c r="L39" s="1732">
        <f>SUM(L30:L38)</f>
        <v>1441.5</v>
      </c>
      <c r="M39" s="1732">
        <f>SUM(M30:M38)</f>
        <v>165</v>
      </c>
      <c r="N39" s="1732">
        <f>SUM(N30:N38)</f>
        <v>2872</v>
      </c>
      <c r="O39" s="496">
        <f t="shared" si="36"/>
        <v>5.6022408963585435E-3</v>
      </c>
      <c r="P39" s="1732">
        <f>SUM(P30:P38)</f>
        <v>1463</v>
      </c>
      <c r="Q39" s="1732">
        <f>SUM(Q30:Q38)</f>
        <v>1295</v>
      </c>
      <c r="R39" s="1732">
        <f>SUM(R30:R38)</f>
        <v>294</v>
      </c>
      <c r="S39" s="1732">
        <f>SUM(S30:S38)</f>
        <v>3052</v>
      </c>
      <c r="T39" s="496">
        <f t="shared" si="38"/>
        <v>6.2674094707520889E-2</v>
      </c>
      <c r="U39" s="1732">
        <f>SUM(U30:U38)</f>
        <v>1475</v>
      </c>
      <c r="V39" s="1732">
        <f>SUM(V30:V38)</f>
        <v>1334</v>
      </c>
      <c r="W39" s="1732">
        <f>SUM(W30:W38)</f>
        <v>111</v>
      </c>
      <c r="X39" s="1732">
        <f>SUM(X30:X38)</f>
        <v>2920</v>
      </c>
      <c r="Y39" s="496">
        <f t="shared" si="40"/>
        <v>-4.3250327653997382E-2</v>
      </c>
      <c r="Z39" s="1732">
        <f>SUM(Z30:Z38)</f>
        <v>1245</v>
      </c>
      <c r="AA39" s="1732">
        <f>SUM(AA30:AA38)</f>
        <v>1383</v>
      </c>
      <c r="AB39" s="1732">
        <f>SUM(AB30:AB38)</f>
        <v>297</v>
      </c>
      <c r="AC39" s="1732">
        <f>SUM(AC30:AC38)</f>
        <v>2925</v>
      </c>
      <c r="AD39" s="496">
        <f t="shared" si="42"/>
        <v>1.7123287671232876E-3</v>
      </c>
      <c r="AE39" s="1732">
        <f>SUM(AE30:AE38)</f>
        <v>1372.5</v>
      </c>
      <c r="AF39" s="1732">
        <f>SUM(AF30:AF38)</f>
        <v>1378</v>
      </c>
      <c r="AG39" s="1732">
        <f>SUM(AG30:AG38)</f>
        <v>324</v>
      </c>
      <c r="AH39" s="1732">
        <f>SUM(AH30:AH38)</f>
        <v>3074.5</v>
      </c>
      <c r="AI39" s="496">
        <f t="shared" si="44"/>
        <v>5.1111111111111114E-2</v>
      </c>
      <c r="AJ39" s="1732">
        <f>SUM(AJ30:AJ38)</f>
        <v>1350.5</v>
      </c>
      <c r="AK39" s="1732">
        <f>SUM(AK30:AK38)</f>
        <v>1204</v>
      </c>
      <c r="AL39" s="1732">
        <f>SUM(AL30:AL38)</f>
        <v>261</v>
      </c>
      <c r="AM39" s="1732">
        <f>SUM(AM30:AM38)</f>
        <v>2815.5</v>
      </c>
      <c r="AN39" s="496">
        <f t="shared" si="30"/>
        <v>-8.4241340055293545E-2</v>
      </c>
      <c r="AO39" s="1732">
        <f>SUM(AO30:AO38)</f>
        <v>1381.5</v>
      </c>
      <c r="AP39" s="1732">
        <f>SUM(AP30:AP38)</f>
        <v>1335</v>
      </c>
      <c r="AQ39" s="1732">
        <f>SUM(AQ30:AQ38)</f>
        <v>126</v>
      </c>
      <c r="AR39" s="1732">
        <f>SUM(AR30:AR38)</f>
        <v>2842.5</v>
      </c>
      <c r="AS39" s="496">
        <f t="shared" si="32"/>
        <v>9.5897709110282364E-3</v>
      </c>
    </row>
    <row r="40" spans="1:45" x14ac:dyDescent="0.25">
      <c r="A40" s="1325" t="s">
        <v>435</v>
      </c>
      <c r="B40" s="1900"/>
      <c r="C40" s="1900"/>
      <c r="D40" s="1900"/>
      <c r="E40" s="438"/>
      <c r="F40" s="1869"/>
      <c r="G40" s="1877"/>
      <c r="H40" s="1877"/>
      <c r="I40" s="1877"/>
      <c r="J40" s="438"/>
      <c r="K40" s="1869"/>
      <c r="L40" s="1877"/>
      <c r="M40" s="1877"/>
      <c r="N40" s="1877"/>
      <c r="O40" s="438"/>
      <c r="P40" s="1869"/>
      <c r="Q40" s="1877"/>
      <c r="R40" s="1877"/>
      <c r="S40" s="1877"/>
      <c r="T40" s="438"/>
      <c r="U40" s="1869"/>
      <c r="V40" s="1877"/>
      <c r="W40" s="1877"/>
      <c r="X40" s="1877"/>
      <c r="Y40" s="438"/>
      <c r="Z40" s="1869"/>
      <c r="AA40" s="1877"/>
      <c r="AB40" s="1877"/>
      <c r="AC40" s="1877"/>
      <c r="AD40" s="438"/>
      <c r="AE40" s="1869"/>
      <c r="AF40" s="1877"/>
      <c r="AG40" s="1877"/>
      <c r="AH40" s="1877"/>
      <c r="AI40" s="438"/>
      <c r="AJ40" s="1869"/>
      <c r="AK40" s="1877"/>
      <c r="AL40" s="1877"/>
      <c r="AM40" s="1877"/>
      <c r="AN40" s="438"/>
      <c r="AO40" s="1869"/>
      <c r="AP40" s="1877"/>
      <c r="AQ40" s="1877"/>
      <c r="AR40" s="1877"/>
      <c r="AS40" s="438"/>
    </row>
    <row r="41" spans="1:45" x14ac:dyDescent="0.25">
      <c r="A41" s="1336" t="s">
        <v>1059</v>
      </c>
      <c r="B41" s="1616">
        <v>1431</v>
      </c>
      <c r="C41" s="1617">
        <v>567</v>
      </c>
      <c r="D41" s="1896">
        <v>0</v>
      </c>
      <c r="E41" s="326">
        <f>SUM(B41:D41)</f>
        <v>1998</v>
      </c>
      <c r="F41" s="1616">
        <v>1549</v>
      </c>
      <c r="G41" s="1617">
        <v>660</v>
      </c>
      <c r="H41" s="1896">
        <v>0</v>
      </c>
      <c r="I41" s="1246">
        <f>SUM(F41:H41)</f>
        <v>2209</v>
      </c>
      <c r="J41" s="491">
        <f>IF(E41&gt;0,(I41-E41)/E41,(IF(I41=0,"N/A",100%)))</f>
        <v>0.10560560560560561</v>
      </c>
      <c r="K41" s="1683">
        <v>2176</v>
      </c>
      <c r="L41" s="1246">
        <v>650</v>
      </c>
      <c r="M41" s="1681">
        <v>0</v>
      </c>
      <c r="N41" s="1246">
        <f>SUM(K41:M41)</f>
        <v>2826</v>
      </c>
      <c r="O41" s="491">
        <f>IF(I41&gt;0,(N41-I41)/I41,(IF(N41=0,"N/A",100%)))</f>
        <v>0.27931190583974647</v>
      </c>
      <c r="P41" s="1683">
        <v>1881</v>
      </c>
      <c r="Q41" s="1246">
        <v>840</v>
      </c>
      <c r="R41" s="1681">
        <v>0</v>
      </c>
      <c r="S41" s="1246">
        <f>SUM(P41:R41)</f>
        <v>2721</v>
      </c>
      <c r="T41" s="491">
        <f>IF(N41&gt;0,(S41-N41)/N41,(IF(S41=0,"N/A",100%)))</f>
        <v>-3.7154989384288746E-2</v>
      </c>
      <c r="U41" s="1683">
        <v>1863</v>
      </c>
      <c r="V41" s="1246">
        <v>895</v>
      </c>
      <c r="W41" s="1681">
        <v>0</v>
      </c>
      <c r="X41" s="1246">
        <f>SUM(U41:W41)</f>
        <v>2758</v>
      </c>
      <c r="Y41" s="491">
        <f>IF(S41&gt;0,(X41-S41)/S41,(IF(X41=0,"N/A",100%)))</f>
        <v>1.3597941933112825E-2</v>
      </c>
      <c r="Z41" s="1683">
        <v>1833</v>
      </c>
      <c r="AA41" s="1246">
        <v>963</v>
      </c>
      <c r="AB41" s="1681">
        <v>6</v>
      </c>
      <c r="AC41" s="1246">
        <f>SUM(Z41:AB41)</f>
        <v>2802</v>
      </c>
      <c r="AD41" s="491">
        <f>IF(X41&gt;0,(AC41-X41)/X41,(IF(AC41=0,"N/A",100%)))</f>
        <v>1.5953589557650472E-2</v>
      </c>
      <c r="AE41" s="1683">
        <v>1973</v>
      </c>
      <c r="AF41" s="1246">
        <v>1154</v>
      </c>
      <c r="AG41" s="1681">
        <v>0</v>
      </c>
      <c r="AH41" s="1246">
        <f>SUM(AE41:AG41)</f>
        <v>3127</v>
      </c>
      <c r="AI41" s="491">
        <f>IF(AC41&gt;0,(AH41-AC41)/AC41,(IF(AH41=0,"N/A",100%)))</f>
        <v>0.11598857958601</v>
      </c>
      <c r="AJ41" s="1683">
        <v>1467</v>
      </c>
      <c r="AK41" s="1246">
        <v>1003</v>
      </c>
      <c r="AL41" s="1681">
        <v>3</v>
      </c>
      <c r="AM41" s="1246">
        <f>SUM(AJ41:AL41)</f>
        <v>2473</v>
      </c>
      <c r="AN41" s="491">
        <f>IF(AH41&gt;0,(AM41-AH41)/AH41,(IF(AM41=0,"N/A",100%)))</f>
        <v>-0.20914614646626159</v>
      </c>
      <c r="AO41" s="1683">
        <v>1621</v>
      </c>
      <c r="AP41" s="1246">
        <v>861</v>
      </c>
      <c r="AQ41" s="1681">
        <v>0</v>
      </c>
      <c r="AR41" s="1246">
        <f>SUM(AO41:AQ41)</f>
        <v>2482</v>
      </c>
      <c r="AS41" s="491">
        <f>IF(AM41&gt;0,(AR41-AM41)/AM41,(IF(AR41=0,"N/A",100%)))</f>
        <v>3.639304488475536E-3</v>
      </c>
    </row>
    <row r="42" spans="1:45" x14ac:dyDescent="0.25">
      <c r="A42" s="1325" t="s">
        <v>426</v>
      </c>
      <c r="B42" s="1904"/>
      <c r="C42" s="1905"/>
      <c r="D42" s="1905"/>
      <c r="E42" s="438"/>
      <c r="F42" s="1904"/>
      <c r="G42" s="1905"/>
      <c r="H42" s="1905"/>
      <c r="I42" s="1877"/>
      <c r="J42" s="438"/>
      <c r="K42" s="1900"/>
      <c r="L42" s="1900"/>
      <c r="M42" s="1900"/>
      <c r="N42" s="1877"/>
      <c r="O42" s="438"/>
      <c r="P42" s="1869"/>
      <c r="Q42" s="1877"/>
      <c r="R42" s="1877"/>
      <c r="S42" s="1877"/>
      <c r="T42" s="438"/>
      <c r="U42" s="1869"/>
      <c r="V42" s="1877"/>
      <c r="W42" s="1877"/>
      <c r="X42" s="1877"/>
      <c r="Y42" s="438"/>
      <c r="Z42" s="1869"/>
      <c r="AA42" s="1877"/>
      <c r="AB42" s="1877"/>
      <c r="AC42" s="1877"/>
      <c r="AD42" s="438"/>
      <c r="AE42" s="1869"/>
      <c r="AF42" s="1877"/>
      <c r="AG42" s="1877"/>
      <c r="AH42" s="1877"/>
      <c r="AI42" s="438"/>
      <c r="AJ42" s="1869"/>
      <c r="AK42" s="1877"/>
      <c r="AL42" s="1877"/>
      <c r="AM42" s="1877"/>
      <c r="AN42" s="438"/>
      <c r="AO42" s="1869"/>
      <c r="AP42" s="1877"/>
      <c r="AQ42" s="1877"/>
      <c r="AR42" s="1877"/>
      <c r="AS42" s="438"/>
    </row>
    <row r="43" spans="1:45" x14ac:dyDescent="0.25">
      <c r="A43" s="1319" t="s">
        <v>1013</v>
      </c>
      <c r="B43" s="1616">
        <v>1198</v>
      </c>
      <c r="C43" s="1617">
        <v>781</v>
      </c>
      <c r="D43" s="1896">
        <v>0</v>
      </c>
      <c r="E43" s="326">
        <f>SUM(B43:D43)</f>
        <v>1979</v>
      </c>
      <c r="F43" s="1616">
        <v>1156</v>
      </c>
      <c r="G43" s="1617">
        <v>513</v>
      </c>
      <c r="H43" s="1896">
        <v>0</v>
      </c>
      <c r="I43" s="1246">
        <f>SUM(F43:H43)</f>
        <v>1669</v>
      </c>
      <c r="J43" s="491">
        <f>IF(E43&gt;0,(I43-E43)/E43,(IF(I43=0,"N/A",100%)))</f>
        <v>-0.15664477008590197</v>
      </c>
      <c r="K43" s="1683">
        <v>1229</v>
      </c>
      <c r="L43" s="1246">
        <v>566</v>
      </c>
      <c r="M43" s="1681">
        <v>0</v>
      </c>
      <c r="N43" s="1246">
        <f>SUM(K43:M43)</f>
        <v>1795</v>
      </c>
      <c r="O43" s="491">
        <f>IF(I43&gt;0,(N43-I43)/I43,(IF(N43=0,"N/A",100%)))</f>
        <v>7.5494307968843613E-2</v>
      </c>
      <c r="P43" s="1683">
        <v>1655</v>
      </c>
      <c r="Q43" s="1246">
        <v>517</v>
      </c>
      <c r="R43" s="1681">
        <v>0</v>
      </c>
      <c r="S43" s="1246">
        <f>SUM(P43:R43)</f>
        <v>2172</v>
      </c>
      <c r="T43" s="491">
        <f>IF(N43&gt;0,(S43-N43)/N43,(IF(S43=0,"N/A",100%)))</f>
        <v>0.21002785515320335</v>
      </c>
      <c r="U43" s="1683">
        <v>1724</v>
      </c>
      <c r="V43" s="1246">
        <v>691</v>
      </c>
      <c r="W43" s="1681">
        <v>0</v>
      </c>
      <c r="X43" s="1246">
        <f>SUM(U43:W43)</f>
        <v>2415</v>
      </c>
      <c r="Y43" s="491">
        <f>IF(S43&gt;0,(X43-S43)/S43,(IF(X43=0,"N/A",100%)))</f>
        <v>0.11187845303867404</v>
      </c>
      <c r="Z43" s="1683">
        <v>1344</v>
      </c>
      <c r="AA43" s="1246">
        <v>687</v>
      </c>
      <c r="AB43" s="1681">
        <v>0</v>
      </c>
      <c r="AC43" s="1246">
        <f>SUM(Z43:AB43)</f>
        <v>2031</v>
      </c>
      <c r="AD43" s="491">
        <f>IF(X43&gt;0,(AC43-X43)/X43,(IF(AC43=0,"N/A",100%)))</f>
        <v>-0.15900621118012423</v>
      </c>
      <c r="AE43" s="1683">
        <v>1341</v>
      </c>
      <c r="AF43" s="1246">
        <v>801</v>
      </c>
      <c r="AG43" s="1681">
        <v>0</v>
      </c>
      <c r="AH43" s="1246">
        <f>SUM(AE43:AG43)</f>
        <v>2142</v>
      </c>
      <c r="AI43" s="491">
        <f>IF(AC43&gt;0,(AH43-AC43)/AC43,(IF(AH43=0,"N/A",100%)))</f>
        <v>5.4652880354505169E-2</v>
      </c>
      <c r="AJ43" s="1683">
        <v>1144</v>
      </c>
      <c r="AK43" s="1246">
        <v>894</v>
      </c>
      <c r="AL43" s="1681">
        <v>0</v>
      </c>
      <c r="AM43" s="1246">
        <f>SUM(AJ43:AL43)</f>
        <v>2038</v>
      </c>
      <c r="AN43" s="491">
        <f>IF(AH43&gt;0,(AM43-AH43)/AH43,(IF(AM43=0,"N/A",100%)))</f>
        <v>-4.8552754435107377E-2</v>
      </c>
      <c r="AO43" s="1683">
        <v>1149</v>
      </c>
      <c r="AP43" s="1246">
        <v>748</v>
      </c>
      <c r="AQ43" s="1681">
        <v>0</v>
      </c>
      <c r="AR43" s="1246">
        <f>SUM(AO43:AQ43)</f>
        <v>1897</v>
      </c>
      <c r="AS43" s="491">
        <f>IF(AM43&gt;0,(AR43-AM43)/AM43,(IF(AR43=0,"N/A",100%)))</f>
        <v>-6.9185475956820411E-2</v>
      </c>
    </row>
    <row r="44" spans="1:45" s="502" customFormat="1" ht="16.2" thickBot="1" x14ac:dyDescent="0.35">
      <c r="A44" s="1328" t="s">
        <v>427</v>
      </c>
      <c r="B44" s="988">
        <f t="shared" ref="B44:I44" si="46">B43+B41+B39</f>
        <v>3763.5</v>
      </c>
      <c r="C44" s="988">
        <f t="shared" si="46"/>
        <v>2625.5</v>
      </c>
      <c r="D44" s="988">
        <f t="shared" si="46"/>
        <v>171</v>
      </c>
      <c r="E44" s="989">
        <f t="shared" si="46"/>
        <v>6560</v>
      </c>
      <c r="F44" s="988">
        <f>F43+F41+F39</f>
        <v>3822</v>
      </c>
      <c r="G44" s="988">
        <f>G43+G41+G39</f>
        <v>2630</v>
      </c>
      <c r="H44" s="988">
        <f>H43+H41+H39</f>
        <v>282</v>
      </c>
      <c r="I44" s="988">
        <f t="shared" si="46"/>
        <v>6734</v>
      </c>
      <c r="J44" s="975">
        <f>IF(E44&gt;0,(I44-E44)/E44,(IF(I44=0,"N/A",100%)))</f>
        <v>2.6524390243902438E-2</v>
      </c>
      <c r="K44" s="988">
        <f>K43+K41+K39</f>
        <v>4670.5</v>
      </c>
      <c r="L44" s="988">
        <f>L43+L41+L39</f>
        <v>2657.5</v>
      </c>
      <c r="M44" s="988">
        <f>M43+M41+M39</f>
        <v>165</v>
      </c>
      <c r="N44" s="988">
        <f>N43+N41+N39</f>
        <v>7493</v>
      </c>
      <c r="O44" s="975">
        <f>IF(I44&gt;0,(N44-I44)/I44,(IF(N44=0,"N/A",100%)))</f>
        <v>0.11271161271161272</v>
      </c>
      <c r="P44" s="988">
        <f>P43+P41+P39</f>
        <v>4999</v>
      </c>
      <c r="Q44" s="988">
        <f>Q43+Q41+Q39</f>
        <v>2652</v>
      </c>
      <c r="R44" s="988">
        <f>R43+R41+R39</f>
        <v>294</v>
      </c>
      <c r="S44" s="988">
        <f>S43+S41+S39</f>
        <v>7945</v>
      </c>
      <c r="T44" s="975">
        <f>IF(N44&gt;0,(S44-N44)/N44,(IF(S44=0,"N/A",100%)))</f>
        <v>6.0322968103563329E-2</v>
      </c>
      <c r="U44" s="988">
        <f>U43+U41+U39</f>
        <v>5062</v>
      </c>
      <c r="V44" s="988">
        <f>V43+V41+V39</f>
        <v>2920</v>
      </c>
      <c r="W44" s="988">
        <f>W43+W41+W39</f>
        <v>111</v>
      </c>
      <c r="X44" s="988">
        <f>X43+X41+X39</f>
        <v>8093</v>
      </c>
      <c r="Y44" s="975">
        <f>IF(S44&gt;0,(X44-S44)/S44,(IF(X44=0,"N/A",100%)))</f>
        <v>1.8628067967275015E-2</v>
      </c>
      <c r="Z44" s="988">
        <f>Z43+Z41+Z39</f>
        <v>4422</v>
      </c>
      <c r="AA44" s="988">
        <f>AA43+AA41+AA39</f>
        <v>3033</v>
      </c>
      <c r="AB44" s="988">
        <f>AB43+AB41+AB39</f>
        <v>303</v>
      </c>
      <c r="AC44" s="988">
        <f>AC43+AC41+AC39</f>
        <v>7758</v>
      </c>
      <c r="AD44" s="975">
        <f>IF(X44&gt;0,(AC44-X44)/X44,(IF(AC44=0,"N/A",100%)))</f>
        <v>-4.1393797108612379E-2</v>
      </c>
      <c r="AE44" s="988">
        <f>AE43+AE41+AE39</f>
        <v>4686.5</v>
      </c>
      <c r="AF44" s="988">
        <f>AF43+AF41+AF39</f>
        <v>3333</v>
      </c>
      <c r="AG44" s="988">
        <f>AG43+AG41+AG39</f>
        <v>324</v>
      </c>
      <c r="AH44" s="988">
        <f>AH43+AH41+AH39</f>
        <v>8343.5</v>
      </c>
      <c r="AI44" s="975">
        <f>IF(AC44&gt;0,(AH44-AC44)/AC44,(IF(AH44=0,"N/A",100%)))</f>
        <v>7.547048208301109E-2</v>
      </c>
      <c r="AJ44" s="988">
        <f>AJ43+AJ41+AJ39</f>
        <v>3961.5</v>
      </c>
      <c r="AK44" s="988">
        <f>AK43+AK41+AK39</f>
        <v>3101</v>
      </c>
      <c r="AL44" s="988">
        <f>AL43+AL41+AL39</f>
        <v>264</v>
      </c>
      <c r="AM44" s="988">
        <f>AM43+AM41+AM39</f>
        <v>7326.5</v>
      </c>
      <c r="AN44" s="975">
        <f>IF(AH44&gt;0,(AM44-AH44)/AH44,(IF(AM44=0,"N/A",100%)))</f>
        <v>-0.12189129262299994</v>
      </c>
      <c r="AO44" s="988">
        <f>AO43+AO41+AO39</f>
        <v>4151.5</v>
      </c>
      <c r="AP44" s="988">
        <f>AP43+AP41+AP39</f>
        <v>2944</v>
      </c>
      <c r="AQ44" s="988">
        <f>AQ43+AQ41+AQ39</f>
        <v>126</v>
      </c>
      <c r="AR44" s="988">
        <f>AR43+AR41+AR39</f>
        <v>7221.5</v>
      </c>
      <c r="AS44" s="975">
        <f>IF(AM44&gt;0,(AR44-AM44)/AM44,(IF(AR44=0,"N/A",100%)))</f>
        <v>-1.4331536204190268E-2</v>
      </c>
    </row>
    <row r="45" spans="1:45" ht="14.25" customHeight="1" x14ac:dyDescent="0.25">
      <c r="A45" s="507"/>
      <c r="B45" s="286"/>
      <c r="C45" s="286"/>
      <c r="D45" s="286"/>
      <c r="E45" s="286"/>
      <c r="F45" s="286"/>
      <c r="G45" s="286"/>
      <c r="H45" s="286"/>
      <c r="I45" s="286"/>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0"/>
    </row>
    <row r="46" spans="1:45" ht="14.25" customHeight="1" thickBot="1" x14ac:dyDescent="0.3">
      <c r="A46" s="507"/>
      <c r="B46" s="286"/>
      <c r="C46" s="286"/>
      <c r="D46" s="286"/>
      <c r="E46" s="286"/>
      <c r="F46" s="286"/>
      <c r="G46" s="286"/>
      <c r="H46" s="286"/>
      <c r="I46" s="286"/>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row>
    <row r="47" spans="1:45" customFormat="1" ht="18" thickBot="1" x14ac:dyDescent="0.35">
      <c r="A47" s="2134" t="s">
        <v>416</v>
      </c>
      <c r="B47" s="2135"/>
      <c r="C47" s="2135"/>
      <c r="D47" s="2135"/>
      <c r="E47" s="2135"/>
      <c r="F47" s="2135"/>
      <c r="G47" s="2135"/>
      <c r="H47" s="2135"/>
      <c r="I47" s="2135"/>
      <c r="J47" s="2135"/>
      <c r="K47" s="2135"/>
      <c r="L47" s="2135"/>
      <c r="M47" s="2135"/>
      <c r="N47" s="2135"/>
      <c r="O47" s="2135"/>
      <c r="P47" s="2135"/>
      <c r="Q47" s="2135"/>
      <c r="R47" s="2135"/>
      <c r="S47" s="2135"/>
      <c r="T47" s="2135"/>
      <c r="U47" s="2135"/>
      <c r="V47" s="2135"/>
      <c r="W47" s="2135"/>
      <c r="X47" s="2135"/>
      <c r="Y47" s="2135"/>
      <c r="Z47" s="2135"/>
      <c r="AA47" s="2135"/>
      <c r="AB47" s="2135"/>
      <c r="AC47" s="2135"/>
      <c r="AD47" s="2135"/>
      <c r="AE47" s="2135"/>
      <c r="AF47" s="2135"/>
      <c r="AG47" s="2135"/>
      <c r="AH47" s="2135"/>
      <c r="AI47" s="2135"/>
      <c r="AJ47" s="2135"/>
      <c r="AK47" s="2135"/>
      <c r="AL47" s="2135"/>
      <c r="AM47" s="2135"/>
      <c r="AN47" s="2135"/>
      <c r="AO47" s="2135"/>
      <c r="AP47" s="2135"/>
      <c r="AQ47" s="2135"/>
      <c r="AR47" s="2135"/>
      <c r="AS47" s="2136"/>
    </row>
    <row r="48" spans="1:45" ht="26.4" x14ac:dyDescent="0.25">
      <c r="A48" s="2142" t="s">
        <v>1006</v>
      </c>
      <c r="B48" s="1711" t="s">
        <v>1008</v>
      </c>
      <c r="C48" s="1711" t="s">
        <v>1009</v>
      </c>
      <c r="D48" s="1711" t="s">
        <v>1010</v>
      </c>
      <c r="E48" s="680" t="s">
        <v>1011</v>
      </c>
      <c r="F48" s="1711" t="s">
        <v>1008</v>
      </c>
      <c r="G48" s="1711" t="s">
        <v>1009</v>
      </c>
      <c r="H48" s="1711" t="s">
        <v>1010</v>
      </c>
      <c r="I48" s="1897" t="s">
        <v>1011</v>
      </c>
      <c r="J48" s="584" t="s">
        <v>1012</v>
      </c>
      <c r="K48" s="1711" t="s">
        <v>1008</v>
      </c>
      <c r="L48" s="1711" t="s">
        <v>1009</v>
      </c>
      <c r="M48" s="1711" t="s">
        <v>1010</v>
      </c>
      <c r="N48" s="1897" t="s">
        <v>1011</v>
      </c>
      <c r="O48" s="1715" t="s">
        <v>1012</v>
      </c>
      <c r="P48" s="1711" t="s">
        <v>1008</v>
      </c>
      <c r="Q48" s="1711" t="s">
        <v>1009</v>
      </c>
      <c r="R48" s="1711" t="s">
        <v>1010</v>
      </c>
      <c r="S48" s="1897" t="s">
        <v>1011</v>
      </c>
      <c r="T48" s="1151" t="s">
        <v>1012</v>
      </c>
      <c r="U48" s="1711" t="s">
        <v>1008</v>
      </c>
      <c r="V48" s="1711" t="s">
        <v>1009</v>
      </c>
      <c r="W48" s="1711" t="s">
        <v>1010</v>
      </c>
      <c r="X48" s="1714" t="s">
        <v>1011</v>
      </c>
      <c r="Y48" s="584" t="s">
        <v>1012</v>
      </c>
      <c r="Z48" s="1711" t="s">
        <v>1008</v>
      </c>
      <c r="AA48" s="1711" t="s">
        <v>1009</v>
      </c>
      <c r="AB48" s="1711" t="s">
        <v>1010</v>
      </c>
      <c r="AC48" s="1714" t="s">
        <v>1011</v>
      </c>
      <c r="AD48" s="584" t="s">
        <v>1012</v>
      </c>
      <c r="AE48" s="1711" t="s">
        <v>1008</v>
      </c>
      <c r="AF48" s="1711" t="s">
        <v>1009</v>
      </c>
      <c r="AG48" s="1711" t="s">
        <v>1010</v>
      </c>
      <c r="AH48" s="1897" t="s">
        <v>1011</v>
      </c>
      <c r="AI48" s="584" t="s">
        <v>1012</v>
      </c>
      <c r="AJ48" s="1711" t="s">
        <v>1008</v>
      </c>
      <c r="AK48" s="1711" t="s">
        <v>1009</v>
      </c>
      <c r="AL48" s="1711" t="s">
        <v>1010</v>
      </c>
      <c r="AM48" s="1897" t="s">
        <v>1011</v>
      </c>
      <c r="AN48" s="1715" t="s">
        <v>1012</v>
      </c>
      <c r="AO48" s="1711" t="s">
        <v>1008</v>
      </c>
      <c r="AP48" s="1711" t="s">
        <v>1009</v>
      </c>
      <c r="AQ48" s="1711" t="s">
        <v>1010</v>
      </c>
      <c r="AR48" s="1897" t="s">
        <v>1011</v>
      </c>
      <c r="AS48" s="1715" t="s">
        <v>1012</v>
      </c>
    </row>
    <row r="49" spans="1:45" x14ac:dyDescent="0.25">
      <c r="A49" s="2143"/>
      <c r="B49" s="1257" t="s">
        <v>1500</v>
      </c>
      <c r="C49" s="1711"/>
      <c r="D49" s="1711"/>
      <c r="E49" s="584"/>
      <c r="F49" s="1257" t="s">
        <v>1499</v>
      </c>
      <c r="G49" s="1711"/>
      <c r="H49" s="1711"/>
      <c r="I49" s="1711"/>
      <c r="J49" s="679"/>
      <c r="K49" s="2138" t="s">
        <v>1448</v>
      </c>
      <c r="L49" s="2139"/>
      <c r="M49" s="2139"/>
      <c r="N49" s="2139"/>
      <c r="O49" s="2140"/>
      <c r="P49" s="1868" t="s">
        <v>1449</v>
      </c>
      <c r="Q49" s="1711"/>
      <c r="R49" s="1711"/>
      <c r="S49" s="1711"/>
      <c r="T49" s="679"/>
      <c r="U49" s="1868" t="s">
        <v>1450</v>
      </c>
      <c r="V49" s="1711"/>
      <c r="W49" s="1711"/>
      <c r="X49" s="1713"/>
      <c r="Y49" s="679"/>
      <c r="Z49" s="1868" t="s">
        <v>1551</v>
      </c>
      <c r="AA49" s="1711"/>
      <c r="AB49" s="1711"/>
      <c r="AC49" s="1713"/>
      <c r="AD49" s="679"/>
      <c r="AE49" s="1868" t="str">
        <f>+AE28</f>
        <v>Fall 2013</v>
      </c>
      <c r="AF49" s="1711"/>
      <c r="AG49" s="1711"/>
      <c r="AH49" s="1711"/>
      <c r="AI49" s="679"/>
      <c r="AJ49" s="1868" t="str">
        <f>+AJ28</f>
        <v>Fall 2014</v>
      </c>
      <c r="AK49" s="1711"/>
      <c r="AL49" s="1711"/>
      <c r="AM49" s="1711"/>
      <c r="AN49" s="679"/>
      <c r="AO49" s="1868" t="str">
        <f>+AO28</f>
        <v>Fall 2015</v>
      </c>
      <c r="AP49" s="1711"/>
      <c r="AQ49" s="1711"/>
      <c r="AR49" s="1711"/>
      <c r="AS49" s="679"/>
    </row>
    <row r="50" spans="1:45" s="121" customFormat="1" x14ac:dyDescent="0.25">
      <c r="A50" s="1325" t="s">
        <v>417</v>
      </c>
      <c r="B50" s="1869"/>
      <c r="C50" s="1870"/>
      <c r="D50" s="1870"/>
      <c r="E50" s="438"/>
      <c r="F50" s="1869"/>
      <c r="G50" s="1870"/>
      <c r="H50" s="1870"/>
      <c r="I50" s="1870"/>
      <c r="J50" s="438"/>
      <c r="K50" s="1869"/>
      <c r="L50" s="1870"/>
      <c r="M50" s="1870"/>
      <c r="N50" s="1870"/>
      <c r="O50" s="1871"/>
      <c r="P50" s="1869"/>
      <c r="Q50" s="1870"/>
      <c r="R50" s="1870"/>
      <c r="S50" s="1870"/>
      <c r="T50" s="1875"/>
      <c r="U50" s="1869"/>
      <c r="V50" s="1870"/>
      <c r="W50" s="1870"/>
      <c r="X50" s="1036"/>
      <c r="Y50" s="438"/>
      <c r="Z50" s="1869"/>
      <c r="AA50" s="1870"/>
      <c r="AB50" s="1870"/>
      <c r="AC50" s="1036"/>
      <c r="AD50" s="438"/>
      <c r="AE50" s="1869"/>
      <c r="AF50" s="1870"/>
      <c r="AG50" s="1870"/>
      <c r="AH50" s="1870"/>
      <c r="AI50" s="438"/>
      <c r="AJ50" s="1869"/>
      <c r="AK50" s="1870"/>
      <c r="AL50" s="1870"/>
      <c r="AM50" s="1870"/>
      <c r="AN50" s="1871"/>
      <c r="AO50" s="1869"/>
      <c r="AP50" s="1870"/>
      <c r="AQ50" s="1870"/>
      <c r="AR50" s="1870"/>
      <c r="AS50" s="1871"/>
    </row>
    <row r="51" spans="1:45" x14ac:dyDescent="0.25">
      <c r="A51" s="1319" t="s">
        <v>1030</v>
      </c>
      <c r="B51" s="1677">
        <v>987</v>
      </c>
      <c r="C51" s="1677">
        <v>361</v>
      </c>
      <c r="D51" s="1896">
        <v>90</v>
      </c>
      <c r="E51" s="282">
        <f>SUM(B51:D51)</f>
        <v>1438</v>
      </c>
      <c r="F51" s="1677">
        <v>969</v>
      </c>
      <c r="G51" s="1677">
        <v>593</v>
      </c>
      <c r="H51" s="1896">
        <v>126</v>
      </c>
      <c r="I51" s="1680">
        <f>SUM(F51:H51)</f>
        <v>1688</v>
      </c>
      <c r="J51" s="505">
        <f>IF(E51&gt;0,(I51-E51)/E51,(IF(I51=0,"N/A",100%)))</f>
        <v>0.17385257301808066</v>
      </c>
      <c r="K51" s="1680">
        <v>1098</v>
      </c>
      <c r="L51" s="1680">
        <v>523</v>
      </c>
      <c r="M51" s="1681">
        <v>45</v>
      </c>
      <c r="N51" s="1680">
        <f>SUM(K51:M51)</f>
        <v>1666</v>
      </c>
      <c r="O51" s="1679">
        <f>IF(I51&gt;0,(N51-I51)/I51,(IF(N51=0,"N/A",100%)))</f>
        <v>-1.3033175355450236E-2</v>
      </c>
      <c r="P51" s="1680">
        <v>1494</v>
      </c>
      <c r="Q51" s="1680">
        <v>383</v>
      </c>
      <c r="R51" s="1681">
        <v>108</v>
      </c>
      <c r="S51" s="1680">
        <f>SUM(P51:R51)</f>
        <v>1985</v>
      </c>
      <c r="T51" s="1679">
        <f>IF(N51&gt;0,(S51-N51)/N51,(IF(S51=0,"N/A",100%)))</f>
        <v>0.1914765906362545</v>
      </c>
      <c r="U51" s="1680">
        <v>1566</v>
      </c>
      <c r="V51" s="1680">
        <v>451</v>
      </c>
      <c r="W51" s="1681">
        <v>45</v>
      </c>
      <c r="X51" s="1901">
        <f>SUM(U51:W51)</f>
        <v>2062</v>
      </c>
      <c r="Y51" s="505">
        <f>IF(S51&gt;0,(X51-S51)/S51,(IF(X51=0,"N/A",100%)))</f>
        <v>3.8790931989924435E-2</v>
      </c>
      <c r="Z51" s="1680">
        <v>1272</v>
      </c>
      <c r="AA51" s="1680">
        <v>524</v>
      </c>
      <c r="AB51" s="1681">
        <v>63</v>
      </c>
      <c r="AC51" s="1901">
        <f>SUM(Z51:AB51)</f>
        <v>1859</v>
      </c>
      <c r="AD51" s="505">
        <f>IF(X51&gt;0,(AC51-X51)/X51,(IF(AC51=0,"N/A",100%)))</f>
        <v>-9.8448108632395726E-2</v>
      </c>
      <c r="AE51" s="1680">
        <v>1020</v>
      </c>
      <c r="AF51" s="1680">
        <v>540</v>
      </c>
      <c r="AG51" s="1681">
        <v>45</v>
      </c>
      <c r="AH51" s="1680">
        <f>SUM(AE51:AG51)</f>
        <v>1605</v>
      </c>
      <c r="AI51" s="505">
        <f>IF(AC51&gt;0,(AH51-AC51)/AC51,(IF(AH51=0,"N/A",100%)))</f>
        <v>-0.13663259817105972</v>
      </c>
      <c r="AJ51" s="1680">
        <v>1038</v>
      </c>
      <c r="AK51" s="1680">
        <v>387</v>
      </c>
      <c r="AL51" s="1681">
        <v>36</v>
      </c>
      <c r="AM51" s="1680">
        <f>SUM(AJ51:AL51)</f>
        <v>1461</v>
      </c>
      <c r="AN51" s="1679">
        <f>IF(AH51&gt;0,(AM51-AH51)/AH51,(IF(AM51=0,"N/A",100%)))</f>
        <v>-8.9719626168224292E-2</v>
      </c>
      <c r="AO51" s="1680">
        <v>1221</v>
      </c>
      <c r="AP51" s="1680">
        <v>289</v>
      </c>
      <c r="AQ51" s="1681">
        <v>0</v>
      </c>
      <c r="AR51" s="1680">
        <f>SUM(AO51:AQ51)</f>
        <v>1510</v>
      </c>
      <c r="AS51" s="1679">
        <f>IF(AM51&gt;0,(AR51-AM51)/AM51,(IF(AR51=0,"N/A",100%)))</f>
        <v>3.3538672142368241E-2</v>
      </c>
    </row>
    <row r="52" spans="1:45" x14ac:dyDescent="0.25">
      <c r="A52" s="1319" t="s">
        <v>1031</v>
      </c>
      <c r="B52" s="1677">
        <v>10</v>
      </c>
      <c r="C52" s="1677">
        <v>24</v>
      </c>
      <c r="D52" s="1896">
        <v>0</v>
      </c>
      <c r="E52" s="282">
        <f>SUM(B52:D52)</f>
        <v>34</v>
      </c>
      <c r="F52" s="1677">
        <v>118</v>
      </c>
      <c r="G52" s="1677">
        <v>10</v>
      </c>
      <c r="H52" s="1896">
        <v>0</v>
      </c>
      <c r="I52" s="1680">
        <f>SUM(F52:H52)</f>
        <v>128</v>
      </c>
      <c r="J52" s="505">
        <f>IF(E52&gt;0,(I52-E52)/E52,(IF(I52=0,"N/A",100%)))</f>
        <v>2.7647058823529411</v>
      </c>
      <c r="K52" s="1680">
        <v>116</v>
      </c>
      <c r="L52" s="1680">
        <v>9</v>
      </c>
      <c r="M52" s="1681">
        <v>0</v>
      </c>
      <c r="N52" s="1680">
        <f>SUM(K52:M52)</f>
        <v>125</v>
      </c>
      <c r="O52" s="1679">
        <f>IF(I52&gt;0,(N52-I52)/I52,(IF(N52=0,"N/A",100%)))</f>
        <v>-2.34375E-2</v>
      </c>
      <c r="P52" s="1680">
        <v>94</v>
      </c>
      <c r="Q52" s="1680">
        <v>13</v>
      </c>
      <c r="R52" s="1681">
        <v>0</v>
      </c>
      <c r="S52" s="1680">
        <f>SUM(P52:R52)</f>
        <v>107</v>
      </c>
      <c r="T52" s="1679">
        <f>IF(N52&gt;0,(S52-N52)/N52,(IF(S52=0,"N/A",100%)))</f>
        <v>-0.14399999999999999</v>
      </c>
      <c r="U52" s="1680">
        <v>305</v>
      </c>
      <c r="V52" s="1680">
        <v>12</v>
      </c>
      <c r="W52" s="1681">
        <v>0</v>
      </c>
      <c r="X52" s="1901">
        <f>SUM(U52:W52)</f>
        <v>317</v>
      </c>
      <c r="Y52" s="505">
        <f>IF(S52&gt;0,(X52-S52)/S52,(IF(X52=0,"N/A",100%)))</f>
        <v>1.9626168224299065</v>
      </c>
      <c r="Z52" s="1680">
        <v>174</v>
      </c>
      <c r="AA52" s="1680">
        <v>12</v>
      </c>
      <c r="AB52" s="1681">
        <v>0</v>
      </c>
      <c r="AC52" s="1901">
        <f>SUM(Z52:AB52)</f>
        <v>186</v>
      </c>
      <c r="AD52" s="505">
        <f>IF(X52&gt;0,(AC52-X52)/X52,(IF(AC52=0,"N/A",100%)))</f>
        <v>-0.41324921135646686</v>
      </c>
      <c r="AE52" s="1680">
        <v>259</v>
      </c>
      <c r="AF52" s="1680">
        <v>13</v>
      </c>
      <c r="AG52" s="1681">
        <v>0</v>
      </c>
      <c r="AH52" s="1680">
        <f>SUM(AE52:AG52)</f>
        <v>272</v>
      </c>
      <c r="AI52" s="505">
        <f>IF(AC52&gt;0,(AH52-AC52)/AC52,(IF(AH52=0,"N/A",100%)))</f>
        <v>0.46236559139784944</v>
      </c>
      <c r="AJ52" s="1680">
        <v>213</v>
      </c>
      <c r="AK52" s="1680">
        <v>23</v>
      </c>
      <c r="AL52" s="1681">
        <v>0</v>
      </c>
      <c r="AM52" s="1680">
        <f>SUM(AJ52:AL52)</f>
        <v>236</v>
      </c>
      <c r="AN52" s="1679">
        <f>IF(AH52&gt;0,(AM52-AH52)/AH52,(IF(AM52=0,"N/A",100%)))</f>
        <v>-0.13235294117647059</v>
      </c>
      <c r="AO52" s="1680">
        <v>0</v>
      </c>
      <c r="AP52" s="1680">
        <v>0</v>
      </c>
      <c r="AQ52" s="1681">
        <v>0</v>
      </c>
      <c r="AR52" s="1680">
        <f>SUM(AO52:AQ52)</f>
        <v>0</v>
      </c>
      <c r="AS52" s="1679">
        <f>IF(AM52&gt;0,(AR52-AM52)/AM52,(IF(AR52=0,"N/A",100%)))</f>
        <v>-1</v>
      </c>
    </row>
    <row r="53" spans="1:45" x14ac:dyDescent="0.25">
      <c r="A53" s="1319" t="s">
        <v>1068</v>
      </c>
      <c r="B53" s="1028">
        <v>2</v>
      </c>
      <c r="C53" s="1677">
        <v>0</v>
      </c>
      <c r="D53" s="1896">
        <v>0</v>
      </c>
      <c r="E53" s="282">
        <f>SUM(B53:D53)</f>
        <v>2</v>
      </c>
      <c r="F53" s="1028">
        <v>0</v>
      </c>
      <c r="G53" s="1677">
        <v>0</v>
      </c>
      <c r="H53" s="1896">
        <v>0</v>
      </c>
      <c r="I53" s="1680">
        <f>SUM(F53:H53)</f>
        <v>0</v>
      </c>
      <c r="J53" s="505">
        <f>IF(E53&gt;0,(I53-E53)/E53,(IF(I53=0,"N/A",100%)))</f>
        <v>-1</v>
      </c>
      <c r="K53" s="1680">
        <v>4</v>
      </c>
      <c r="L53" s="1680">
        <v>0</v>
      </c>
      <c r="M53" s="1681">
        <v>0</v>
      </c>
      <c r="N53" s="1680">
        <f>SUM(K53:M53)</f>
        <v>4</v>
      </c>
      <c r="O53" s="1679">
        <f>IF(I53&gt;0,(N53-I53)/I53,(IF(N53=0,"N/A",100%)))</f>
        <v>1</v>
      </c>
      <c r="P53" s="683">
        <v>0</v>
      </c>
      <c r="Q53" s="1680">
        <v>0</v>
      </c>
      <c r="R53" s="1681">
        <v>0</v>
      </c>
      <c r="S53" s="1680">
        <f>SUM(P53:R53)</f>
        <v>0</v>
      </c>
      <c r="T53" s="1679">
        <f>IF(N53&gt;0,(S53-N53)/N53,(IF(S53=0,"N/A",100%)))</f>
        <v>-1</v>
      </c>
      <c r="U53" s="1683">
        <v>0</v>
      </c>
      <c r="V53" s="1680">
        <v>0</v>
      </c>
      <c r="W53" s="1681">
        <v>0</v>
      </c>
      <c r="X53" s="1901">
        <f>SUM(U53:W53)</f>
        <v>0</v>
      </c>
      <c r="Y53" s="505" t="str">
        <f>IF(S53&gt;0,(X53-S53)/S53,(IF(X53=0,"N/A",100%)))</f>
        <v>N/A</v>
      </c>
      <c r="Z53" s="1683">
        <v>0</v>
      </c>
      <c r="AA53" s="1680">
        <v>0</v>
      </c>
      <c r="AB53" s="1681">
        <v>0</v>
      </c>
      <c r="AC53" s="1901">
        <f>SUM(Z53:AB53)</f>
        <v>0</v>
      </c>
      <c r="AD53" s="505" t="str">
        <f>IF(X53&gt;0,(AC53-X53)/X53,(IF(AC53=0,"N/A",100%)))</f>
        <v>N/A</v>
      </c>
      <c r="AE53" s="1683">
        <v>0</v>
      </c>
      <c r="AF53" s="1680">
        <v>0</v>
      </c>
      <c r="AG53" s="1681">
        <v>0</v>
      </c>
      <c r="AH53" s="1680">
        <f>SUM(AE53:AG53)</f>
        <v>0</v>
      </c>
      <c r="AI53" s="505" t="str">
        <f>IF(AC53&gt;0,(AH53-AC53)/AC53,(IF(AH53=0,"N/A",100%)))</f>
        <v>N/A</v>
      </c>
      <c r="AJ53" s="1683">
        <v>0</v>
      </c>
      <c r="AK53" s="1680">
        <v>0</v>
      </c>
      <c r="AL53" s="1681">
        <v>0</v>
      </c>
      <c r="AM53" s="1680">
        <f>SUM(AJ53:AL53)</f>
        <v>0</v>
      </c>
      <c r="AN53" s="1679" t="str">
        <f>IF(AH53&gt;0,(AM53-AH53)/AH53,(IF(AM53=0,"N/A",100%)))</f>
        <v>N/A</v>
      </c>
      <c r="AO53" s="1683">
        <v>0</v>
      </c>
      <c r="AP53" s="1680">
        <v>0</v>
      </c>
      <c r="AQ53" s="1681">
        <v>0</v>
      </c>
      <c r="AR53" s="1680">
        <f>SUM(AO53:AQ53)</f>
        <v>0</v>
      </c>
      <c r="AS53" s="1679" t="str">
        <f>IF(AM53&gt;0,(AR53-AM53)/AM53,(IF(AR53=0,"N/A",100%)))</f>
        <v>N/A</v>
      </c>
    </row>
    <row r="54" spans="1:45" s="484" customFormat="1" ht="13.8" x14ac:dyDescent="0.25">
      <c r="A54" s="1322" t="s">
        <v>1015</v>
      </c>
      <c r="B54" s="1776">
        <f t="shared" ref="B54:I54" si="47">+B53+B52+B51</f>
        <v>999</v>
      </c>
      <c r="C54" s="1776">
        <f t="shared" si="47"/>
        <v>385</v>
      </c>
      <c r="D54" s="1776">
        <f t="shared" si="47"/>
        <v>90</v>
      </c>
      <c r="E54" s="495">
        <f t="shared" si="47"/>
        <v>1474</v>
      </c>
      <c r="F54" s="1776">
        <f>+F53+F52+F51</f>
        <v>1087</v>
      </c>
      <c r="G54" s="1776">
        <f>+G53+G52+G51</f>
        <v>603</v>
      </c>
      <c r="H54" s="1776">
        <f>+H53+H52+H51</f>
        <v>126</v>
      </c>
      <c r="I54" s="1776">
        <f t="shared" si="47"/>
        <v>1816</v>
      </c>
      <c r="J54" s="586">
        <f>IF(E54&gt;0,(I54-E54)/E54,(IF(I54=0,"N/A",100%)))</f>
        <v>0.23202170963364993</v>
      </c>
      <c r="K54" s="1776">
        <f>+K53+K52+K51</f>
        <v>1218</v>
      </c>
      <c r="L54" s="1776">
        <f>+L53+L52+L51</f>
        <v>532</v>
      </c>
      <c r="M54" s="1776">
        <f>+M53+M52+M51</f>
        <v>45</v>
      </c>
      <c r="N54" s="1776">
        <f>+N53+N52+N51</f>
        <v>1795</v>
      </c>
      <c r="O54" s="1772">
        <f>IF(I54&gt;0,(N54-I54)/I54,(IF(N54=0,"N/A",100%)))</f>
        <v>-1.1563876651982379E-2</v>
      </c>
      <c r="P54" s="1776">
        <f>+P53+P52+P51</f>
        <v>1588</v>
      </c>
      <c r="Q54" s="1776">
        <f>+Q53+Q52+Q51</f>
        <v>396</v>
      </c>
      <c r="R54" s="1776">
        <f>+R53+R52+R51</f>
        <v>108</v>
      </c>
      <c r="S54" s="1776">
        <f>+S53+S52+S51</f>
        <v>2092</v>
      </c>
      <c r="T54" s="1772">
        <f>IF(N54&gt;0,(S54-N54)/N54,(IF(S54=0,"N/A",100%)))</f>
        <v>0.16545961002785514</v>
      </c>
      <c r="U54" s="1776">
        <f>+U53+U52+U51</f>
        <v>1871</v>
      </c>
      <c r="V54" s="1776">
        <f>+V53+V52+V51</f>
        <v>463</v>
      </c>
      <c r="W54" s="1776">
        <f>+W53+W52+W51</f>
        <v>45</v>
      </c>
      <c r="X54" s="1902">
        <f>+X53+X52+X51</f>
        <v>2379</v>
      </c>
      <c r="Y54" s="586">
        <f>IF(S54&gt;0,(X54-S54)/S54,(IF(X54=0,"N/A",100%)))</f>
        <v>0.13718929254302104</v>
      </c>
      <c r="Z54" s="1776">
        <f>+Z53+Z52+Z51</f>
        <v>1446</v>
      </c>
      <c r="AA54" s="1776">
        <f>+AA53+AA52+AA51</f>
        <v>536</v>
      </c>
      <c r="AB54" s="1776">
        <f>+AB53+AB52+AB51</f>
        <v>63</v>
      </c>
      <c r="AC54" s="1902">
        <f>+AC53+AC52+AC51</f>
        <v>2045</v>
      </c>
      <c r="AD54" s="586">
        <f>IF(X54&gt;0,(AC54-X54)/X54,(IF(AC54=0,"N/A",100%)))</f>
        <v>-0.14039512400168139</v>
      </c>
      <c r="AE54" s="1776">
        <f>+AE53+AE52+AE51</f>
        <v>1279</v>
      </c>
      <c r="AF54" s="1776">
        <f>+AF53+AF52+AF51</f>
        <v>553</v>
      </c>
      <c r="AG54" s="1776">
        <f>+AG53+AG52+AG51</f>
        <v>45</v>
      </c>
      <c r="AH54" s="1776">
        <f>+AH53+AH52+AH51</f>
        <v>1877</v>
      </c>
      <c r="AI54" s="586">
        <f>IF(AC54&gt;0,(AH54-AC54)/AC54,(IF(AH54=0,"N/A",100%)))</f>
        <v>-8.2151589242053791E-2</v>
      </c>
      <c r="AJ54" s="1776">
        <f>+AJ53+AJ52+AJ51</f>
        <v>1251</v>
      </c>
      <c r="AK54" s="1776">
        <f>+AK53+AK52+AK51</f>
        <v>410</v>
      </c>
      <c r="AL54" s="1776">
        <f>+AL53+AL52+AL51</f>
        <v>36</v>
      </c>
      <c r="AM54" s="1776">
        <f>+AM53+AM52+AM51</f>
        <v>1697</v>
      </c>
      <c r="AN54" s="1772">
        <f>IF(AH54&gt;0,(AM54-AH54)/AH54,(IF(AM54=0,"N/A",100%)))</f>
        <v>-9.5897709110282364E-2</v>
      </c>
      <c r="AO54" s="1776">
        <f>+AO53+AO52+AO51</f>
        <v>1221</v>
      </c>
      <c r="AP54" s="1776">
        <f>+AP53+AP52+AP51</f>
        <v>289</v>
      </c>
      <c r="AQ54" s="1776">
        <f>+AQ53+AQ52+AQ51</f>
        <v>0</v>
      </c>
      <c r="AR54" s="1776">
        <f>+AR53+AR52+AR51</f>
        <v>1510</v>
      </c>
      <c r="AS54" s="1772">
        <f>IF(AM54&gt;0,(AR54-AM54)/AM54,(IF(AR54=0,"N/A",100%)))</f>
        <v>-0.11019446081319977</v>
      </c>
    </row>
    <row r="55" spans="1:45" x14ac:dyDescent="0.25">
      <c r="A55" s="1325" t="s">
        <v>420</v>
      </c>
      <c r="B55" s="1900"/>
      <c r="C55" s="1900"/>
      <c r="D55" s="1900"/>
      <c r="E55" s="281"/>
      <c r="F55" s="1873"/>
      <c r="G55" s="1874"/>
      <c r="H55" s="1874"/>
      <c r="I55" s="1874"/>
      <c r="J55" s="281"/>
      <c r="K55" s="1873"/>
      <c r="L55" s="1874"/>
      <c r="M55" s="1874"/>
      <c r="N55" s="1874"/>
      <c r="O55" s="1875"/>
      <c r="P55" s="1873"/>
      <c r="Q55" s="1874"/>
      <c r="R55" s="1874"/>
      <c r="S55" s="1874"/>
      <c r="T55" s="1875"/>
      <c r="U55" s="1873"/>
      <c r="V55" s="1874"/>
      <c r="W55" s="1874"/>
      <c r="X55" s="1903"/>
      <c r="Y55" s="281"/>
      <c r="Z55" s="1873"/>
      <c r="AA55" s="1874"/>
      <c r="AB55" s="1874"/>
      <c r="AC55" s="1903"/>
      <c r="AD55" s="281"/>
      <c r="AE55" s="1873"/>
      <c r="AF55" s="1874"/>
      <c r="AG55" s="1874"/>
      <c r="AH55" s="1874"/>
      <c r="AI55" s="281"/>
      <c r="AJ55" s="1873"/>
      <c r="AK55" s="1874"/>
      <c r="AL55" s="1874"/>
      <c r="AM55" s="1874"/>
      <c r="AN55" s="1875"/>
      <c r="AO55" s="1873"/>
      <c r="AP55" s="1874"/>
      <c r="AQ55" s="1874"/>
      <c r="AR55" s="1874"/>
      <c r="AS55" s="1875"/>
    </row>
    <row r="56" spans="1:45" x14ac:dyDescent="0.25">
      <c r="A56" s="1319" t="s">
        <v>1032</v>
      </c>
      <c r="B56" s="1677">
        <v>129</v>
      </c>
      <c r="C56" s="1677">
        <v>132</v>
      </c>
      <c r="D56" s="1896">
        <v>0</v>
      </c>
      <c r="E56" s="282">
        <f>SUM(B56:D56)</f>
        <v>261</v>
      </c>
      <c r="F56" s="1677">
        <v>114</v>
      </c>
      <c r="G56" s="1677">
        <v>135</v>
      </c>
      <c r="H56" s="1896">
        <v>0</v>
      </c>
      <c r="I56" s="1680">
        <f>SUM(F56:H56)</f>
        <v>249</v>
      </c>
      <c r="J56" s="505">
        <f t="shared" ref="J56:J61" si="48">IF(E56&gt;0,(I56-E56)/E56,(IF(I56=0,"N/A",100%)))</f>
        <v>-4.5977011494252873E-2</v>
      </c>
      <c r="K56" s="1680">
        <v>153</v>
      </c>
      <c r="L56" s="1680">
        <v>84</v>
      </c>
      <c r="M56" s="1681">
        <v>0</v>
      </c>
      <c r="N56" s="1680">
        <f>SUM(K56:M56)</f>
        <v>237</v>
      </c>
      <c r="O56" s="1679">
        <f t="shared" ref="O56:O61" si="49">IF(I56&gt;0,(N56-I56)/I56,(IF(N56=0,"N/A",100%)))</f>
        <v>-4.8192771084337352E-2</v>
      </c>
      <c r="P56" s="1680">
        <v>114</v>
      </c>
      <c r="Q56" s="1680">
        <v>93</v>
      </c>
      <c r="R56" s="1681">
        <v>0</v>
      </c>
      <c r="S56" s="1680">
        <f>SUM(P56:R56)</f>
        <v>207</v>
      </c>
      <c r="T56" s="1679">
        <f t="shared" ref="T56:T61" si="50">IF(N56&gt;0,(S56-N56)/N56,(IF(S56=0,"N/A",100%)))</f>
        <v>-0.12658227848101267</v>
      </c>
      <c r="U56" s="1680">
        <v>147</v>
      </c>
      <c r="V56" s="1680">
        <v>63</v>
      </c>
      <c r="W56" s="1681">
        <v>0</v>
      </c>
      <c r="X56" s="1901">
        <f>SUM(U56:W56)</f>
        <v>210</v>
      </c>
      <c r="Y56" s="505">
        <f t="shared" ref="Y56:Y61" si="51">IF(S56&gt;0,(X56-S56)/S56,(IF(X56=0,"N/A",100%)))</f>
        <v>1.4492753623188406E-2</v>
      </c>
      <c r="Z56" s="1680">
        <v>75</v>
      </c>
      <c r="AA56" s="1680">
        <v>102</v>
      </c>
      <c r="AB56" s="1681">
        <v>0</v>
      </c>
      <c r="AC56" s="1901">
        <f>SUM(Z56:AB56)</f>
        <v>177</v>
      </c>
      <c r="AD56" s="505">
        <f t="shared" ref="AD56:AD61" si="52">IF(X56&gt;0,(AC56-X56)/X56,(IF(AC56=0,"N/A",100%)))</f>
        <v>-0.15714285714285714</v>
      </c>
      <c r="AE56" s="1680">
        <v>135</v>
      </c>
      <c r="AF56" s="1680">
        <v>129</v>
      </c>
      <c r="AG56" s="1681">
        <v>0</v>
      </c>
      <c r="AH56" s="1680">
        <f>SUM(AE56:AG56)</f>
        <v>264</v>
      </c>
      <c r="AI56" s="505">
        <f t="shared" ref="AI56:AI61" si="53">IF(AC56&gt;0,(AH56-AC56)/AC56,(IF(AH56=0,"N/A",100%)))</f>
        <v>0.49152542372881358</v>
      </c>
      <c r="AJ56" s="1680">
        <v>153</v>
      </c>
      <c r="AK56" s="1680">
        <v>102</v>
      </c>
      <c r="AL56" s="1681">
        <v>0</v>
      </c>
      <c r="AM56" s="1680">
        <f>SUM(AJ56:AL56)</f>
        <v>255</v>
      </c>
      <c r="AN56" s="1679">
        <f t="shared" ref="AN56:AN61" si="54">IF(AH56&gt;0,(AM56-AH56)/AH56,(IF(AM56=0,"N/A",100%)))</f>
        <v>-3.4090909090909088E-2</v>
      </c>
      <c r="AO56" s="1680">
        <v>150</v>
      </c>
      <c r="AP56" s="1680">
        <v>114</v>
      </c>
      <c r="AQ56" s="1681">
        <v>0</v>
      </c>
      <c r="AR56" s="1680">
        <f>SUM(AO56:AQ56)</f>
        <v>264</v>
      </c>
      <c r="AS56" s="1679">
        <f t="shared" ref="AS56:AS61" si="55">IF(AM56&gt;0,(AR56-AM56)/AM56,(IF(AR56=0,"N/A",100%)))</f>
        <v>3.5294117647058823E-2</v>
      </c>
    </row>
    <row r="57" spans="1:45" x14ac:dyDescent="0.25">
      <c r="A57" s="1319" t="s">
        <v>1035</v>
      </c>
      <c r="B57" s="1677">
        <v>0</v>
      </c>
      <c r="C57" s="1677">
        <v>11</v>
      </c>
      <c r="D57" s="1896">
        <v>0</v>
      </c>
      <c r="E57" s="282">
        <f>SUM(B57:D57)</f>
        <v>11</v>
      </c>
      <c r="F57" s="1677">
        <v>0</v>
      </c>
      <c r="G57" s="1677">
        <v>26</v>
      </c>
      <c r="H57" s="1896">
        <v>0</v>
      </c>
      <c r="I57" s="1680">
        <f>SUM(F57:H57)</f>
        <v>26</v>
      </c>
      <c r="J57" s="505">
        <f t="shared" si="48"/>
        <v>1.3636363636363635</v>
      </c>
      <c r="K57" s="1680">
        <v>0</v>
      </c>
      <c r="L57" s="1680">
        <v>19</v>
      </c>
      <c r="M57" s="1681">
        <v>0</v>
      </c>
      <c r="N57" s="1680">
        <f>SUM(K57:M57)</f>
        <v>19</v>
      </c>
      <c r="O57" s="1679">
        <f t="shared" si="49"/>
        <v>-0.26923076923076922</v>
      </c>
      <c r="P57" s="1680">
        <v>75</v>
      </c>
      <c r="Q57" s="1680">
        <v>13</v>
      </c>
      <c r="R57" s="1681">
        <v>0</v>
      </c>
      <c r="S57" s="1680">
        <f>SUM(P57:R57)</f>
        <v>88</v>
      </c>
      <c r="T57" s="1679">
        <f t="shared" si="50"/>
        <v>3.6315789473684212</v>
      </c>
      <c r="U57" s="1680">
        <v>129</v>
      </c>
      <c r="V57" s="1680">
        <v>19</v>
      </c>
      <c r="W57" s="1681">
        <v>0</v>
      </c>
      <c r="X57" s="1901">
        <f>SUM(U57:W57)</f>
        <v>148</v>
      </c>
      <c r="Y57" s="505">
        <f t="shared" si="51"/>
        <v>0.68181818181818177</v>
      </c>
      <c r="Z57" s="1680">
        <v>105</v>
      </c>
      <c r="AA57" s="1680">
        <v>8</v>
      </c>
      <c r="AB57" s="1681">
        <v>0</v>
      </c>
      <c r="AC57" s="1901">
        <f>SUM(Z57:AB57)</f>
        <v>113</v>
      </c>
      <c r="AD57" s="505">
        <f t="shared" si="52"/>
        <v>-0.23648648648648649</v>
      </c>
      <c r="AE57" s="1680">
        <v>96</v>
      </c>
      <c r="AF57" s="1680">
        <v>19</v>
      </c>
      <c r="AG57" s="1681">
        <v>0</v>
      </c>
      <c r="AH57" s="1680">
        <f>SUM(AE57:AG57)</f>
        <v>115</v>
      </c>
      <c r="AI57" s="505">
        <f t="shared" si="53"/>
        <v>1.7699115044247787E-2</v>
      </c>
      <c r="AJ57" s="1680">
        <v>96</v>
      </c>
      <c r="AK57" s="1680">
        <v>13</v>
      </c>
      <c r="AL57" s="1681">
        <v>0</v>
      </c>
      <c r="AM57" s="1680">
        <f>SUM(AJ57:AL57)</f>
        <v>109</v>
      </c>
      <c r="AN57" s="1679">
        <f t="shared" si="54"/>
        <v>-5.2173913043478258E-2</v>
      </c>
      <c r="AO57" s="1680">
        <v>96</v>
      </c>
      <c r="AP57" s="1680">
        <v>9</v>
      </c>
      <c r="AQ57" s="1681">
        <v>0</v>
      </c>
      <c r="AR57" s="1680">
        <f>SUM(AO57:AQ57)</f>
        <v>105</v>
      </c>
      <c r="AS57" s="1679">
        <f t="shared" si="55"/>
        <v>-3.669724770642202E-2</v>
      </c>
    </row>
    <row r="58" spans="1:45" x14ac:dyDescent="0.25">
      <c r="A58" s="1319" t="s">
        <v>1036</v>
      </c>
      <c r="B58" s="1677">
        <v>213</v>
      </c>
      <c r="C58" s="1677">
        <v>327</v>
      </c>
      <c r="D58" s="1896">
        <v>0</v>
      </c>
      <c r="E58" s="282">
        <f>SUM(B58:D58)</f>
        <v>540</v>
      </c>
      <c r="F58" s="1677">
        <v>216</v>
      </c>
      <c r="G58" s="1677">
        <v>348</v>
      </c>
      <c r="H58" s="1896">
        <v>0</v>
      </c>
      <c r="I58" s="1680">
        <f>SUM(F58:H58)</f>
        <v>564</v>
      </c>
      <c r="J58" s="505">
        <f t="shared" si="48"/>
        <v>4.4444444444444446E-2</v>
      </c>
      <c r="K58" s="1680">
        <v>282</v>
      </c>
      <c r="L58" s="1680">
        <v>393</v>
      </c>
      <c r="M58" s="1681">
        <v>0</v>
      </c>
      <c r="N58" s="1680">
        <f>SUM(K58:M58)</f>
        <v>675</v>
      </c>
      <c r="O58" s="1679">
        <f t="shared" si="49"/>
        <v>0.19680851063829788</v>
      </c>
      <c r="P58" s="1680">
        <v>441</v>
      </c>
      <c r="Q58" s="1680">
        <v>399</v>
      </c>
      <c r="R58" s="1681">
        <v>0</v>
      </c>
      <c r="S58" s="1680">
        <f>SUM(P58:R58)</f>
        <v>840</v>
      </c>
      <c r="T58" s="1679">
        <f t="shared" si="50"/>
        <v>0.24444444444444444</v>
      </c>
      <c r="U58" s="1680">
        <v>477</v>
      </c>
      <c r="V58" s="1680">
        <v>426</v>
      </c>
      <c r="W58" s="1681">
        <v>0</v>
      </c>
      <c r="X58" s="1901">
        <f>SUM(U58:W58)</f>
        <v>903</v>
      </c>
      <c r="Y58" s="505">
        <f t="shared" si="51"/>
        <v>7.4999999999999997E-2</v>
      </c>
      <c r="Z58" s="1680">
        <v>516</v>
      </c>
      <c r="AA58" s="1680">
        <v>351</v>
      </c>
      <c r="AB58" s="1681">
        <v>0</v>
      </c>
      <c r="AC58" s="1901">
        <f>SUM(Z58:AB58)</f>
        <v>867</v>
      </c>
      <c r="AD58" s="505">
        <f t="shared" si="52"/>
        <v>-3.9867109634551492E-2</v>
      </c>
      <c r="AE58" s="1680">
        <v>471</v>
      </c>
      <c r="AF58" s="1680">
        <v>363</v>
      </c>
      <c r="AG58" s="1681">
        <v>0</v>
      </c>
      <c r="AH58" s="1680">
        <f>SUM(AE58:AG58)</f>
        <v>834</v>
      </c>
      <c r="AI58" s="505">
        <f t="shared" si="53"/>
        <v>-3.8062283737024222E-2</v>
      </c>
      <c r="AJ58" s="1680">
        <v>492</v>
      </c>
      <c r="AK58" s="1680">
        <v>375</v>
      </c>
      <c r="AL58" s="1681">
        <v>0</v>
      </c>
      <c r="AM58" s="1680">
        <f>SUM(AJ58:AL58)</f>
        <v>867</v>
      </c>
      <c r="AN58" s="1679">
        <f t="shared" si="54"/>
        <v>3.9568345323741004E-2</v>
      </c>
      <c r="AO58" s="1680">
        <v>471</v>
      </c>
      <c r="AP58" s="1680">
        <v>291</v>
      </c>
      <c r="AQ58" s="1681">
        <v>0</v>
      </c>
      <c r="AR58" s="1680">
        <f>SUM(AO58:AQ58)</f>
        <v>762</v>
      </c>
      <c r="AS58" s="1679">
        <f t="shared" si="55"/>
        <v>-0.12110726643598616</v>
      </c>
    </row>
    <row r="59" spans="1:45" x14ac:dyDescent="0.25">
      <c r="A59" s="1319" t="s">
        <v>1039</v>
      </c>
      <c r="B59" s="1677">
        <v>387</v>
      </c>
      <c r="C59" s="1677">
        <v>0</v>
      </c>
      <c r="D59" s="1896">
        <v>0</v>
      </c>
      <c r="E59" s="282">
        <f>SUM(B59:D59)</f>
        <v>387</v>
      </c>
      <c r="F59" s="1677">
        <v>459</v>
      </c>
      <c r="G59" s="1677">
        <v>0</v>
      </c>
      <c r="H59" s="1896">
        <v>0</v>
      </c>
      <c r="I59" s="1680">
        <f>SUM(F59:H59)</f>
        <v>459</v>
      </c>
      <c r="J59" s="505">
        <f t="shared" si="48"/>
        <v>0.18604651162790697</v>
      </c>
      <c r="K59" s="1680">
        <v>654</v>
      </c>
      <c r="L59" s="1680">
        <v>0</v>
      </c>
      <c r="M59" s="1681">
        <v>0</v>
      </c>
      <c r="N59" s="1680">
        <f>SUM(K59:M59)</f>
        <v>654</v>
      </c>
      <c r="O59" s="1679">
        <f t="shared" si="49"/>
        <v>0.42483660130718953</v>
      </c>
      <c r="P59" s="1680">
        <v>699</v>
      </c>
      <c r="Q59" s="1680">
        <v>0</v>
      </c>
      <c r="R59" s="1681">
        <v>0</v>
      </c>
      <c r="S59" s="1680">
        <f>SUM(P59:R59)</f>
        <v>699</v>
      </c>
      <c r="T59" s="1679">
        <f t="shared" si="50"/>
        <v>6.8807339449541288E-2</v>
      </c>
      <c r="U59" s="1680">
        <v>459</v>
      </c>
      <c r="V59" s="1680">
        <v>0</v>
      </c>
      <c r="W59" s="1681">
        <v>0</v>
      </c>
      <c r="X59" s="1901">
        <f>SUM(U59:W59)</f>
        <v>459</v>
      </c>
      <c r="Y59" s="505">
        <f t="shared" si="51"/>
        <v>-0.34334763948497854</v>
      </c>
      <c r="Z59" s="1680">
        <v>579</v>
      </c>
      <c r="AA59" s="1680">
        <v>0</v>
      </c>
      <c r="AB59" s="1681">
        <v>0</v>
      </c>
      <c r="AC59" s="1901">
        <f>SUM(Z59:AB59)</f>
        <v>579</v>
      </c>
      <c r="AD59" s="505">
        <f t="shared" si="52"/>
        <v>0.26143790849673204</v>
      </c>
      <c r="AE59" s="1680">
        <v>315</v>
      </c>
      <c r="AF59" s="1680">
        <v>0</v>
      </c>
      <c r="AG59" s="1681">
        <v>0</v>
      </c>
      <c r="AH59" s="1680">
        <f>SUM(AE59:AG59)</f>
        <v>315</v>
      </c>
      <c r="AI59" s="505">
        <f t="shared" si="53"/>
        <v>-0.45595854922279794</v>
      </c>
      <c r="AJ59" s="1680">
        <v>408</v>
      </c>
      <c r="AK59" s="1680">
        <v>0</v>
      </c>
      <c r="AL59" s="1681">
        <v>0</v>
      </c>
      <c r="AM59" s="1680">
        <f>SUM(AJ59:AL59)</f>
        <v>408</v>
      </c>
      <c r="AN59" s="1679">
        <f t="shared" si="54"/>
        <v>0.29523809523809524</v>
      </c>
      <c r="AO59" s="1680">
        <v>384</v>
      </c>
      <c r="AP59" s="1680">
        <v>0</v>
      </c>
      <c r="AQ59" s="1681">
        <v>0</v>
      </c>
      <c r="AR59" s="1680">
        <f>SUM(AO59:AQ59)</f>
        <v>384</v>
      </c>
      <c r="AS59" s="1679">
        <f t="shared" si="55"/>
        <v>-5.8823529411764705E-2</v>
      </c>
    </row>
    <row r="60" spans="1:45" x14ac:dyDescent="0.25">
      <c r="A60" s="1319" t="s">
        <v>1040</v>
      </c>
      <c r="B60" s="1677">
        <v>339</v>
      </c>
      <c r="C60" s="1677">
        <v>80</v>
      </c>
      <c r="D60" s="1896">
        <v>0</v>
      </c>
      <c r="E60" s="282">
        <f>SUM(B60:D60)</f>
        <v>419</v>
      </c>
      <c r="F60" s="1677">
        <v>491</v>
      </c>
      <c r="G60" s="1677">
        <v>106</v>
      </c>
      <c r="H60" s="1896">
        <v>0</v>
      </c>
      <c r="I60" s="1680">
        <f>SUM(F60:H60)</f>
        <v>597</v>
      </c>
      <c r="J60" s="505">
        <f t="shared" si="48"/>
        <v>0.42482100238663484</v>
      </c>
      <c r="K60" s="1680">
        <v>520</v>
      </c>
      <c r="L60" s="1680">
        <v>124</v>
      </c>
      <c r="M60" s="1681">
        <v>0</v>
      </c>
      <c r="N60" s="1680">
        <f>SUM(K60:M60)</f>
        <v>644</v>
      </c>
      <c r="O60" s="1679">
        <f t="shared" si="49"/>
        <v>7.8726968174204354E-2</v>
      </c>
      <c r="P60" s="1680">
        <v>474</v>
      </c>
      <c r="Q60" s="1680">
        <v>177</v>
      </c>
      <c r="R60" s="1681">
        <v>0</v>
      </c>
      <c r="S60" s="1680">
        <f>SUM(P60:R60)</f>
        <v>651</v>
      </c>
      <c r="T60" s="1679">
        <f t="shared" si="50"/>
        <v>1.0869565217391304E-2</v>
      </c>
      <c r="U60" s="1680">
        <v>513</v>
      </c>
      <c r="V60" s="1680">
        <v>152</v>
      </c>
      <c r="W60" s="1681">
        <v>0</v>
      </c>
      <c r="X60" s="1901">
        <f>SUM(U60:W60)</f>
        <v>665</v>
      </c>
      <c r="Y60" s="505">
        <f t="shared" si="51"/>
        <v>2.1505376344086023E-2</v>
      </c>
      <c r="Z60" s="1680">
        <v>528</v>
      </c>
      <c r="AA60" s="1680">
        <v>104</v>
      </c>
      <c r="AB60" s="1681">
        <v>0</v>
      </c>
      <c r="AC60" s="1901">
        <f>SUM(Z60:AB60)</f>
        <v>632</v>
      </c>
      <c r="AD60" s="505">
        <f t="shared" si="52"/>
        <v>-4.9624060150375938E-2</v>
      </c>
      <c r="AE60" s="1680">
        <v>422</v>
      </c>
      <c r="AF60" s="1680">
        <v>154</v>
      </c>
      <c r="AG60" s="1681">
        <v>0</v>
      </c>
      <c r="AH60" s="1680">
        <f>SUM(AE60:AG60)</f>
        <v>576</v>
      </c>
      <c r="AI60" s="505">
        <f t="shared" si="53"/>
        <v>-8.8607594936708861E-2</v>
      </c>
      <c r="AJ60" s="1680">
        <v>222</v>
      </c>
      <c r="AK60" s="1680">
        <v>113</v>
      </c>
      <c r="AL60" s="1681">
        <v>0</v>
      </c>
      <c r="AM60" s="1680">
        <f>SUM(AJ60:AL60)</f>
        <v>335</v>
      </c>
      <c r="AN60" s="1679">
        <f t="shared" si="54"/>
        <v>-0.41840277777777779</v>
      </c>
      <c r="AO60" s="1680">
        <v>165</v>
      </c>
      <c r="AP60" s="1680">
        <v>77</v>
      </c>
      <c r="AQ60" s="1681">
        <v>0</v>
      </c>
      <c r="AR60" s="1680">
        <f>SUM(AO60:AQ60)</f>
        <v>242</v>
      </c>
      <c r="AS60" s="1679">
        <f t="shared" si="55"/>
        <v>-0.27761194029850744</v>
      </c>
    </row>
    <row r="61" spans="1:45" s="484" customFormat="1" ht="13.8" x14ac:dyDescent="0.25">
      <c r="A61" s="1322" t="s">
        <v>1015</v>
      </c>
      <c r="B61" s="1776">
        <f t="shared" ref="B61:I61" si="56">SUM(B56:B60)</f>
        <v>1068</v>
      </c>
      <c r="C61" s="1776">
        <f t="shared" si="56"/>
        <v>550</v>
      </c>
      <c r="D61" s="1776">
        <f t="shared" si="56"/>
        <v>0</v>
      </c>
      <c r="E61" s="512">
        <f t="shared" si="56"/>
        <v>1618</v>
      </c>
      <c r="F61" s="1776">
        <f>SUM(F56:F60)</f>
        <v>1280</v>
      </c>
      <c r="G61" s="1776">
        <f>SUM(G56:G60)</f>
        <v>615</v>
      </c>
      <c r="H61" s="1776">
        <f>SUM(H56:H60)</f>
        <v>0</v>
      </c>
      <c r="I61" s="1776">
        <f t="shared" si="56"/>
        <v>1895</v>
      </c>
      <c r="J61" s="586">
        <f t="shared" si="48"/>
        <v>0.17119901112484548</v>
      </c>
      <c r="K61" s="1776">
        <f>SUM(K56:K60)</f>
        <v>1609</v>
      </c>
      <c r="L61" s="1776">
        <f>SUM(L56:L60)</f>
        <v>620</v>
      </c>
      <c r="M61" s="1776">
        <f>SUM(M56:M60)</f>
        <v>0</v>
      </c>
      <c r="N61" s="1776">
        <f>SUM(N56:N60)</f>
        <v>2229</v>
      </c>
      <c r="O61" s="1772">
        <f t="shared" si="49"/>
        <v>0.17625329815303431</v>
      </c>
      <c r="P61" s="1776">
        <f>SUM(P56:P60)</f>
        <v>1803</v>
      </c>
      <c r="Q61" s="1776">
        <f>SUM(Q56:Q60)</f>
        <v>682</v>
      </c>
      <c r="R61" s="1776">
        <f>SUM(R56:R60)</f>
        <v>0</v>
      </c>
      <c r="S61" s="1776">
        <f>SUM(S56:S60)</f>
        <v>2485</v>
      </c>
      <c r="T61" s="1772">
        <f t="shared" si="50"/>
        <v>0.11484970838941229</v>
      </c>
      <c r="U61" s="1776">
        <f>SUM(U56:U60)</f>
        <v>1725</v>
      </c>
      <c r="V61" s="1776">
        <f>SUM(V56:V60)</f>
        <v>660</v>
      </c>
      <c r="W61" s="1776">
        <f>SUM(W56:W60)</f>
        <v>0</v>
      </c>
      <c r="X61" s="1902">
        <f>SUM(X56:X60)</f>
        <v>2385</v>
      </c>
      <c r="Y61" s="586">
        <f t="shared" si="51"/>
        <v>-4.0241448692152917E-2</v>
      </c>
      <c r="Z61" s="1776">
        <f>SUM(Z56:Z60)</f>
        <v>1803</v>
      </c>
      <c r="AA61" s="1776">
        <f>SUM(AA56:AA60)</f>
        <v>565</v>
      </c>
      <c r="AB61" s="1776">
        <f>SUM(AB56:AB60)</f>
        <v>0</v>
      </c>
      <c r="AC61" s="1902">
        <f>SUM(AC56:AC60)</f>
        <v>2368</v>
      </c>
      <c r="AD61" s="586">
        <f t="shared" si="52"/>
        <v>-7.1278825995807127E-3</v>
      </c>
      <c r="AE61" s="1776">
        <f>SUM(AE56:AE60)</f>
        <v>1439</v>
      </c>
      <c r="AF61" s="1776">
        <f>SUM(AF56:AF60)</f>
        <v>665</v>
      </c>
      <c r="AG61" s="1776">
        <f>SUM(AG56:AG60)</f>
        <v>0</v>
      </c>
      <c r="AH61" s="1776">
        <f>SUM(AH56:AH60)</f>
        <v>2104</v>
      </c>
      <c r="AI61" s="586">
        <f t="shared" si="53"/>
        <v>-0.11148648648648649</v>
      </c>
      <c r="AJ61" s="1776">
        <f>SUM(AJ56:AJ60)</f>
        <v>1371</v>
      </c>
      <c r="AK61" s="1776">
        <f>SUM(AK56:AK60)</f>
        <v>603</v>
      </c>
      <c r="AL61" s="1776">
        <f>SUM(AL56:AL60)</f>
        <v>0</v>
      </c>
      <c r="AM61" s="1776">
        <f>SUM(AM56:AM60)</f>
        <v>1974</v>
      </c>
      <c r="AN61" s="1772">
        <f t="shared" si="54"/>
        <v>-6.1787072243346008E-2</v>
      </c>
      <c r="AO61" s="1776">
        <f>SUM(AO56:AO60)</f>
        <v>1266</v>
      </c>
      <c r="AP61" s="1776">
        <f>SUM(AP56:AP60)</f>
        <v>491</v>
      </c>
      <c r="AQ61" s="1776">
        <f>SUM(AQ56:AQ60)</f>
        <v>0</v>
      </c>
      <c r="AR61" s="1776">
        <f>SUM(AR56:AR60)</f>
        <v>1757</v>
      </c>
      <c r="AS61" s="1772">
        <f t="shared" si="55"/>
        <v>-0.1099290780141844</v>
      </c>
    </row>
    <row r="62" spans="1:45" x14ac:dyDescent="0.25">
      <c r="A62" s="1325" t="s">
        <v>422</v>
      </c>
      <c r="B62" s="1900"/>
      <c r="C62" s="1900"/>
      <c r="D62" s="1900"/>
      <c r="E62" s="281"/>
      <c r="F62" s="1873"/>
      <c r="G62" s="1874"/>
      <c r="H62" s="1874"/>
      <c r="I62" s="1874"/>
      <c r="J62" s="281"/>
      <c r="K62" s="1873"/>
      <c r="L62" s="1874"/>
      <c r="M62" s="1874"/>
      <c r="N62" s="1874"/>
      <c r="O62" s="1875"/>
      <c r="P62" s="1873"/>
      <c r="Q62" s="1874"/>
      <c r="R62" s="1874"/>
      <c r="S62" s="1874"/>
      <c r="T62" s="1875"/>
      <c r="U62" s="1873"/>
      <c r="V62" s="1874"/>
      <c r="W62" s="1874"/>
      <c r="X62" s="1903"/>
      <c r="Y62" s="281"/>
      <c r="Z62" s="1873"/>
      <c r="AA62" s="1874"/>
      <c r="AB62" s="1874"/>
      <c r="AC62" s="1903"/>
      <c r="AD62" s="281"/>
      <c r="AE62" s="1873"/>
      <c r="AF62" s="1874"/>
      <c r="AG62" s="1874"/>
      <c r="AH62" s="1874"/>
      <c r="AI62" s="281"/>
      <c r="AJ62" s="1873"/>
      <c r="AK62" s="1874"/>
      <c r="AL62" s="1874"/>
      <c r="AM62" s="1874"/>
      <c r="AN62" s="1875"/>
      <c r="AO62" s="1873"/>
      <c r="AP62" s="1874"/>
      <c r="AQ62" s="1874"/>
      <c r="AR62" s="1874"/>
      <c r="AS62" s="1875"/>
    </row>
    <row r="63" spans="1:45" x14ac:dyDescent="0.25">
      <c r="A63" s="1319" t="s">
        <v>1037</v>
      </c>
      <c r="B63" s="1677">
        <v>44</v>
      </c>
      <c r="C63" s="1677">
        <v>16</v>
      </c>
      <c r="D63" s="1896">
        <v>0</v>
      </c>
      <c r="E63" s="282">
        <f>SUM(B63:D63)</f>
        <v>60</v>
      </c>
      <c r="F63" s="1677">
        <v>43</v>
      </c>
      <c r="G63" s="1677">
        <v>26</v>
      </c>
      <c r="H63" s="1896">
        <v>0</v>
      </c>
      <c r="I63" s="1680">
        <f>SUM(F63:H63)</f>
        <v>69</v>
      </c>
      <c r="J63" s="505">
        <f t="shared" ref="J63:J68" si="57">IF(E63&gt;0,(I63-E63)/E63,(IF(I63=0,"N/A",100%)))</f>
        <v>0.15</v>
      </c>
      <c r="K63" s="1680">
        <v>40</v>
      </c>
      <c r="L63" s="1680">
        <v>26</v>
      </c>
      <c r="M63" s="1681">
        <v>0</v>
      </c>
      <c r="N63" s="1680">
        <f>SUM(K63:M63)</f>
        <v>66</v>
      </c>
      <c r="O63" s="1679">
        <f t="shared" ref="O63:O68" si="58">IF(I63&gt;0,(N63-I63)/I63,(IF(N63=0,"N/A",100%)))</f>
        <v>-4.3478260869565216E-2</v>
      </c>
      <c r="P63" s="1680">
        <v>33</v>
      </c>
      <c r="Q63" s="1680">
        <v>21</v>
      </c>
      <c r="R63" s="1681">
        <v>0</v>
      </c>
      <c r="S63" s="1680">
        <f>SUM(P63:R63)</f>
        <v>54</v>
      </c>
      <c r="T63" s="1679">
        <f t="shared" ref="T63:T68" si="59">IF(N63&gt;0,(S63-N63)/N63,(IF(S63=0,"N/A",100%)))</f>
        <v>-0.18181818181818182</v>
      </c>
      <c r="U63" s="1680">
        <v>44</v>
      </c>
      <c r="V63" s="1680">
        <v>16</v>
      </c>
      <c r="W63" s="1681">
        <v>0</v>
      </c>
      <c r="X63" s="1901">
        <f>SUM(U63:W63)</f>
        <v>60</v>
      </c>
      <c r="Y63" s="505">
        <f t="shared" ref="Y63:Y68" si="60">IF(S63&gt;0,(X63-S63)/S63,(IF(X63=0,"N/A",100%)))</f>
        <v>0.1111111111111111</v>
      </c>
      <c r="Z63" s="1680">
        <v>0</v>
      </c>
      <c r="AA63" s="1680">
        <v>0</v>
      </c>
      <c r="AB63" s="1681">
        <v>0</v>
      </c>
      <c r="AC63" s="1901">
        <f>SUM(Z63:AB63)</f>
        <v>0</v>
      </c>
      <c r="AD63" s="505">
        <f t="shared" ref="AD63:AD68" si="61">IF(X63&gt;0,(AC63-X63)/X63,(IF(AC63=0,"N/A",100%)))</f>
        <v>-1</v>
      </c>
      <c r="AE63" s="1680">
        <v>0</v>
      </c>
      <c r="AF63" s="1680">
        <v>0</v>
      </c>
      <c r="AG63" s="1681">
        <v>0</v>
      </c>
      <c r="AH63" s="1680">
        <f>SUM(AE63:AG63)</f>
        <v>0</v>
      </c>
      <c r="AI63" s="505" t="str">
        <f t="shared" ref="AI63:AI68" si="62">IF(AC63&gt;0,(AH63-AC63)/AC63,(IF(AH63=0,"N/A",100%)))</f>
        <v>N/A</v>
      </c>
      <c r="AJ63" s="1680">
        <v>0</v>
      </c>
      <c r="AK63" s="1680">
        <v>0</v>
      </c>
      <c r="AL63" s="1681">
        <v>0</v>
      </c>
      <c r="AM63" s="1680">
        <f>SUM(AJ63:AL63)</f>
        <v>0</v>
      </c>
      <c r="AN63" s="1679" t="str">
        <f t="shared" ref="AN63:AN68" si="63">IF(AH63&gt;0,(AM63-AH63)/AH63,(IF(AM63=0,"N/A",100%)))</f>
        <v>N/A</v>
      </c>
      <c r="AO63" s="1680">
        <v>0</v>
      </c>
      <c r="AP63" s="1680">
        <v>0</v>
      </c>
      <c r="AQ63" s="1681">
        <v>0</v>
      </c>
      <c r="AR63" s="1680">
        <f>SUM(AO63:AQ63)</f>
        <v>0</v>
      </c>
      <c r="AS63" s="1679" t="str">
        <f t="shared" ref="AS63:AS68" si="64">IF(AM63&gt;0,(AR63-AM63)/AM63,(IF(AR63=0,"N/A",100%)))</f>
        <v>N/A</v>
      </c>
    </row>
    <row r="64" spans="1:45" x14ac:dyDescent="0.25">
      <c r="A64" s="1319" t="s">
        <v>1038</v>
      </c>
      <c r="B64" s="1677">
        <v>776</v>
      </c>
      <c r="C64" s="1677">
        <v>238</v>
      </c>
      <c r="D64" s="1896">
        <v>0</v>
      </c>
      <c r="E64" s="282">
        <f>SUM(B64:D64)</f>
        <v>1014</v>
      </c>
      <c r="F64" s="1677">
        <v>814</v>
      </c>
      <c r="G64" s="1677">
        <v>238</v>
      </c>
      <c r="H64" s="1896">
        <v>0</v>
      </c>
      <c r="I64" s="1680">
        <f>SUM(F64:H64)</f>
        <v>1052</v>
      </c>
      <c r="J64" s="505">
        <f t="shared" si="57"/>
        <v>3.7475345167652857E-2</v>
      </c>
      <c r="K64" s="1680">
        <v>1123</v>
      </c>
      <c r="L64" s="1680">
        <v>247</v>
      </c>
      <c r="M64" s="1681">
        <v>0</v>
      </c>
      <c r="N64" s="1680">
        <f>SUM(K64:M64)</f>
        <v>1370</v>
      </c>
      <c r="O64" s="1679">
        <f t="shared" si="58"/>
        <v>0.30228136882129275</v>
      </c>
      <c r="P64" s="1680">
        <v>1037</v>
      </c>
      <c r="Q64" s="1680">
        <v>235</v>
      </c>
      <c r="R64" s="1681">
        <v>0</v>
      </c>
      <c r="S64" s="1680">
        <f>SUM(P64:R64)</f>
        <v>1272</v>
      </c>
      <c r="T64" s="1679">
        <f t="shared" si="59"/>
        <v>-7.153284671532846E-2</v>
      </c>
      <c r="U64" s="1680">
        <v>943</v>
      </c>
      <c r="V64" s="1680">
        <v>211</v>
      </c>
      <c r="W64" s="1681">
        <v>0</v>
      </c>
      <c r="X64" s="1901">
        <f>SUM(U64:W64)</f>
        <v>1154</v>
      </c>
      <c r="Y64" s="505">
        <f t="shared" si="60"/>
        <v>-9.276729559748427E-2</v>
      </c>
      <c r="Z64" s="1680">
        <v>876</v>
      </c>
      <c r="AA64" s="1680">
        <v>190</v>
      </c>
      <c r="AB64" s="1681">
        <v>0</v>
      </c>
      <c r="AC64" s="1901">
        <f>SUM(Z64:AB64)</f>
        <v>1066</v>
      </c>
      <c r="AD64" s="505">
        <f t="shared" si="61"/>
        <v>-7.6256499133448868E-2</v>
      </c>
      <c r="AE64" s="1680">
        <v>1005</v>
      </c>
      <c r="AF64" s="1680">
        <v>160</v>
      </c>
      <c r="AG64" s="1681">
        <v>0</v>
      </c>
      <c r="AH64" s="1680">
        <f>SUM(AE64:AG64)</f>
        <v>1165</v>
      </c>
      <c r="AI64" s="505">
        <f t="shared" si="62"/>
        <v>9.2870544090056281E-2</v>
      </c>
      <c r="AJ64" s="1680">
        <v>1004</v>
      </c>
      <c r="AK64" s="1680">
        <v>168</v>
      </c>
      <c r="AL64" s="1681">
        <v>0</v>
      </c>
      <c r="AM64" s="1680">
        <f>SUM(AJ64:AL64)</f>
        <v>1172</v>
      </c>
      <c r="AN64" s="1679">
        <f t="shared" si="63"/>
        <v>6.0085836909871248E-3</v>
      </c>
      <c r="AO64" s="1680">
        <v>864</v>
      </c>
      <c r="AP64" s="1680">
        <v>240</v>
      </c>
      <c r="AQ64" s="1681">
        <v>0</v>
      </c>
      <c r="AR64" s="1680">
        <f>SUM(AO64:AQ64)</f>
        <v>1104</v>
      </c>
      <c r="AS64" s="1679">
        <f t="shared" si="64"/>
        <v>-5.8020477815699661E-2</v>
      </c>
    </row>
    <row r="65" spans="1:45" x14ac:dyDescent="0.25">
      <c r="A65" s="1319" t="s">
        <v>1552</v>
      </c>
      <c r="B65" s="1677">
        <v>0</v>
      </c>
      <c r="C65" s="1677">
        <v>0</v>
      </c>
      <c r="D65" s="1896">
        <v>0</v>
      </c>
      <c r="E65" s="282">
        <f>SUM(B65:D65)</f>
        <v>0</v>
      </c>
      <c r="F65" s="1677">
        <v>0</v>
      </c>
      <c r="G65" s="1677">
        <v>0</v>
      </c>
      <c r="H65" s="1896">
        <v>0</v>
      </c>
      <c r="I65" s="1680">
        <f>SUM(F65:H65)</f>
        <v>0</v>
      </c>
      <c r="J65" s="505" t="str">
        <f t="shared" si="57"/>
        <v>N/A</v>
      </c>
      <c r="K65" s="1680">
        <v>0</v>
      </c>
      <c r="L65" s="1680">
        <v>0</v>
      </c>
      <c r="M65" s="1681">
        <v>0</v>
      </c>
      <c r="N65" s="1680">
        <f>SUM(K65:M65)</f>
        <v>0</v>
      </c>
      <c r="O65" s="1679" t="str">
        <f t="shared" si="58"/>
        <v>N/A</v>
      </c>
      <c r="P65" s="1680">
        <v>0</v>
      </c>
      <c r="Q65" s="1680">
        <v>0</v>
      </c>
      <c r="R65" s="1681">
        <v>0</v>
      </c>
      <c r="S65" s="1680">
        <f>SUM(P65:R65)</f>
        <v>0</v>
      </c>
      <c r="T65" s="1679" t="str">
        <f t="shared" si="59"/>
        <v>N/A</v>
      </c>
      <c r="U65" s="1680">
        <v>0</v>
      </c>
      <c r="V65" s="1680">
        <v>0</v>
      </c>
      <c r="W65" s="1681">
        <v>0</v>
      </c>
      <c r="X65" s="1901">
        <f>SUM(U65:W65)</f>
        <v>0</v>
      </c>
      <c r="Y65" s="505" t="str">
        <f t="shared" si="60"/>
        <v>N/A</v>
      </c>
      <c r="Z65" s="1680">
        <v>10</v>
      </c>
      <c r="AA65" s="1680">
        <v>6</v>
      </c>
      <c r="AB65" s="1681">
        <v>0</v>
      </c>
      <c r="AC65" s="1901">
        <f>SUM(Z65:AB65)</f>
        <v>16</v>
      </c>
      <c r="AD65" s="505">
        <f t="shared" si="61"/>
        <v>1</v>
      </c>
      <c r="AE65" s="1680">
        <v>5</v>
      </c>
      <c r="AF65" s="1680">
        <v>11</v>
      </c>
      <c r="AG65" s="1681">
        <v>0</v>
      </c>
      <c r="AH65" s="1680">
        <f>SUM(AE65:AG65)</f>
        <v>16</v>
      </c>
      <c r="AI65" s="505">
        <f t="shared" si="62"/>
        <v>0</v>
      </c>
      <c r="AJ65" s="1680">
        <v>6</v>
      </c>
      <c r="AK65" s="1680">
        <v>8</v>
      </c>
      <c r="AL65" s="1681">
        <v>0</v>
      </c>
      <c r="AM65" s="1680">
        <f>SUM(AJ65:AL65)</f>
        <v>14</v>
      </c>
      <c r="AN65" s="1679">
        <f t="shared" si="63"/>
        <v>-0.125</v>
      </c>
      <c r="AO65" s="1680">
        <v>8</v>
      </c>
      <c r="AP65" s="1680">
        <v>10</v>
      </c>
      <c r="AQ65" s="1681">
        <v>0</v>
      </c>
      <c r="AR65" s="1680">
        <f>SUM(AO65:AQ65)</f>
        <v>18</v>
      </c>
      <c r="AS65" s="1679">
        <f t="shared" si="64"/>
        <v>0.2857142857142857</v>
      </c>
    </row>
    <row r="66" spans="1:45" x14ac:dyDescent="0.25">
      <c r="A66" s="1319" t="s">
        <v>1553</v>
      </c>
      <c r="B66" s="1677">
        <v>0</v>
      </c>
      <c r="C66" s="1677">
        <v>0</v>
      </c>
      <c r="D66" s="1896">
        <v>0</v>
      </c>
      <c r="E66" s="282">
        <f>SUM(B66:D66)</f>
        <v>0</v>
      </c>
      <c r="F66" s="1677">
        <v>0</v>
      </c>
      <c r="G66" s="1677">
        <v>0</v>
      </c>
      <c r="H66" s="1896">
        <v>0</v>
      </c>
      <c r="I66" s="1680">
        <f>SUM(F66:H66)</f>
        <v>0</v>
      </c>
      <c r="J66" s="505" t="str">
        <f t="shared" si="57"/>
        <v>N/A</v>
      </c>
      <c r="K66" s="1680">
        <v>0</v>
      </c>
      <c r="L66" s="1680">
        <v>0</v>
      </c>
      <c r="M66" s="1681">
        <v>0</v>
      </c>
      <c r="N66" s="1680">
        <f>SUM(K66:M66)</f>
        <v>0</v>
      </c>
      <c r="O66" s="1679" t="str">
        <f t="shared" si="58"/>
        <v>N/A</v>
      </c>
      <c r="P66" s="1680">
        <v>0</v>
      </c>
      <c r="Q66" s="1680">
        <v>0</v>
      </c>
      <c r="R66" s="1681">
        <v>0</v>
      </c>
      <c r="S66" s="1680">
        <f>SUM(P66:R66)</f>
        <v>0</v>
      </c>
      <c r="T66" s="1679" t="str">
        <f t="shared" si="59"/>
        <v>N/A</v>
      </c>
      <c r="U66" s="1680">
        <v>0</v>
      </c>
      <c r="V66" s="1680">
        <v>0</v>
      </c>
      <c r="W66" s="1681">
        <v>0</v>
      </c>
      <c r="X66" s="1901">
        <f>SUM(U66:W66)</f>
        <v>0</v>
      </c>
      <c r="Y66" s="505" t="str">
        <f t="shared" si="60"/>
        <v>N/A</v>
      </c>
      <c r="Z66" s="1680">
        <v>28</v>
      </c>
      <c r="AA66" s="1680">
        <v>9</v>
      </c>
      <c r="AB66" s="1681">
        <v>0</v>
      </c>
      <c r="AC66" s="1901">
        <f>SUM(Z66:AB66)</f>
        <v>37</v>
      </c>
      <c r="AD66" s="505">
        <f t="shared" si="61"/>
        <v>1</v>
      </c>
      <c r="AE66" s="1680">
        <v>22</v>
      </c>
      <c r="AF66" s="1680">
        <v>11</v>
      </c>
      <c r="AG66" s="1681">
        <v>0</v>
      </c>
      <c r="AH66" s="1680">
        <f>SUM(AE66:AG66)</f>
        <v>33</v>
      </c>
      <c r="AI66" s="505">
        <f t="shared" si="62"/>
        <v>-0.10810810810810811</v>
      </c>
      <c r="AJ66" s="1680">
        <v>16</v>
      </c>
      <c r="AK66" s="1680">
        <v>19</v>
      </c>
      <c r="AL66" s="1681">
        <v>0</v>
      </c>
      <c r="AM66" s="1680">
        <f>SUM(AJ66:AL66)</f>
        <v>35</v>
      </c>
      <c r="AN66" s="1679">
        <f t="shared" si="63"/>
        <v>6.0606060606060608E-2</v>
      </c>
      <c r="AO66" s="1680">
        <v>10</v>
      </c>
      <c r="AP66" s="1680">
        <v>20</v>
      </c>
      <c r="AQ66" s="1681">
        <v>0</v>
      </c>
      <c r="AR66" s="1680">
        <f>SUM(AO66:AQ66)</f>
        <v>30</v>
      </c>
      <c r="AS66" s="1679">
        <f t="shared" si="64"/>
        <v>-0.14285714285714285</v>
      </c>
    </row>
    <row r="67" spans="1:45" x14ac:dyDescent="0.25">
      <c r="A67" s="1319" t="s">
        <v>1554</v>
      </c>
      <c r="B67" s="1677">
        <v>0</v>
      </c>
      <c r="C67" s="1677">
        <v>0</v>
      </c>
      <c r="D67" s="1896">
        <v>0</v>
      </c>
      <c r="E67" s="282">
        <f>SUM(B67:D67)</f>
        <v>0</v>
      </c>
      <c r="F67" s="1677">
        <v>0</v>
      </c>
      <c r="G67" s="1677">
        <v>0</v>
      </c>
      <c r="H67" s="1896">
        <v>0</v>
      </c>
      <c r="I67" s="1680">
        <f>SUM(F67:H67)</f>
        <v>0</v>
      </c>
      <c r="J67" s="505" t="str">
        <f t="shared" si="57"/>
        <v>N/A</v>
      </c>
      <c r="K67" s="1680">
        <v>0</v>
      </c>
      <c r="L67" s="1680">
        <v>0</v>
      </c>
      <c r="M67" s="1681">
        <v>0</v>
      </c>
      <c r="N67" s="1680">
        <f>SUM(K67:M67)</f>
        <v>0</v>
      </c>
      <c r="O67" s="1679" t="str">
        <f t="shared" si="58"/>
        <v>N/A</v>
      </c>
      <c r="P67" s="1680">
        <v>0</v>
      </c>
      <c r="Q67" s="1680">
        <v>0</v>
      </c>
      <c r="R67" s="1681">
        <v>0</v>
      </c>
      <c r="S67" s="1680">
        <f>SUM(P67:R67)</f>
        <v>0</v>
      </c>
      <c r="T67" s="1679" t="str">
        <f t="shared" si="59"/>
        <v>N/A</v>
      </c>
      <c r="U67" s="1680">
        <v>0</v>
      </c>
      <c r="V67" s="1680">
        <v>0</v>
      </c>
      <c r="W67" s="1681">
        <v>0</v>
      </c>
      <c r="X67" s="1901">
        <f>SUM(U67:W67)</f>
        <v>0</v>
      </c>
      <c r="Y67" s="505" t="str">
        <f t="shared" si="60"/>
        <v>N/A</v>
      </c>
      <c r="Z67" s="1680">
        <v>9</v>
      </c>
      <c r="AA67" s="1680">
        <v>6</v>
      </c>
      <c r="AB67" s="1681">
        <v>0</v>
      </c>
      <c r="AC67" s="1901">
        <f>SUM(Z67:AB67)</f>
        <v>15</v>
      </c>
      <c r="AD67" s="505">
        <f t="shared" si="61"/>
        <v>1</v>
      </c>
      <c r="AE67" s="1680">
        <v>11</v>
      </c>
      <c r="AF67" s="1680">
        <v>5</v>
      </c>
      <c r="AG67" s="1681">
        <v>0</v>
      </c>
      <c r="AH67" s="1680">
        <f>SUM(AE67:AG67)</f>
        <v>16</v>
      </c>
      <c r="AI67" s="505">
        <f t="shared" si="62"/>
        <v>6.6666666666666666E-2</v>
      </c>
      <c r="AJ67" s="1680">
        <v>15</v>
      </c>
      <c r="AK67" s="1680">
        <v>5</v>
      </c>
      <c r="AL67" s="1681">
        <v>0</v>
      </c>
      <c r="AM67" s="1680">
        <f>SUM(AJ67:AL67)</f>
        <v>20</v>
      </c>
      <c r="AN67" s="1679">
        <f t="shared" si="63"/>
        <v>0.25</v>
      </c>
      <c r="AO67" s="1680">
        <v>14</v>
      </c>
      <c r="AP67" s="1680">
        <v>7</v>
      </c>
      <c r="AQ67" s="1681">
        <v>0</v>
      </c>
      <c r="AR67" s="1680">
        <f>SUM(AO67:AQ67)</f>
        <v>21</v>
      </c>
      <c r="AS67" s="1679">
        <f t="shared" si="64"/>
        <v>0.05</v>
      </c>
    </row>
    <row r="68" spans="1:45" s="484" customFormat="1" ht="13.8" x14ac:dyDescent="0.25">
      <c r="A68" s="1345" t="s">
        <v>1015</v>
      </c>
      <c r="B68" s="1776">
        <f t="shared" ref="B68:I68" si="65">SUM(B63:B67)</f>
        <v>820</v>
      </c>
      <c r="C68" s="1776">
        <f t="shared" si="65"/>
        <v>254</v>
      </c>
      <c r="D68" s="1776">
        <f t="shared" si="65"/>
        <v>0</v>
      </c>
      <c r="E68" s="1776">
        <f t="shared" si="65"/>
        <v>1074</v>
      </c>
      <c r="F68" s="1776">
        <f t="shared" si="65"/>
        <v>857</v>
      </c>
      <c r="G68" s="1776">
        <f t="shared" si="65"/>
        <v>264</v>
      </c>
      <c r="H68" s="1776">
        <f t="shared" si="65"/>
        <v>0</v>
      </c>
      <c r="I68" s="1776">
        <f t="shared" si="65"/>
        <v>1121</v>
      </c>
      <c r="J68" s="586">
        <f t="shared" si="57"/>
        <v>4.3761638733705775E-2</v>
      </c>
      <c r="K68" s="1776">
        <f>SUM(K63:K67)</f>
        <v>1163</v>
      </c>
      <c r="L68" s="1776">
        <f>SUM(L63:L67)</f>
        <v>273</v>
      </c>
      <c r="M68" s="1776">
        <f>SUM(M63:M67)</f>
        <v>0</v>
      </c>
      <c r="N68" s="1776">
        <f>SUM(N63:N67)</f>
        <v>1436</v>
      </c>
      <c r="O68" s="1772">
        <f t="shared" si="58"/>
        <v>0.28099910793933985</v>
      </c>
      <c r="P68" s="1776">
        <f>SUM(P63:P67)</f>
        <v>1070</v>
      </c>
      <c r="Q68" s="1776">
        <f>SUM(Q63:Q67)</f>
        <v>256</v>
      </c>
      <c r="R68" s="1776">
        <f>SUM(R63:R67)</f>
        <v>0</v>
      </c>
      <c r="S68" s="1776">
        <f>SUM(S63:S67)</f>
        <v>1326</v>
      </c>
      <c r="T68" s="1772">
        <f t="shared" si="59"/>
        <v>-7.6601671309192196E-2</v>
      </c>
      <c r="U68" s="1776">
        <f>SUM(U63:U67)</f>
        <v>987</v>
      </c>
      <c r="V68" s="1776">
        <f>SUM(V63:V67)</f>
        <v>227</v>
      </c>
      <c r="W68" s="1776">
        <f>SUM(W63:W67)</f>
        <v>0</v>
      </c>
      <c r="X68" s="1902">
        <f>SUM(X63:X67)</f>
        <v>1214</v>
      </c>
      <c r="Y68" s="586">
        <f t="shared" si="60"/>
        <v>-8.4464555052790352E-2</v>
      </c>
      <c r="Z68" s="1776">
        <f>SUM(Z63:Z67)</f>
        <v>923</v>
      </c>
      <c r="AA68" s="1776">
        <f>SUM(AA63:AA67)</f>
        <v>211</v>
      </c>
      <c r="AB68" s="1776">
        <f>SUM(AB63:AB67)</f>
        <v>0</v>
      </c>
      <c r="AC68" s="1902">
        <f>SUM(AC63:AC67)</f>
        <v>1134</v>
      </c>
      <c r="AD68" s="586">
        <f t="shared" si="61"/>
        <v>-6.589785831960461E-2</v>
      </c>
      <c r="AE68" s="1776">
        <f>SUM(AE63:AE67)</f>
        <v>1043</v>
      </c>
      <c r="AF68" s="1776">
        <f>SUM(AF63:AF67)</f>
        <v>187</v>
      </c>
      <c r="AG68" s="1776">
        <f>SUM(AG63:AG67)</f>
        <v>0</v>
      </c>
      <c r="AH68" s="1776">
        <f>SUM(AH63:AH67)</f>
        <v>1230</v>
      </c>
      <c r="AI68" s="586">
        <f t="shared" si="62"/>
        <v>8.4656084656084651E-2</v>
      </c>
      <c r="AJ68" s="1776">
        <f>SUM(AJ63:AJ67)</f>
        <v>1041</v>
      </c>
      <c r="AK68" s="1776">
        <f>SUM(AK63:AK67)</f>
        <v>200</v>
      </c>
      <c r="AL68" s="1776">
        <f>SUM(AL63:AL67)</f>
        <v>0</v>
      </c>
      <c r="AM68" s="1776">
        <f>SUM(AM63:AM67)</f>
        <v>1241</v>
      </c>
      <c r="AN68" s="1772">
        <f t="shared" si="63"/>
        <v>8.9430894308943094E-3</v>
      </c>
      <c r="AO68" s="1776">
        <f>SUM(AO63:AO67)</f>
        <v>896</v>
      </c>
      <c r="AP68" s="1776">
        <f>SUM(AP63:AP67)</f>
        <v>277</v>
      </c>
      <c r="AQ68" s="1776">
        <f>SUM(AQ63:AQ67)</f>
        <v>0</v>
      </c>
      <c r="AR68" s="1776">
        <f>SUM(AR63:AR67)</f>
        <v>1173</v>
      </c>
      <c r="AS68" s="1772">
        <f t="shared" si="64"/>
        <v>-5.4794520547945202E-2</v>
      </c>
    </row>
    <row r="69" spans="1:45" x14ac:dyDescent="0.25">
      <c r="A69" s="1318" t="s">
        <v>436</v>
      </c>
      <c r="B69" s="1900"/>
      <c r="C69" s="1900"/>
      <c r="D69" s="1900"/>
      <c r="E69" s="281"/>
      <c r="F69" s="1873"/>
      <c r="G69" s="1874"/>
      <c r="H69" s="1874"/>
      <c r="I69" s="1874"/>
      <c r="J69" s="281"/>
      <c r="K69" s="1873"/>
      <c r="L69" s="1874"/>
      <c r="M69" s="1874"/>
      <c r="N69" s="1874"/>
      <c r="O69" s="1875"/>
      <c r="P69" s="1873"/>
      <c r="Q69" s="1874"/>
      <c r="R69" s="1874"/>
      <c r="S69" s="1874"/>
      <c r="T69" s="1875"/>
      <c r="U69" s="1873"/>
      <c r="V69" s="1874"/>
      <c r="W69" s="1874"/>
      <c r="X69" s="1903"/>
      <c r="Y69" s="281"/>
      <c r="Z69" s="1873"/>
      <c r="AA69" s="1874"/>
      <c r="AB69" s="1874"/>
      <c r="AC69" s="1903"/>
      <c r="AD69" s="281"/>
      <c r="AE69" s="1873"/>
      <c r="AF69" s="1874"/>
      <c r="AG69" s="1874"/>
      <c r="AH69" s="1874"/>
      <c r="AI69" s="281"/>
      <c r="AJ69" s="1873"/>
      <c r="AK69" s="1874"/>
      <c r="AL69" s="1874"/>
      <c r="AM69" s="1874"/>
      <c r="AN69" s="1875"/>
      <c r="AO69" s="1873"/>
      <c r="AP69" s="1874"/>
      <c r="AQ69" s="1874"/>
      <c r="AR69" s="1874"/>
      <c r="AS69" s="1875"/>
    </row>
    <row r="70" spans="1:45" x14ac:dyDescent="0.25">
      <c r="A70" s="1344" t="s">
        <v>1046</v>
      </c>
      <c r="B70" s="1677">
        <v>81</v>
      </c>
      <c r="C70" s="1677">
        <v>0</v>
      </c>
      <c r="D70" s="1896">
        <v>0</v>
      </c>
      <c r="E70" s="282">
        <f>SUM(B70:D70)</f>
        <v>81</v>
      </c>
      <c r="F70" s="1677">
        <v>0</v>
      </c>
      <c r="G70" s="1677">
        <v>0</v>
      </c>
      <c r="H70" s="1896">
        <v>0</v>
      </c>
      <c r="I70" s="1680">
        <f>SUM(F70:H70)</f>
        <v>0</v>
      </c>
      <c r="J70" s="505">
        <f t="shared" ref="J70:J75" si="66">IF(E70&gt;0,(I70-E70)/E70,(IF(I70=0,"N/A",100%)))</f>
        <v>-1</v>
      </c>
      <c r="K70" s="1680">
        <v>0</v>
      </c>
      <c r="L70" s="1680">
        <v>0</v>
      </c>
      <c r="M70" s="1681">
        <v>0</v>
      </c>
      <c r="N70" s="1680">
        <f>SUM(K70:M70)</f>
        <v>0</v>
      </c>
      <c r="O70" s="1679" t="str">
        <f t="shared" ref="O70:O75" si="67">IF(I70&gt;0,(N70-I70)/I70,(IF(N70=0,"N/A",100%)))</f>
        <v>N/A</v>
      </c>
      <c r="P70" s="1680">
        <v>0</v>
      </c>
      <c r="Q70" s="1680">
        <v>0</v>
      </c>
      <c r="R70" s="1681">
        <v>0</v>
      </c>
      <c r="S70" s="1680">
        <f>SUM(P70:R70)</f>
        <v>0</v>
      </c>
      <c r="T70" s="1679" t="str">
        <f t="shared" ref="T70:T75" si="68">IF(N70&gt;0,(S70-N70)/N70,(IF(S70=0,"N/A",100%)))</f>
        <v>N/A</v>
      </c>
      <c r="U70" s="1680">
        <v>0</v>
      </c>
      <c r="V70" s="1680">
        <v>0</v>
      </c>
      <c r="W70" s="1681">
        <v>0</v>
      </c>
      <c r="X70" s="1901">
        <f>SUM(U70:W70)</f>
        <v>0</v>
      </c>
      <c r="Y70" s="505" t="str">
        <f t="shared" ref="Y70:Y75" si="69">IF(S70&gt;0,(X70-S70)/S70,(IF(X70=0,"N/A",100%)))</f>
        <v>N/A</v>
      </c>
      <c r="Z70" s="1680">
        <v>0</v>
      </c>
      <c r="AA70" s="1680">
        <v>0</v>
      </c>
      <c r="AB70" s="1681">
        <v>0</v>
      </c>
      <c r="AC70" s="1901">
        <f>SUM(Z70:AB70)</f>
        <v>0</v>
      </c>
      <c r="AD70" s="505" t="str">
        <f t="shared" ref="AD70:AD75" si="70">IF(X70&gt;0,(AC70-X70)/X70,(IF(AC70=0,"N/A",100%)))</f>
        <v>N/A</v>
      </c>
      <c r="AE70" s="1680">
        <v>0</v>
      </c>
      <c r="AF70" s="1680">
        <v>0</v>
      </c>
      <c r="AG70" s="1681">
        <v>0</v>
      </c>
      <c r="AH70" s="1680">
        <f>SUM(AE70:AG70)</f>
        <v>0</v>
      </c>
      <c r="AI70" s="505" t="str">
        <f t="shared" ref="AI70:AI75" si="71">IF(AC70&gt;0,(AH70-AC70)/AC70,(IF(AH70=0,"N/A",100%)))</f>
        <v>N/A</v>
      </c>
      <c r="AJ70" s="1680">
        <v>69</v>
      </c>
      <c r="AK70" s="1680">
        <v>0</v>
      </c>
      <c r="AL70" s="1681">
        <v>0</v>
      </c>
      <c r="AM70" s="1680">
        <f>SUM(AJ70:AL70)</f>
        <v>69</v>
      </c>
      <c r="AN70" s="1679">
        <f t="shared" ref="AN70:AN75" si="72">IF(AH70&gt;0,(AM70-AH70)/AH70,(IF(AM70=0,"N/A",100%)))</f>
        <v>1</v>
      </c>
      <c r="AO70" s="1680">
        <v>0</v>
      </c>
      <c r="AP70" s="1680">
        <v>0</v>
      </c>
      <c r="AQ70" s="1681">
        <v>0</v>
      </c>
      <c r="AR70" s="1680">
        <f>SUM(AO70:AQ70)</f>
        <v>0</v>
      </c>
      <c r="AS70" s="1679">
        <f t="shared" ref="AS70:AS75" si="73">IF(AM70&gt;0,(AR70-AM70)/AM70,(IF(AR70=0,"N/A",100%)))</f>
        <v>-1</v>
      </c>
    </row>
    <row r="71" spans="1:45" x14ac:dyDescent="0.25">
      <c r="A71" s="1319" t="s">
        <v>1041</v>
      </c>
      <c r="B71" s="1677">
        <v>1113</v>
      </c>
      <c r="C71" s="1677">
        <v>470</v>
      </c>
      <c r="D71" s="1896">
        <v>0</v>
      </c>
      <c r="E71" s="282">
        <f>SUM(B71:D71)</f>
        <v>1583</v>
      </c>
      <c r="F71" s="1677">
        <v>1446</v>
      </c>
      <c r="G71" s="1677">
        <v>453</v>
      </c>
      <c r="H71" s="1896">
        <v>0</v>
      </c>
      <c r="I71" s="1680">
        <f>SUM(F71:H71)</f>
        <v>1899</v>
      </c>
      <c r="J71" s="505">
        <f t="shared" si="66"/>
        <v>0.19962097283638661</v>
      </c>
      <c r="K71" s="1680">
        <v>1716</v>
      </c>
      <c r="L71" s="1680">
        <v>576</v>
      </c>
      <c r="M71" s="1681">
        <v>0</v>
      </c>
      <c r="N71" s="1680">
        <f>SUM(K71:M71)</f>
        <v>2292</v>
      </c>
      <c r="O71" s="1679">
        <f t="shared" si="67"/>
        <v>0.20695102685624012</v>
      </c>
      <c r="P71" s="1680">
        <v>2193</v>
      </c>
      <c r="Q71" s="1680">
        <v>384</v>
      </c>
      <c r="R71" s="1681">
        <v>0</v>
      </c>
      <c r="S71" s="1680">
        <f>SUM(P71:R71)</f>
        <v>2577</v>
      </c>
      <c r="T71" s="1679">
        <f t="shared" si="68"/>
        <v>0.1243455497382199</v>
      </c>
      <c r="U71" s="1680">
        <v>2109</v>
      </c>
      <c r="V71" s="1680">
        <v>363</v>
      </c>
      <c r="W71" s="1681">
        <v>0</v>
      </c>
      <c r="X71" s="1901">
        <f>SUM(U71:W71)</f>
        <v>2472</v>
      </c>
      <c r="Y71" s="505">
        <f t="shared" si="69"/>
        <v>-4.0745052386495922E-2</v>
      </c>
      <c r="Z71" s="1680">
        <v>1866</v>
      </c>
      <c r="AA71" s="1680">
        <v>372</v>
      </c>
      <c r="AB71" s="1681">
        <v>0</v>
      </c>
      <c r="AC71" s="1901">
        <f>SUM(Z71:AB71)</f>
        <v>2238</v>
      </c>
      <c r="AD71" s="505">
        <f t="shared" si="70"/>
        <v>-9.4660194174757281E-2</v>
      </c>
      <c r="AE71" s="1680">
        <v>1773</v>
      </c>
      <c r="AF71" s="1680">
        <v>354</v>
      </c>
      <c r="AG71" s="1681">
        <v>0</v>
      </c>
      <c r="AH71" s="1680">
        <f>SUM(AE71:AG71)</f>
        <v>2127</v>
      </c>
      <c r="AI71" s="505">
        <f t="shared" si="71"/>
        <v>-4.9597855227882036E-2</v>
      </c>
      <c r="AJ71" s="1680">
        <v>1706</v>
      </c>
      <c r="AK71" s="1680">
        <v>378</v>
      </c>
      <c r="AL71" s="1681">
        <v>0</v>
      </c>
      <c r="AM71" s="1680">
        <f>SUM(AJ71:AL71)</f>
        <v>2084</v>
      </c>
      <c r="AN71" s="1679">
        <f t="shared" si="72"/>
        <v>-2.0216267042783263E-2</v>
      </c>
      <c r="AO71" s="1680">
        <v>1354</v>
      </c>
      <c r="AP71" s="1680">
        <v>345</v>
      </c>
      <c r="AQ71" s="1681">
        <v>0</v>
      </c>
      <c r="AR71" s="1680">
        <f>SUM(AO71:AQ71)</f>
        <v>1699</v>
      </c>
      <c r="AS71" s="1679">
        <f t="shared" si="73"/>
        <v>-0.1847408829174664</v>
      </c>
    </row>
    <row r="72" spans="1:45" x14ac:dyDescent="0.25">
      <c r="A72" s="1319" t="s">
        <v>1047</v>
      </c>
      <c r="B72" s="1677">
        <v>0</v>
      </c>
      <c r="C72" s="1677">
        <v>165</v>
      </c>
      <c r="D72" s="1896">
        <v>0</v>
      </c>
      <c r="E72" s="282">
        <f>SUM(B72:D72)</f>
        <v>165</v>
      </c>
      <c r="F72" s="1677">
        <v>66</v>
      </c>
      <c r="G72" s="1677">
        <v>222</v>
      </c>
      <c r="H72" s="1896">
        <v>0</v>
      </c>
      <c r="I72" s="1680">
        <f>SUM(F72:H72)</f>
        <v>288</v>
      </c>
      <c r="J72" s="505">
        <f t="shared" si="66"/>
        <v>0.74545454545454548</v>
      </c>
      <c r="K72" s="1680">
        <v>273</v>
      </c>
      <c r="L72" s="1680">
        <v>153</v>
      </c>
      <c r="M72" s="1681">
        <v>0</v>
      </c>
      <c r="N72" s="1680">
        <f>SUM(K72:M72)</f>
        <v>426</v>
      </c>
      <c r="O72" s="1679">
        <f t="shared" si="67"/>
        <v>0.47916666666666669</v>
      </c>
      <c r="P72" s="1680">
        <v>132</v>
      </c>
      <c r="Q72" s="1680">
        <v>156</v>
      </c>
      <c r="R72" s="1681">
        <v>0</v>
      </c>
      <c r="S72" s="1680">
        <f>SUM(P72:R72)</f>
        <v>288</v>
      </c>
      <c r="T72" s="1679">
        <f t="shared" si="68"/>
        <v>-0.323943661971831</v>
      </c>
      <c r="U72" s="1680">
        <v>102</v>
      </c>
      <c r="V72" s="1680">
        <v>69</v>
      </c>
      <c r="W72" s="1681">
        <v>0</v>
      </c>
      <c r="X72" s="1901">
        <f>SUM(U72:W72)</f>
        <v>171</v>
      </c>
      <c r="Y72" s="505">
        <f t="shared" si="69"/>
        <v>-0.40625</v>
      </c>
      <c r="Z72" s="1680">
        <v>0</v>
      </c>
      <c r="AA72" s="1680">
        <v>258</v>
      </c>
      <c r="AB72" s="1681">
        <v>0</v>
      </c>
      <c r="AC72" s="1901">
        <f>SUM(Z72:AB72)</f>
        <v>258</v>
      </c>
      <c r="AD72" s="505">
        <f t="shared" si="70"/>
        <v>0.50877192982456143</v>
      </c>
      <c r="AE72" s="1680">
        <v>0</v>
      </c>
      <c r="AF72" s="1680">
        <v>195</v>
      </c>
      <c r="AG72" s="1681">
        <v>0</v>
      </c>
      <c r="AH72" s="1680">
        <f>SUM(AE72:AG72)</f>
        <v>195</v>
      </c>
      <c r="AI72" s="505">
        <f t="shared" si="71"/>
        <v>-0.2441860465116279</v>
      </c>
      <c r="AJ72" s="1680">
        <v>0</v>
      </c>
      <c r="AK72" s="1680">
        <v>126</v>
      </c>
      <c r="AL72" s="1681">
        <v>0</v>
      </c>
      <c r="AM72" s="1680">
        <f>SUM(AJ72:AL72)</f>
        <v>126</v>
      </c>
      <c r="AN72" s="1679">
        <f t="shared" si="72"/>
        <v>-0.35384615384615387</v>
      </c>
      <c r="AO72" s="1680">
        <v>213</v>
      </c>
      <c r="AP72" s="1680">
        <v>285</v>
      </c>
      <c r="AQ72" s="1681">
        <v>0</v>
      </c>
      <c r="AR72" s="1680">
        <f>SUM(AO72:AQ72)</f>
        <v>498</v>
      </c>
      <c r="AS72" s="1679">
        <f t="shared" si="73"/>
        <v>2.9523809523809526</v>
      </c>
    </row>
    <row r="73" spans="1:45" x14ac:dyDescent="0.25">
      <c r="A73" s="1319" t="s">
        <v>1048</v>
      </c>
      <c r="B73" s="1677">
        <v>504</v>
      </c>
      <c r="C73" s="1677">
        <v>63</v>
      </c>
      <c r="D73" s="1896">
        <v>0</v>
      </c>
      <c r="E73" s="282">
        <f>SUM(B73:D73)</f>
        <v>567</v>
      </c>
      <c r="F73" s="1677">
        <v>504</v>
      </c>
      <c r="G73" s="1677">
        <v>123</v>
      </c>
      <c r="H73" s="1896">
        <v>0</v>
      </c>
      <c r="I73" s="1680">
        <f>SUM(F73:H73)</f>
        <v>627</v>
      </c>
      <c r="J73" s="505">
        <f t="shared" si="66"/>
        <v>0.10582010582010581</v>
      </c>
      <c r="K73" s="1680">
        <v>516</v>
      </c>
      <c r="L73" s="1680">
        <v>147</v>
      </c>
      <c r="M73" s="1681">
        <v>0</v>
      </c>
      <c r="N73" s="1680">
        <f>SUM(K73:M73)</f>
        <v>663</v>
      </c>
      <c r="O73" s="1679">
        <f t="shared" si="67"/>
        <v>5.7416267942583733E-2</v>
      </c>
      <c r="P73" s="1680">
        <v>492</v>
      </c>
      <c r="Q73" s="1680">
        <v>126</v>
      </c>
      <c r="R73" s="1681">
        <v>0</v>
      </c>
      <c r="S73" s="1680">
        <f>SUM(P73:R73)</f>
        <v>618</v>
      </c>
      <c r="T73" s="1679">
        <f t="shared" si="68"/>
        <v>-6.7873303167420809E-2</v>
      </c>
      <c r="U73" s="1680">
        <v>525</v>
      </c>
      <c r="V73" s="1680">
        <v>87</v>
      </c>
      <c r="W73" s="1681">
        <v>0</v>
      </c>
      <c r="X73" s="1901">
        <f>SUM(U73:W73)</f>
        <v>612</v>
      </c>
      <c r="Y73" s="505">
        <f t="shared" si="69"/>
        <v>-9.7087378640776691E-3</v>
      </c>
      <c r="Z73" s="1680">
        <v>555</v>
      </c>
      <c r="AA73" s="1680">
        <v>153</v>
      </c>
      <c r="AB73" s="1681">
        <v>0</v>
      </c>
      <c r="AC73" s="1901">
        <f>SUM(Z73:AB73)</f>
        <v>708</v>
      </c>
      <c r="AD73" s="505">
        <f t="shared" si="70"/>
        <v>0.15686274509803921</v>
      </c>
      <c r="AE73" s="1680">
        <v>357</v>
      </c>
      <c r="AF73" s="1680">
        <v>117</v>
      </c>
      <c r="AG73" s="1681">
        <v>0</v>
      </c>
      <c r="AH73" s="1680">
        <f>SUM(AE73:AG73)</f>
        <v>474</v>
      </c>
      <c r="AI73" s="505">
        <f t="shared" si="71"/>
        <v>-0.33050847457627119</v>
      </c>
      <c r="AJ73" s="1680">
        <v>279</v>
      </c>
      <c r="AK73" s="1680">
        <v>66</v>
      </c>
      <c r="AL73" s="1681">
        <v>0</v>
      </c>
      <c r="AM73" s="1680">
        <f>SUM(AJ73:AL73)</f>
        <v>345</v>
      </c>
      <c r="AN73" s="1679">
        <f t="shared" si="72"/>
        <v>-0.27215189873417722</v>
      </c>
      <c r="AO73" s="1680">
        <v>402</v>
      </c>
      <c r="AP73" s="1680">
        <v>57</v>
      </c>
      <c r="AQ73" s="1681">
        <v>0</v>
      </c>
      <c r="AR73" s="1680">
        <f>SUM(AO73:AQ73)</f>
        <v>459</v>
      </c>
      <c r="AS73" s="1679">
        <f t="shared" si="73"/>
        <v>0.33043478260869563</v>
      </c>
    </row>
    <row r="74" spans="1:45" x14ac:dyDescent="0.25">
      <c r="A74" s="1319" t="s">
        <v>1437</v>
      </c>
      <c r="B74" s="1677">
        <v>0</v>
      </c>
      <c r="C74" s="1677">
        <v>0</v>
      </c>
      <c r="D74" s="1896">
        <v>0</v>
      </c>
      <c r="E74" s="282">
        <f>SUM(B74:D74)</f>
        <v>0</v>
      </c>
      <c r="F74" s="1677">
        <v>120</v>
      </c>
      <c r="G74" s="1677">
        <v>15</v>
      </c>
      <c r="H74" s="1896">
        <v>0</v>
      </c>
      <c r="I74" s="1901">
        <f>SUM(F74:H74)</f>
        <v>135</v>
      </c>
      <c r="J74" s="505">
        <f t="shared" si="66"/>
        <v>1</v>
      </c>
      <c r="K74" s="1680">
        <v>0</v>
      </c>
      <c r="L74" s="1680">
        <v>42</v>
      </c>
      <c r="M74" s="1681">
        <v>0</v>
      </c>
      <c r="N74" s="1901">
        <f>SUM(K74:M74)</f>
        <v>42</v>
      </c>
      <c r="O74" s="1679">
        <f t="shared" si="67"/>
        <v>-0.68888888888888888</v>
      </c>
      <c r="P74" s="1680">
        <v>87</v>
      </c>
      <c r="Q74" s="1680">
        <v>0</v>
      </c>
      <c r="R74" s="1681">
        <v>0</v>
      </c>
      <c r="S74" s="1901">
        <f>SUM(P74:R74)</f>
        <v>87</v>
      </c>
      <c r="T74" s="1679">
        <f t="shared" si="68"/>
        <v>1.0714285714285714</v>
      </c>
      <c r="U74" s="1680">
        <v>39</v>
      </c>
      <c r="V74" s="1680">
        <v>27</v>
      </c>
      <c r="W74" s="1681">
        <v>0</v>
      </c>
      <c r="X74" s="1901">
        <f>SUM(U74:W74)</f>
        <v>66</v>
      </c>
      <c r="Y74" s="505">
        <f t="shared" si="69"/>
        <v>-0.2413793103448276</v>
      </c>
      <c r="Z74" s="1680">
        <v>120</v>
      </c>
      <c r="AA74" s="1680">
        <v>0</v>
      </c>
      <c r="AB74" s="1681">
        <v>0</v>
      </c>
      <c r="AC74" s="1901">
        <f>SUM(Z74:AB74)</f>
        <v>120</v>
      </c>
      <c r="AD74" s="505">
        <f t="shared" si="70"/>
        <v>0.81818181818181823</v>
      </c>
      <c r="AE74" s="1680">
        <v>69</v>
      </c>
      <c r="AF74" s="1680">
        <v>0</v>
      </c>
      <c r="AG74" s="1681">
        <v>0</v>
      </c>
      <c r="AH74" s="1680">
        <f>SUM(AE74:AG74)</f>
        <v>69</v>
      </c>
      <c r="AI74" s="505">
        <f t="shared" si="71"/>
        <v>-0.42499999999999999</v>
      </c>
      <c r="AJ74" s="1680">
        <v>159</v>
      </c>
      <c r="AK74" s="1680">
        <v>0</v>
      </c>
      <c r="AL74" s="1681">
        <v>0</v>
      </c>
      <c r="AM74" s="1680">
        <f>SUM(AJ74:AL74)</f>
        <v>159</v>
      </c>
      <c r="AN74" s="1679">
        <f t="shared" si="72"/>
        <v>1.3043478260869565</v>
      </c>
      <c r="AO74" s="1680">
        <v>147</v>
      </c>
      <c r="AP74" s="1680">
        <v>0</v>
      </c>
      <c r="AQ74" s="1681">
        <v>0</v>
      </c>
      <c r="AR74" s="1680">
        <f>SUM(AO74:AQ74)</f>
        <v>147</v>
      </c>
      <c r="AS74" s="1679">
        <f t="shared" si="73"/>
        <v>-7.5471698113207544E-2</v>
      </c>
    </row>
    <row r="75" spans="1:45" s="484" customFormat="1" ht="13.8" x14ac:dyDescent="0.25">
      <c r="A75" s="1345" t="s">
        <v>1015</v>
      </c>
      <c r="B75" s="1776">
        <f t="shared" ref="B75:I75" si="74">SUM(B70:B74)</f>
        <v>1698</v>
      </c>
      <c r="C75" s="1776">
        <f t="shared" si="74"/>
        <v>698</v>
      </c>
      <c r="D75" s="1776">
        <f t="shared" si="74"/>
        <v>0</v>
      </c>
      <c r="E75" s="495">
        <f t="shared" si="74"/>
        <v>2396</v>
      </c>
      <c r="F75" s="1776">
        <f t="shared" si="74"/>
        <v>2136</v>
      </c>
      <c r="G75" s="1776">
        <f t="shared" si="74"/>
        <v>813</v>
      </c>
      <c r="H75" s="1776">
        <f t="shared" si="74"/>
        <v>0</v>
      </c>
      <c r="I75" s="1776">
        <f t="shared" si="74"/>
        <v>2949</v>
      </c>
      <c r="J75" s="586">
        <f t="shared" si="66"/>
        <v>0.23080133555926544</v>
      </c>
      <c r="K75" s="1776">
        <f>SUM(K70:K74)</f>
        <v>2505</v>
      </c>
      <c r="L75" s="1776">
        <f>SUM(L70:L74)</f>
        <v>918</v>
      </c>
      <c r="M75" s="1776">
        <f>SUM(M70:M74)</f>
        <v>0</v>
      </c>
      <c r="N75" s="1776">
        <f>SUM(N70:N74)</f>
        <v>3423</v>
      </c>
      <c r="O75" s="1772">
        <f t="shared" si="67"/>
        <v>0.16073245167853509</v>
      </c>
      <c r="P75" s="1776">
        <f>SUM(P70:P74)</f>
        <v>2904</v>
      </c>
      <c r="Q75" s="1776">
        <f>SUM(Q70:Q74)</f>
        <v>666</v>
      </c>
      <c r="R75" s="1776">
        <f>SUM(R70:R74)</f>
        <v>0</v>
      </c>
      <c r="S75" s="1776">
        <f>SUM(S70:S74)</f>
        <v>3570</v>
      </c>
      <c r="T75" s="1772">
        <f t="shared" si="68"/>
        <v>4.2944785276073622E-2</v>
      </c>
      <c r="U75" s="1776">
        <f>SUM(U70:U74)</f>
        <v>2775</v>
      </c>
      <c r="V75" s="1776">
        <f>SUM(V70:V74)</f>
        <v>546</v>
      </c>
      <c r="W75" s="1776">
        <f>SUM(W70:W74)</f>
        <v>0</v>
      </c>
      <c r="X75" s="1902">
        <f>SUM(X70:X74)</f>
        <v>3321</v>
      </c>
      <c r="Y75" s="586">
        <f t="shared" si="69"/>
        <v>-6.9747899159663868E-2</v>
      </c>
      <c r="Z75" s="1776">
        <f>SUM(Z70:Z74)</f>
        <v>2541</v>
      </c>
      <c r="AA75" s="1776">
        <f>SUM(AA70:AA74)</f>
        <v>783</v>
      </c>
      <c r="AB75" s="1776">
        <f>SUM(AB70:AB74)</f>
        <v>0</v>
      </c>
      <c r="AC75" s="1902">
        <f>SUM(AC70:AC74)</f>
        <v>3324</v>
      </c>
      <c r="AD75" s="586">
        <f t="shared" si="70"/>
        <v>9.0334236675700087E-4</v>
      </c>
      <c r="AE75" s="1776">
        <f>SUM(AE70:AE74)</f>
        <v>2199</v>
      </c>
      <c r="AF75" s="1776">
        <f>SUM(AF70:AF74)</f>
        <v>666</v>
      </c>
      <c r="AG75" s="1776">
        <f>SUM(AG70:AG74)</f>
        <v>0</v>
      </c>
      <c r="AH75" s="1776">
        <f>SUM(AH70:AH74)</f>
        <v>2865</v>
      </c>
      <c r="AI75" s="586">
        <f t="shared" si="71"/>
        <v>-0.13808664259927797</v>
      </c>
      <c r="AJ75" s="1776">
        <f>SUM(AJ70:AJ74)</f>
        <v>2213</v>
      </c>
      <c r="AK75" s="1776">
        <f>SUM(AK70:AK74)</f>
        <v>570</v>
      </c>
      <c r="AL75" s="1776">
        <f>SUM(AL70:AL74)</f>
        <v>0</v>
      </c>
      <c r="AM75" s="1776">
        <f>SUM(AM70:AM74)</f>
        <v>2783</v>
      </c>
      <c r="AN75" s="1772">
        <f t="shared" si="72"/>
        <v>-2.8621291448516578E-2</v>
      </c>
      <c r="AO75" s="1776">
        <f>SUM(AO70:AO74)</f>
        <v>2116</v>
      </c>
      <c r="AP75" s="1776">
        <f>SUM(AP70:AP74)</f>
        <v>687</v>
      </c>
      <c r="AQ75" s="1776">
        <f>SUM(AQ70:AQ74)</f>
        <v>0</v>
      </c>
      <c r="AR75" s="1776">
        <f>SUM(AR70:AR74)</f>
        <v>2803</v>
      </c>
      <c r="AS75" s="1772">
        <f t="shared" si="73"/>
        <v>7.1864893999281348E-3</v>
      </c>
    </row>
    <row r="76" spans="1:45" x14ac:dyDescent="0.25">
      <c r="A76" s="1318" t="s">
        <v>418</v>
      </c>
      <c r="B76" s="1900"/>
      <c r="C76" s="1900"/>
      <c r="D76" s="1900"/>
      <c r="E76" s="281"/>
      <c r="F76" s="1873"/>
      <c r="G76" s="1874"/>
      <c r="H76" s="1874"/>
      <c r="I76" s="1874"/>
      <c r="J76" s="281"/>
      <c r="K76" s="1873"/>
      <c r="L76" s="1874"/>
      <c r="M76" s="1874"/>
      <c r="N76" s="1874"/>
      <c r="O76" s="1875"/>
      <c r="P76" s="1873"/>
      <c r="Q76" s="1874"/>
      <c r="R76" s="1874"/>
      <c r="S76" s="1874"/>
      <c r="T76" s="1875"/>
      <c r="U76" s="1873"/>
      <c r="V76" s="1874"/>
      <c r="W76" s="1874"/>
      <c r="X76" s="1903"/>
      <c r="Y76" s="281"/>
      <c r="Z76" s="1873"/>
      <c r="AA76" s="1874"/>
      <c r="AB76" s="1874"/>
      <c r="AC76" s="1903"/>
      <c r="AD76" s="281"/>
      <c r="AE76" s="1873"/>
      <c r="AF76" s="1874"/>
      <c r="AG76" s="1874"/>
      <c r="AH76" s="1874"/>
      <c r="AI76" s="281"/>
      <c r="AJ76" s="1873"/>
      <c r="AK76" s="1874"/>
      <c r="AL76" s="1874"/>
      <c r="AM76" s="1874"/>
      <c r="AN76" s="1875"/>
      <c r="AO76" s="1873"/>
      <c r="AP76" s="1874"/>
      <c r="AQ76" s="1874"/>
      <c r="AR76" s="1874"/>
      <c r="AS76" s="1875"/>
    </row>
    <row r="77" spans="1:45" x14ac:dyDescent="0.25">
      <c r="A77" s="1319" t="s">
        <v>1674</v>
      </c>
      <c r="B77" s="1677">
        <v>0</v>
      </c>
      <c r="C77" s="1677">
        <v>0</v>
      </c>
      <c r="D77" s="1896">
        <v>0</v>
      </c>
      <c r="E77" s="282">
        <f t="shared" ref="E77:E82" si="75">SUM(B77:D77)</f>
        <v>0</v>
      </c>
      <c r="F77" s="1677">
        <v>0</v>
      </c>
      <c r="G77" s="1677">
        <v>0</v>
      </c>
      <c r="H77" s="1896">
        <v>0</v>
      </c>
      <c r="I77" s="1680">
        <f t="shared" ref="I77:I82" si="76">SUM(F77:H77)</f>
        <v>0</v>
      </c>
      <c r="J77" s="505" t="str">
        <f t="shared" ref="J77:J84" si="77">IF(E77&gt;0,(I77-E77)/E77,(IF(I77=0,"N/A",100%)))</f>
        <v>N/A</v>
      </c>
      <c r="K77" s="1680">
        <v>0</v>
      </c>
      <c r="L77" s="1680">
        <v>0</v>
      </c>
      <c r="M77" s="1681">
        <v>0</v>
      </c>
      <c r="N77" s="1680">
        <f t="shared" ref="N77:N82" si="78">SUM(K77:M77)</f>
        <v>0</v>
      </c>
      <c r="O77" s="1679" t="str">
        <f t="shared" ref="O77:O84" si="79">IF(I77&gt;0,(N77-I77)/I77,(IF(N77=0,"N/A",100%)))</f>
        <v>N/A</v>
      </c>
      <c r="P77" s="1680">
        <v>0</v>
      </c>
      <c r="Q77" s="1680">
        <v>0</v>
      </c>
      <c r="R77" s="1681">
        <v>0</v>
      </c>
      <c r="S77" s="1680">
        <f t="shared" ref="S77:S82" si="80">SUM(P77:R77)</f>
        <v>0</v>
      </c>
      <c r="T77" s="1679" t="str">
        <f t="shared" ref="T77:T84" si="81">IF(N77&gt;0,(S77-N77)/N77,(IF(S77=0,"N/A",100%)))</f>
        <v>N/A</v>
      </c>
      <c r="U77" s="1680">
        <v>0</v>
      </c>
      <c r="V77" s="1680">
        <v>0</v>
      </c>
      <c r="W77" s="1681">
        <v>0</v>
      </c>
      <c r="X77" s="1901">
        <f t="shared" ref="X77:X82" si="82">SUM(U77:W77)</f>
        <v>0</v>
      </c>
      <c r="Y77" s="505" t="str">
        <f t="shared" ref="Y77:Y84" si="83">IF(S77&gt;0,(X77-S77)/S77,(IF(X77=0,"N/A",100%)))</f>
        <v>N/A</v>
      </c>
      <c r="Z77" s="1680">
        <v>0</v>
      </c>
      <c r="AA77" s="1680">
        <v>0</v>
      </c>
      <c r="AB77" s="1681">
        <v>0</v>
      </c>
      <c r="AC77" s="1901">
        <f t="shared" ref="AC77:AC82" si="84">SUM(Z77:AB77)</f>
        <v>0</v>
      </c>
      <c r="AD77" s="505" t="str">
        <f t="shared" ref="AD77:AD84" si="85">IF(X77&gt;0,(AC77-X77)/X77,(IF(AC77=0,"N/A",100%)))</f>
        <v>N/A</v>
      </c>
      <c r="AE77" s="1680">
        <v>0</v>
      </c>
      <c r="AF77" s="1680">
        <v>0</v>
      </c>
      <c r="AG77" s="1681">
        <v>0</v>
      </c>
      <c r="AH77" s="1680">
        <f t="shared" ref="AH77:AH82" si="86">SUM(AE77:AG77)</f>
        <v>0</v>
      </c>
      <c r="AI77" s="505" t="str">
        <f t="shared" ref="AI77:AI84" si="87">IF(AC77&gt;0,(AH77-AC77)/AC77,(IF(AH77=0,"N/A",100%)))</f>
        <v>N/A</v>
      </c>
      <c r="AJ77" s="1680">
        <v>0</v>
      </c>
      <c r="AK77" s="1680">
        <v>0</v>
      </c>
      <c r="AL77" s="1681">
        <v>0</v>
      </c>
      <c r="AM77" s="1680">
        <f t="shared" ref="AM77:AM82" si="88">SUM(AJ77:AL77)</f>
        <v>0</v>
      </c>
      <c r="AN77" s="1679" t="str">
        <f t="shared" ref="AN77:AN84" si="89">IF(AH77&gt;0,(AM77-AH77)/AH77,(IF(AM77=0,"N/A",100%)))</f>
        <v>N/A</v>
      </c>
      <c r="AO77" s="1680">
        <v>51</v>
      </c>
      <c r="AP77" s="1680">
        <v>0</v>
      </c>
      <c r="AQ77" s="1681">
        <v>0</v>
      </c>
      <c r="AR77" s="1680">
        <f t="shared" ref="AR77:AR82" si="90">SUM(AO77:AQ77)</f>
        <v>51</v>
      </c>
      <c r="AS77" s="1679">
        <f t="shared" ref="AS77:AS84" si="91">IF(AM77&gt;0,(AR77-AM77)/AM77,(IF(AR77=0,"N/A",100%)))</f>
        <v>1</v>
      </c>
    </row>
    <row r="78" spans="1:45" x14ac:dyDescent="0.25">
      <c r="A78" s="1319" t="s">
        <v>1044</v>
      </c>
      <c r="B78" s="1677">
        <v>2683</v>
      </c>
      <c r="C78" s="1677">
        <v>145</v>
      </c>
      <c r="D78" s="1896">
        <v>0</v>
      </c>
      <c r="E78" s="282">
        <f t="shared" si="75"/>
        <v>2828</v>
      </c>
      <c r="F78" s="1677">
        <v>3116</v>
      </c>
      <c r="G78" s="1677">
        <v>183</v>
      </c>
      <c r="H78" s="1896">
        <v>0</v>
      </c>
      <c r="I78" s="1680">
        <f t="shared" si="76"/>
        <v>3299</v>
      </c>
      <c r="J78" s="505">
        <f>IF(E78&gt;0,(I78-E78)/E78,(IF(I78=0,"N/A",100%)))</f>
        <v>0.16654879773691655</v>
      </c>
      <c r="K78" s="1680">
        <v>3541</v>
      </c>
      <c r="L78" s="1680">
        <v>195</v>
      </c>
      <c r="M78" s="1681">
        <v>0</v>
      </c>
      <c r="N78" s="1680">
        <f t="shared" si="78"/>
        <v>3736</v>
      </c>
      <c r="O78" s="1679">
        <f>IF(I78&gt;0,(N78-I78)/I78,(IF(N78=0,"N/A",100%)))</f>
        <v>0.13246438314640802</v>
      </c>
      <c r="P78" s="1680">
        <v>3935</v>
      </c>
      <c r="Q78" s="1680">
        <v>204</v>
      </c>
      <c r="R78" s="1681">
        <v>0</v>
      </c>
      <c r="S78" s="1680">
        <f t="shared" si="80"/>
        <v>4139</v>
      </c>
      <c r="T78" s="1679">
        <f>IF(N78&gt;0,(S78-N78)/N78,(IF(S78=0,"N/A",100%)))</f>
        <v>0.10786937901498929</v>
      </c>
      <c r="U78" s="1680">
        <v>3746</v>
      </c>
      <c r="V78" s="1680">
        <v>174</v>
      </c>
      <c r="W78" s="1681">
        <v>0</v>
      </c>
      <c r="X78" s="1901">
        <f t="shared" si="82"/>
        <v>3920</v>
      </c>
      <c r="Y78" s="505">
        <f>IF(S78&gt;0,(X78-S78)/S78,(IF(X78=0,"N/A",100%)))</f>
        <v>-5.2911331239429815E-2</v>
      </c>
      <c r="Z78" s="1680">
        <v>3608</v>
      </c>
      <c r="AA78" s="1680">
        <v>276</v>
      </c>
      <c r="AB78" s="1681">
        <v>0</v>
      </c>
      <c r="AC78" s="1901">
        <f t="shared" si="84"/>
        <v>3884</v>
      </c>
      <c r="AD78" s="505">
        <f>IF(X78&gt;0,(AC78-X78)/X78,(IF(AC78=0,"N/A",100%)))</f>
        <v>-9.1836734693877559E-3</v>
      </c>
      <c r="AE78" s="1680">
        <v>3311</v>
      </c>
      <c r="AF78" s="1680">
        <v>183</v>
      </c>
      <c r="AG78" s="1681">
        <v>0</v>
      </c>
      <c r="AH78" s="1680">
        <f t="shared" si="86"/>
        <v>3494</v>
      </c>
      <c r="AI78" s="505">
        <f>IF(AC78&gt;0,(AH78-AC78)/AC78,(IF(AH78=0,"N/A",100%)))</f>
        <v>-0.1004119464469619</v>
      </c>
      <c r="AJ78" s="1680">
        <v>3021</v>
      </c>
      <c r="AK78" s="1680">
        <v>171</v>
      </c>
      <c r="AL78" s="1681">
        <v>0</v>
      </c>
      <c r="AM78" s="1680">
        <f t="shared" si="88"/>
        <v>3192</v>
      </c>
      <c r="AN78" s="1679">
        <f>IF(AH78&gt;0,(AM78-AH78)/AH78,(IF(AM78=0,"N/A",100%)))</f>
        <v>-8.6433886662850595E-2</v>
      </c>
      <c r="AO78" s="1680">
        <v>3092</v>
      </c>
      <c r="AP78" s="1680">
        <v>175</v>
      </c>
      <c r="AQ78" s="1681">
        <v>0</v>
      </c>
      <c r="AR78" s="1680">
        <f t="shared" si="90"/>
        <v>3267</v>
      </c>
      <c r="AS78" s="1679">
        <f>IF(AM78&gt;0,(AR78-AM78)/AM78,(IF(AR78=0,"N/A",100%)))</f>
        <v>2.3496240601503758E-2</v>
      </c>
    </row>
    <row r="79" spans="1:45" x14ac:dyDescent="0.25">
      <c r="A79" s="1319" t="s">
        <v>1555</v>
      </c>
      <c r="B79" s="1677">
        <v>0</v>
      </c>
      <c r="C79" s="1677">
        <v>0</v>
      </c>
      <c r="D79" s="1896">
        <v>0</v>
      </c>
      <c r="E79" s="282">
        <f t="shared" si="75"/>
        <v>0</v>
      </c>
      <c r="F79" s="1677">
        <v>0</v>
      </c>
      <c r="G79" s="1677">
        <v>0</v>
      </c>
      <c r="H79" s="1896">
        <v>0</v>
      </c>
      <c r="I79" s="1680">
        <f t="shared" si="76"/>
        <v>0</v>
      </c>
      <c r="J79" s="505" t="str">
        <f t="shared" si="77"/>
        <v>N/A</v>
      </c>
      <c r="K79" s="1680">
        <v>0</v>
      </c>
      <c r="L79" s="1680">
        <v>0</v>
      </c>
      <c r="M79" s="1681">
        <v>0</v>
      </c>
      <c r="N79" s="1680">
        <f t="shared" si="78"/>
        <v>0</v>
      </c>
      <c r="O79" s="1679" t="str">
        <f t="shared" si="79"/>
        <v>N/A</v>
      </c>
      <c r="P79" s="1680">
        <v>0</v>
      </c>
      <c r="Q79" s="1680">
        <v>0</v>
      </c>
      <c r="R79" s="1681">
        <v>0</v>
      </c>
      <c r="S79" s="1680">
        <f t="shared" si="80"/>
        <v>0</v>
      </c>
      <c r="T79" s="1679" t="str">
        <f t="shared" si="81"/>
        <v>N/A</v>
      </c>
      <c r="U79" s="1680">
        <v>0</v>
      </c>
      <c r="V79" s="1680">
        <v>0</v>
      </c>
      <c r="W79" s="1681">
        <v>0</v>
      </c>
      <c r="X79" s="1901">
        <f t="shared" si="82"/>
        <v>0</v>
      </c>
      <c r="Y79" s="505" t="str">
        <f t="shared" si="83"/>
        <v>N/A</v>
      </c>
      <c r="Z79" s="1680">
        <v>39</v>
      </c>
      <c r="AA79" s="1680">
        <v>0</v>
      </c>
      <c r="AB79" s="1681">
        <v>0</v>
      </c>
      <c r="AC79" s="1901">
        <f t="shared" si="84"/>
        <v>39</v>
      </c>
      <c r="AD79" s="505">
        <f t="shared" si="85"/>
        <v>1</v>
      </c>
      <c r="AE79" s="1680">
        <v>6</v>
      </c>
      <c r="AF79" s="1680">
        <v>0</v>
      </c>
      <c r="AG79" s="1681">
        <v>0</v>
      </c>
      <c r="AH79" s="1680">
        <f t="shared" si="86"/>
        <v>6</v>
      </c>
      <c r="AI79" s="505">
        <f t="shared" si="87"/>
        <v>-0.84615384615384615</v>
      </c>
      <c r="AJ79" s="1680">
        <v>66</v>
      </c>
      <c r="AK79" s="1680">
        <v>0</v>
      </c>
      <c r="AL79" s="1681">
        <v>0</v>
      </c>
      <c r="AM79" s="1680">
        <f t="shared" si="88"/>
        <v>66</v>
      </c>
      <c r="AN79" s="1679">
        <f t="shared" si="89"/>
        <v>10</v>
      </c>
      <c r="AO79" s="1680">
        <v>54</v>
      </c>
      <c r="AP79" s="1680">
        <v>0</v>
      </c>
      <c r="AQ79" s="1681">
        <v>0</v>
      </c>
      <c r="AR79" s="1680">
        <f t="shared" si="90"/>
        <v>54</v>
      </c>
      <c r="AS79" s="1679">
        <f t="shared" si="91"/>
        <v>-0.18181818181818182</v>
      </c>
    </row>
    <row r="80" spans="1:45" x14ac:dyDescent="0.25">
      <c r="A80" s="1319" t="s">
        <v>1045</v>
      </c>
      <c r="B80" s="1677">
        <v>105</v>
      </c>
      <c r="C80" s="1677">
        <v>0</v>
      </c>
      <c r="D80" s="1896">
        <v>0</v>
      </c>
      <c r="E80" s="282">
        <f t="shared" si="75"/>
        <v>105</v>
      </c>
      <c r="F80" s="1677">
        <v>135</v>
      </c>
      <c r="G80" s="1677">
        <v>0</v>
      </c>
      <c r="H80" s="1896">
        <v>0</v>
      </c>
      <c r="I80" s="1680">
        <f t="shared" si="76"/>
        <v>135</v>
      </c>
      <c r="J80" s="505">
        <f t="shared" si="77"/>
        <v>0.2857142857142857</v>
      </c>
      <c r="K80" s="1680">
        <v>132</v>
      </c>
      <c r="L80" s="1680">
        <v>3</v>
      </c>
      <c r="M80" s="1681">
        <v>0</v>
      </c>
      <c r="N80" s="1680">
        <f t="shared" si="78"/>
        <v>135</v>
      </c>
      <c r="O80" s="1679">
        <f t="shared" si="79"/>
        <v>0</v>
      </c>
      <c r="P80" s="1680">
        <v>135</v>
      </c>
      <c r="Q80" s="1680">
        <v>0</v>
      </c>
      <c r="R80" s="1681">
        <v>0</v>
      </c>
      <c r="S80" s="1680">
        <f t="shared" si="80"/>
        <v>135</v>
      </c>
      <c r="T80" s="1679">
        <f t="shared" si="81"/>
        <v>0</v>
      </c>
      <c r="U80" s="1680">
        <v>147</v>
      </c>
      <c r="V80" s="1680">
        <v>0</v>
      </c>
      <c r="W80" s="1681">
        <v>0</v>
      </c>
      <c r="X80" s="1901">
        <f t="shared" si="82"/>
        <v>147</v>
      </c>
      <c r="Y80" s="505">
        <f t="shared" si="83"/>
        <v>8.8888888888888892E-2</v>
      </c>
      <c r="Z80" s="1680">
        <v>159</v>
      </c>
      <c r="AA80" s="1680">
        <v>6</v>
      </c>
      <c r="AB80" s="1681">
        <v>0</v>
      </c>
      <c r="AC80" s="1901">
        <f t="shared" si="84"/>
        <v>165</v>
      </c>
      <c r="AD80" s="505">
        <f t="shared" si="85"/>
        <v>0.12244897959183673</v>
      </c>
      <c r="AE80" s="1680">
        <v>174</v>
      </c>
      <c r="AF80" s="1680">
        <v>0</v>
      </c>
      <c r="AG80" s="1681">
        <v>0</v>
      </c>
      <c r="AH80" s="1680">
        <f t="shared" si="86"/>
        <v>174</v>
      </c>
      <c r="AI80" s="505">
        <f t="shared" si="87"/>
        <v>5.4545454545454543E-2</v>
      </c>
      <c r="AJ80" s="1680">
        <v>177</v>
      </c>
      <c r="AK80" s="1680">
        <v>0</v>
      </c>
      <c r="AL80" s="1681">
        <v>0</v>
      </c>
      <c r="AM80" s="1680">
        <f t="shared" si="88"/>
        <v>177</v>
      </c>
      <c r="AN80" s="1679">
        <f t="shared" si="89"/>
        <v>1.7241379310344827E-2</v>
      </c>
      <c r="AO80" s="1680">
        <v>90</v>
      </c>
      <c r="AP80" s="1680">
        <v>0</v>
      </c>
      <c r="AQ80" s="1681">
        <v>0</v>
      </c>
      <c r="AR80" s="1680">
        <f t="shared" si="90"/>
        <v>90</v>
      </c>
      <c r="AS80" s="1679">
        <f t="shared" si="91"/>
        <v>-0.49152542372881358</v>
      </c>
    </row>
    <row r="81" spans="1:45" x14ac:dyDescent="0.25">
      <c r="A81" s="1319" t="s">
        <v>1739</v>
      </c>
      <c r="B81" s="1677">
        <v>0</v>
      </c>
      <c r="C81" s="1677">
        <v>0</v>
      </c>
      <c r="D81" s="1896">
        <v>0</v>
      </c>
      <c r="E81" s="282">
        <f t="shared" si="75"/>
        <v>0</v>
      </c>
      <c r="F81" s="1677">
        <v>0</v>
      </c>
      <c r="G81" s="1677">
        <v>0</v>
      </c>
      <c r="H81" s="1896">
        <v>0</v>
      </c>
      <c r="I81" s="1680">
        <f t="shared" si="76"/>
        <v>0</v>
      </c>
      <c r="J81" s="505" t="str">
        <f t="shared" si="77"/>
        <v>N/A</v>
      </c>
      <c r="K81" s="1680">
        <v>0</v>
      </c>
      <c r="L81" s="1680">
        <v>0</v>
      </c>
      <c r="M81" s="1681">
        <v>0</v>
      </c>
      <c r="N81" s="1680">
        <f t="shared" si="78"/>
        <v>0</v>
      </c>
      <c r="O81" s="1679" t="str">
        <f t="shared" si="79"/>
        <v>N/A</v>
      </c>
      <c r="P81" s="1680">
        <v>0</v>
      </c>
      <c r="Q81" s="1680">
        <v>0</v>
      </c>
      <c r="R81" s="1681">
        <v>0</v>
      </c>
      <c r="S81" s="1680">
        <f t="shared" si="80"/>
        <v>0</v>
      </c>
      <c r="T81" s="1679" t="str">
        <f t="shared" si="81"/>
        <v>N/A</v>
      </c>
      <c r="U81" s="1680">
        <v>0</v>
      </c>
      <c r="V81" s="1680">
        <v>0</v>
      </c>
      <c r="W81" s="1681">
        <v>0</v>
      </c>
      <c r="X81" s="1901">
        <f t="shared" si="82"/>
        <v>0</v>
      </c>
      <c r="Y81" s="505" t="str">
        <f t="shared" si="83"/>
        <v>N/A</v>
      </c>
      <c r="Z81" s="1680">
        <v>0</v>
      </c>
      <c r="AA81" s="1680">
        <v>0</v>
      </c>
      <c r="AB81" s="1681">
        <v>0</v>
      </c>
      <c r="AC81" s="1901">
        <f t="shared" si="84"/>
        <v>0</v>
      </c>
      <c r="AD81" s="505" t="str">
        <f t="shared" si="85"/>
        <v>N/A</v>
      </c>
      <c r="AE81" s="1680">
        <v>0</v>
      </c>
      <c r="AF81" s="1680">
        <v>0</v>
      </c>
      <c r="AG81" s="1681">
        <v>0</v>
      </c>
      <c r="AH81" s="1680">
        <f t="shared" si="86"/>
        <v>0</v>
      </c>
      <c r="AI81" s="505" t="str">
        <f t="shared" si="87"/>
        <v>N/A</v>
      </c>
      <c r="AJ81" s="1680">
        <v>0</v>
      </c>
      <c r="AK81" s="1680">
        <v>0</v>
      </c>
      <c r="AL81" s="1681">
        <v>0</v>
      </c>
      <c r="AM81" s="1680">
        <f t="shared" si="88"/>
        <v>0</v>
      </c>
      <c r="AN81" s="1679" t="str">
        <f t="shared" si="89"/>
        <v>N/A</v>
      </c>
      <c r="AO81" s="1680">
        <v>24</v>
      </c>
      <c r="AP81" s="1680">
        <v>0</v>
      </c>
      <c r="AQ81" s="1681">
        <v>0</v>
      </c>
      <c r="AR81" s="1680">
        <f t="shared" si="90"/>
        <v>24</v>
      </c>
      <c r="AS81" s="1679">
        <f t="shared" si="91"/>
        <v>1</v>
      </c>
    </row>
    <row r="82" spans="1:45" x14ac:dyDescent="0.25">
      <c r="A82" s="1319" t="s">
        <v>1049</v>
      </c>
      <c r="B82" s="1677">
        <v>882</v>
      </c>
      <c r="C82" s="1677">
        <v>70</v>
      </c>
      <c r="D82" s="1896">
        <v>0</v>
      </c>
      <c r="E82" s="282">
        <f t="shared" si="75"/>
        <v>952</v>
      </c>
      <c r="F82" s="1677">
        <v>855</v>
      </c>
      <c r="G82" s="1677">
        <v>57</v>
      </c>
      <c r="H82" s="1896">
        <v>0</v>
      </c>
      <c r="I82" s="1680">
        <f t="shared" si="76"/>
        <v>912</v>
      </c>
      <c r="J82" s="505">
        <f t="shared" si="77"/>
        <v>-4.2016806722689079E-2</v>
      </c>
      <c r="K82" s="1680">
        <v>938</v>
      </c>
      <c r="L82" s="1680">
        <v>36</v>
      </c>
      <c r="M82" s="1681">
        <v>0</v>
      </c>
      <c r="N82" s="1680">
        <f t="shared" si="78"/>
        <v>974</v>
      </c>
      <c r="O82" s="1679">
        <f t="shared" si="79"/>
        <v>6.798245614035088E-2</v>
      </c>
      <c r="P82" s="1680">
        <v>1017</v>
      </c>
      <c r="Q82" s="1680">
        <v>57</v>
      </c>
      <c r="R82" s="1681">
        <v>0</v>
      </c>
      <c r="S82" s="1680">
        <f t="shared" si="80"/>
        <v>1074</v>
      </c>
      <c r="T82" s="1679">
        <f t="shared" si="81"/>
        <v>0.10266940451745379</v>
      </c>
      <c r="U82" s="1680">
        <v>1170</v>
      </c>
      <c r="V82" s="1680">
        <v>71</v>
      </c>
      <c r="W82" s="1681">
        <v>0</v>
      </c>
      <c r="X82" s="1901">
        <f t="shared" si="82"/>
        <v>1241</v>
      </c>
      <c r="Y82" s="505">
        <f t="shared" si="83"/>
        <v>0.15549348230912477</v>
      </c>
      <c r="Z82" s="1680">
        <v>1227</v>
      </c>
      <c r="AA82" s="1680">
        <v>99</v>
      </c>
      <c r="AB82" s="1681">
        <v>0</v>
      </c>
      <c r="AC82" s="1901">
        <f t="shared" si="84"/>
        <v>1326</v>
      </c>
      <c r="AD82" s="505">
        <f t="shared" si="85"/>
        <v>6.8493150684931503E-2</v>
      </c>
      <c r="AE82" s="1680">
        <v>1215</v>
      </c>
      <c r="AF82" s="1680">
        <v>48</v>
      </c>
      <c r="AG82" s="1681">
        <v>0</v>
      </c>
      <c r="AH82" s="1680">
        <f t="shared" si="86"/>
        <v>1263</v>
      </c>
      <c r="AI82" s="505">
        <f t="shared" si="87"/>
        <v>-4.7511312217194568E-2</v>
      </c>
      <c r="AJ82" s="1680">
        <v>1086</v>
      </c>
      <c r="AK82" s="1680">
        <v>60</v>
      </c>
      <c r="AL82" s="1681">
        <v>0</v>
      </c>
      <c r="AM82" s="1680">
        <f t="shared" si="88"/>
        <v>1146</v>
      </c>
      <c r="AN82" s="1679">
        <f t="shared" si="89"/>
        <v>-9.2636579572446559E-2</v>
      </c>
      <c r="AO82" s="1680">
        <v>1014</v>
      </c>
      <c r="AP82" s="1680">
        <v>84</v>
      </c>
      <c r="AQ82" s="1681">
        <v>0</v>
      </c>
      <c r="AR82" s="1680">
        <f t="shared" si="90"/>
        <v>1098</v>
      </c>
      <c r="AS82" s="1679">
        <f t="shared" si="91"/>
        <v>-4.1884816753926704E-2</v>
      </c>
    </row>
    <row r="83" spans="1:45" s="484" customFormat="1" ht="13.8" x14ac:dyDescent="0.25">
      <c r="A83" s="1345" t="s">
        <v>1015</v>
      </c>
      <c r="B83" s="1776">
        <f t="shared" ref="B83:I83" si="92">SUM(B77:B82)</f>
        <v>3670</v>
      </c>
      <c r="C83" s="1776">
        <f t="shared" si="92"/>
        <v>215</v>
      </c>
      <c r="D83" s="1776">
        <f t="shared" si="92"/>
        <v>0</v>
      </c>
      <c r="E83" s="512">
        <f t="shared" si="92"/>
        <v>3885</v>
      </c>
      <c r="F83" s="1776">
        <f t="shared" si="92"/>
        <v>4106</v>
      </c>
      <c r="G83" s="1776">
        <f t="shared" si="92"/>
        <v>240</v>
      </c>
      <c r="H83" s="1776">
        <f t="shared" si="92"/>
        <v>0</v>
      </c>
      <c r="I83" s="1776">
        <f t="shared" si="92"/>
        <v>4346</v>
      </c>
      <c r="J83" s="586">
        <f t="shared" si="77"/>
        <v>0.11866151866151867</v>
      </c>
      <c r="K83" s="1776">
        <f>SUM(K77:K82)</f>
        <v>4611</v>
      </c>
      <c r="L83" s="1776">
        <f>SUM(L77:L82)</f>
        <v>234</v>
      </c>
      <c r="M83" s="1776">
        <f>SUM(M77:M82)</f>
        <v>0</v>
      </c>
      <c r="N83" s="1776">
        <f>SUM(N77:N82)</f>
        <v>4845</v>
      </c>
      <c r="O83" s="1772">
        <f t="shared" si="79"/>
        <v>0.11481822365393465</v>
      </c>
      <c r="P83" s="1776">
        <f>SUM(P77:P82)</f>
        <v>5087</v>
      </c>
      <c r="Q83" s="1776">
        <f>SUM(Q77:Q82)</f>
        <v>261</v>
      </c>
      <c r="R83" s="1776">
        <f>SUM(R77:R82)</f>
        <v>0</v>
      </c>
      <c r="S83" s="1776">
        <f>SUM(S77:S82)</f>
        <v>5348</v>
      </c>
      <c r="T83" s="1772">
        <f t="shared" si="81"/>
        <v>0.10381836945304437</v>
      </c>
      <c r="U83" s="1776">
        <f>SUM(U77:U82)</f>
        <v>5063</v>
      </c>
      <c r="V83" s="1776">
        <f>SUM(V77:V82)</f>
        <v>245</v>
      </c>
      <c r="W83" s="1776">
        <f>SUM(W77:W82)</f>
        <v>0</v>
      </c>
      <c r="X83" s="1902">
        <f>SUM(X77:X82)</f>
        <v>5308</v>
      </c>
      <c r="Y83" s="586">
        <f t="shared" si="83"/>
        <v>-7.4794315632011965E-3</v>
      </c>
      <c r="Z83" s="1776">
        <f>SUM(Z77:Z82)</f>
        <v>5033</v>
      </c>
      <c r="AA83" s="1776">
        <f>SUM(AA77:AA82)</f>
        <v>381</v>
      </c>
      <c r="AB83" s="1776">
        <f>SUM(AB77:AB82)</f>
        <v>0</v>
      </c>
      <c r="AC83" s="1902">
        <f>SUM(AC77:AC82)</f>
        <v>5414</v>
      </c>
      <c r="AD83" s="586">
        <f t="shared" si="85"/>
        <v>1.9969856819894497E-2</v>
      </c>
      <c r="AE83" s="1776">
        <f>SUM(AE77:AE82)</f>
        <v>4706</v>
      </c>
      <c r="AF83" s="1776">
        <f>SUM(AF77:AF82)</f>
        <v>231</v>
      </c>
      <c r="AG83" s="1776">
        <f>SUM(AG77:AG82)</f>
        <v>0</v>
      </c>
      <c r="AH83" s="1776">
        <f>SUM(AH77:AH82)</f>
        <v>4937</v>
      </c>
      <c r="AI83" s="586">
        <f t="shared" si="87"/>
        <v>-8.8104913188031028E-2</v>
      </c>
      <c r="AJ83" s="1776">
        <f>SUM(AJ77:AJ82)</f>
        <v>4350</v>
      </c>
      <c r="AK83" s="1776">
        <f>SUM(AK77:AK82)</f>
        <v>231</v>
      </c>
      <c r="AL83" s="1776">
        <f>SUM(AL77:AL82)</f>
        <v>0</v>
      </c>
      <c r="AM83" s="1776">
        <f>SUM(AM77:AM82)</f>
        <v>4581</v>
      </c>
      <c r="AN83" s="1772">
        <f t="shared" si="89"/>
        <v>-7.2108567956248731E-2</v>
      </c>
      <c r="AO83" s="1776">
        <f>SUM(AO77:AO82)</f>
        <v>4325</v>
      </c>
      <c r="AP83" s="1776">
        <f>SUM(AP77:AP82)</f>
        <v>259</v>
      </c>
      <c r="AQ83" s="1776">
        <f>SUM(AQ77:AQ82)</f>
        <v>0</v>
      </c>
      <c r="AR83" s="1776">
        <f>SUM(AR77:AR82)</f>
        <v>4584</v>
      </c>
      <c r="AS83" s="1772">
        <f t="shared" si="91"/>
        <v>6.5487884741322858E-4</v>
      </c>
    </row>
    <row r="84" spans="1:45" s="502" customFormat="1" ht="16.2" thickBot="1" x14ac:dyDescent="0.35">
      <c r="A84" s="1328" t="s">
        <v>423</v>
      </c>
      <c r="B84" s="988">
        <f t="shared" ref="B84:I84" si="93">+B54+B61+B68+B75+B83</f>
        <v>8255</v>
      </c>
      <c r="C84" s="988">
        <f t="shared" si="93"/>
        <v>2102</v>
      </c>
      <c r="D84" s="988">
        <f t="shared" si="93"/>
        <v>90</v>
      </c>
      <c r="E84" s="989">
        <f t="shared" si="93"/>
        <v>10447</v>
      </c>
      <c r="F84" s="988">
        <f t="shared" si="93"/>
        <v>9466</v>
      </c>
      <c r="G84" s="988">
        <f t="shared" si="93"/>
        <v>2535</v>
      </c>
      <c r="H84" s="988">
        <f t="shared" si="93"/>
        <v>126</v>
      </c>
      <c r="I84" s="988">
        <f t="shared" si="93"/>
        <v>12127</v>
      </c>
      <c r="J84" s="975">
        <f t="shared" si="77"/>
        <v>0.16081171628218627</v>
      </c>
      <c r="K84" s="988">
        <f>+K54+K61+K68+K75+K83</f>
        <v>11106</v>
      </c>
      <c r="L84" s="988">
        <f>+L54+L61+L68+L75+L83</f>
        <v>2577</v>
      </c>
      <c r="M84" s="988">
        <f>+M54+M61+M68+M75+M83</f>
        <v>45</v>
      </c>
      <c r="N84" s="988">
        <f>+N54+N61+N68+N75+N83</f>
        <v>13728</v>
      </c>
      <c r="O84" s="975">
        <f t="shared" si="79"/>
        <v>0.13201946070751217</v>
      </c>
      <c r="P84" s="988">
        <f>+P54+P61+P68+P75+P83</f>
        <v>12452</v>
      </c>
      <c r="Q84" s="988">
        <f>+Q54+Q61+Q68+Q75+Q83</f>
        <v>2261</v>
      </c>
      <c r="R84" s="988">
        <f>+R54+R61+R68+R75+R83</f>
        <v>108</v>
      </c>
      <c r="S84" s="988">
        <f>+S54+S61+S68+S75+S83</f>
        <v>14821</v>
      </c>
      <c r="T84" s="975">
        <f t="shared" si="81"/>
        <v>7.9618298368298368E-2</v>
      </c>
      <c r="U84" s="988">
        <f>+U54+U61+U68+U75+U83</f>
        <v>12421</v>
      </c>
      <c r="V84" s="988">
        <f>+V54+V61+V68+V75+V83</f>
        <v>2141</v>
      </c>
      <c r="W84" s="988">
        <f>+W54+W61+W68+W75+W83</f>
        <v>45</v>
      </c>
      <c r="X84" s="1049">
        <f>+X54+X61+X68+X75+X83</f>
        <v>14607</v>
      </c>
      <c r="Y84" s="975">
        <f t="shared" si="83"/>
        <v>-1.4438971729303016E-2</v>
      </c>
      <c r="Z84" s="988">
        <f>+Z54+Z61+Z68+Z75+Z83</f>
        <v>11746</v>
      </c>
      <c r="AA84" s="988">
        <f>+AA54+AA61+AA68+AA75+AA83</f>
        <v>2476</v>
      </c>
      <c r="AB84" s="988">
        <f>+AB54+AB61+AB68+AB75+AB83</f>
        <v>63</v>
      </c>
      <c r="AC84" s="1049">
        <f>+AC54+AC61+AC68+AC75+AC83</f>
        <v>14285</v>
      </c>
      <c r="AD84" s="975">
        <f t="shared" si="85"/>
        <v>-2.2044225371397275E-2</v>
      </c>
      <c r="AE84" s="988">
        <f>+AE54+AE61+AE68+AE75+AE83</f>
        <v>10666</v>
      </c>
      <c r="AF84" s="988">
        <f>+AF54+AF61+AF68+AF75+AF83</f>
        <v>2302</v>
      </c>
      <c r="AG84" s="988">
        <f>+AG54+AG61+AG68+AG75+AG83</f>
        <v>45</v>
      </c>
      <c r="AH84" s="988">
        <f>+AH54+AH61+AH68+AH75+AH83</f>
        <v>13013</v>
      </c>
      <c r="AI84" s="975">
        <f t="shared" si="87"/>
        <v>-8.9044452222611134E-2</v>
      </c>
      <c r="AJ84" s="988">
        <f>+AJ54+AJ61+AJ68+AJ75+AJ83</f>
        <v>10226</v>
      </c>
      <c r="AK84" s="988">
        <f>+AK54+AK61+AK68+AK75+AK83</f>
        <v>2014</v>
      </c>
      <c r="AL84" s="988">
        <f>+AL54+AL61+AL68+AL75+AL83</f>
        <v>36</v>
      </c>
      <c r="AM84" s="988">
        <f>+AM54+AM61+AM68+AM75+AM83</f>
        <v>12276</v>
      </c>
      <c r="AN84" s="975">
        <f t="shared" si="89"/>
        <v>-5.6635672020287402E-2</v>
      </c>
      <c r="AO84" s="988">
        <f>+AO54+AO61+AO68+AO75+AO83</f>
        <v>9824</v>
      </c>
      <c r="AP84" s="988">
        <f>+AP54+AP61+AP68+AP75+AP83</f>
        <v>2003</v>
      </c>
      <c r="AQ84" s="988">
        <f>+AQ54+AQ61+AQ68+AQ75+AQ83</f>
        <v>0</v>
      </c>
      <c r="AR84" s="988">
        <f>+AR54+AR61+AR68+AR75+AR83</f>
        <v>11827</v>
      </c>
      <c r="AS84" s="975">
        <f t="shared" si="91"/>
        <v>-3.6575431736722057E-2</v>
      </c>
    </row>
    <row r="85" spans="1:45" ht="14.25" customHeight="1" x14ac:dyDescent="0.25">
      <c r="A85" s="507"/>
      <c r="B85" s="286"/>
      <c r="C85" s="286"/>
      <c r="D85" s="286"/>
      <c r="E85" s="286"/>
      <c r="F85" s="286"/>
      <c r="G85" s="286"/>
      <c r="H85" s="286"/>
      <c r="I85" s="286"/>
      <c r="J85" s="504"/>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row>
    <row r="86" spans="1:45" ht="14.25" customHeight="1" thickBot="1" x14ac:dyDescent="0.3">
      <c r="A86" s="507"/>
      <c r="B86" s="286"/>
      <c r="C86" s="286"/>
      <c r="D86" s="286"/>
      <c r="E86" s="286"/>
      <c r="F86" s="286"/>
      <c r="G86" s="286"/>
      <c r="H86" s="286"/>
      <c r="I86" s="286"/>
      <c r="J86" s="504"/>
      <c r="K86" s="280"/>
      <c r="L86" s="280"/>
      <c r="M86" s="280"/>
      <c r="N86" s="280"/>
      <c r="O86" s="280"/>
      <c r="P86" s="280"/>
      <c r="Q86" s="280"/>
      <c r="R86" s="280"/>
      <c r="S86" s="280"/>
      <c r="T86" s="280"/>
      <c r="U86" s="280"/>
      <c r="V86" s="280"/>
      <c r="W86" s="280"/>
      <c r="X86" s="280"/>
      <c r="Y86" s="280"/>
      <c r="Z86" s="280"/>
      <c r="AA86" s="280"/>
      <c r="AB86" s="280"/>
      <c r="AC86" s="280"/>
      <c r="AD86" s="280"/>
      <c r="AE86" s="280"/>
      <c r="AF86" s="280"/>
      <c r="AG86" s="280"/>
      <c r="AH86" s="280"/>
    </row>
    <row r="87" spans="1:45" customFormat="1" ht="18" thickBot="1" x14ac:dyDescent="0.35">
      <c r="A87" s="2134" t="s">
        <v>409</v>
      </c>
      <c r="B87" s="2135"/>
      <c r="C87" s="2135"/>
      <c r="D87" s="2135"/>
      <c r="E87" s="2135"/>
      <c r="F87" s="2135"/>
      <c r="G87" s="2135"/>
      <c r="H87" s="2135"/>
      <c r="I87" s="2135"/>
      <c r="J87" s="2135"/>
      <c r="K87" s="2135"/>
      <c r="L87" s="2135"/>
      <c r="M87" s="2135"/>
      <c r="N87" s="2135"/>
      <c r="O87" s="2135"/>
      <c r="P87" s="2135"/>
      <c r="Q87" s="2135"/>
      <c r="R87" s="2135"/>
      <c r="S87" s="2135"/>
      <c r="T87" s="2135"/>
      <c r="U87" s="2135"/>
      <c r="V87" s="2135"/>
      <c r="W87" s="2135"/>
      <c r="X87" s="2135"/>
      <c r="Y87" s="2135"/>
      <c r="Z87" s="2135"/>
      <c r="AA87" s="2135"/>
      <c r="AB87" s="2135"/>
      <c r="AC87" s="2135"/>
      <c r="AD87" s="2135"/>
      <c r="AE87" s="2135"/>
      <c r="AF87" s="2135"/>
      <c r="AG87" s="2135"/>
      <c r="AH87" s="2135"/>
      <c r="AI87" s="2135"/>
      <c r="AJ87" s="2135"/>
      <c r="AK87" s="2135"/>
      <c r="AL87" s="2135"/>
      <c r="AM87" s="2135"/>
      <c r="AN87" s="2135"/>
      <c r="AO87" s="2135"/>
      <c r="AP87" s="2135"/>
      <c r="AQ87" s="2135"/>
      <c r="AR87" s="2135"/>
      <c r="AS87" s="2136"/>
    </row>
    <row r="88" spans="1:45" ht="26.4" x14ac:dyDescent="0.25">
      <c r="A88" s="2142" t="s">
        <v>1006</v>
      </c>
      <c r="B88" s="1711" t="s">
        <v>1008</v>
      </c>
      <c r="C88" s="1711" t="s">
        <v>1009</v>
      </c>
      <c r="D88" s="1711" t="s">
        <v>1010</v>
      </c>
      <c r="E88" s="680" t="s">
        <v>1011</v>
      </c>
      <c r="F88" s="1711" t="s">
        <v>1008</v>
      </c>
      <c r="G88" s="1711" t="s">
        <v>1009</v>
      </c>
      <c r="H88" s="1711" t="s">
        <v>1010</v>
      </c>
      <c r="I88" s="1897" t="s">
        <v>1011</v>
      </c>
      <c r="J88" s="584" t="s">
        <v>1012</v>
      </c>
      <c r="K88" s="1711" t="s">
        <v>1008</v>
      </c>
      <c r="L88" s="1711" t="s">
        <v>1009</v>
      </c>
      <c r="M88" s="1711" t="s">
        <v>1010</v>
      </c>
      <c r="N88" s="1897" t="s">
        <v>1011</v>
      </c>
      <c r="O88" s="1715" t="s">
        <v>1012</v>
      </c>
      <c r="P88" s="1711" t="s">
        <v>1008</v>
      </c>
      <c r="Q88" s="1711" t="s">
        <v>1009</v>
      </c>
      <c r="R88" s="1711" t="s">
        <v>1010</v>
      </c>
      <c r="S88" s="1897" t="s">
        <v>1011</v>
      </c>
      <c r="T88" s="1151" t="s">
        <v>1012</v>
      </c>
      <c r="U88" s="1711" t="s">
        <v>1008</v>
      </c>
      <c r="V88" s="1711" t="s">
        <v>1009</v>
      </c>
      <c r="W88" s="1711" t="s">
        <v>1010</v>
      </c>
      <c r="X88" s="1897" t="s">
        <v>1011</v>
      </c>
      <c r="Y88" s="584" t="s">
        <v>1012</v>
      </c>
      <c r="Z88" s="1711" t="s">
        <v>1008</v>
      </c>
      <c r="AA88" s="1711" t="s">
        <v>1009</v>
      </c>
      <c r="AB88" s="1711" t="s">
        <v>1010</v>
      </c>
      <c r="AC88" s="1897" t="s">
        <v>1011</v>
      </c>
      <c r="AD88" s="584" t="s">
        <v>1012</v>
      </c>
      <c r="AE88" s="1711" t="s">
        <v>1008</v>
      </c>
      <c r="AF88" s="1711" t="s">
        <v>1009</v>
      </c>
      <c r="AG88" s="1711" t="s">
        <v>1010</v>
      </c>
      <c r="AH88" s="1897" t="s">
        <v>1011</v>
      </c>
      <c r="AI88" s="584" t="s">
        <v>1012</v>
      </c>
      <c r="AJ88" s="1711" t="s">
        <v>1008</v>
      </c>
      <c r="AK88" s="1711" t="s">
        <v>1009</v>
      </c>
      <c r="AL88" s="1711" t="s">
        <v>1010</v>
      </c>
      <c r="AM88" s="1897" t="s">
        <v>1011</v>
      </c>
      <c r="AN88" s="1715" t="s">
        <v>1012</v>
      </c>
      <c r="AO88" s="1711" t="s">
        <v>1008</v>
      </c>
      <c r="AP88" s="1711" t="s">
        <v>1009</v>
      </c>
      <c r="AQ88" s="1711" t="s">
        <v>1010</v>
      </c>
      <c r="AR88" s="1897" t="s">
        <v>1011</v>
      </c>
      <c r="AS88" s="1715" t="s">
        <v>1012</v>
      </c>
    </row>
    <row r="89" spans="1:45" x14ac:dyDescent="0.25">
      <c r="A89" s="2143"/>
      <c r="B89" s="1257" t="s">
        <v>1500</v>
      </c>
      <c r="C89" s="1711"/>
      <c r="D89" s="1711"/>
      <c r="E89" s="584"/>
      <c r="F89" s="1257" t="s">
        <v>1499</v>
      </c>
      <c r="G89" s="1711"/>
      <c r="H89" s="1711"/>
      <c r="I89" s="1711"/>
      <c r="J89" s="679"/>
      <c r="K89" s="2138" t="s">
        <v>1448</v>
      </c>
      <c r="L89" s="2139"/>
      <c r="M89" s="2139"/>
      <c r="N89" s="2139"/>
      <c r="O89" s="2140"/>
      <c r="P89" s="1868" t="s">
        <v>1449</v>
      </c>
      <c r="Q89" s="1711"/>
      <c r="R89" s="1711"/>
      <c r="S89" s="1711"/>
      <c r="T89" s="679"/>
      <c r="U89" s="1868" t="s">
        <v>1450</v>
      </c>
      <c r="V89" s="1711"/>
      <c r="W89" s="1711"/>
      <c r="X89" s="1711"/>
      <c r="Y89" s="679"/>
      <c r="Z89" s="1868" t="s">
        <v>1551</v>
      </c>
      <c r="AA89" s="1711"/>
      <c r="AB89" s="1711"/>
      <c r="AC89" s="1711"/>
      <c r="AD89" s="679"/>
      <c r="AE89" s="1868" t="str">
        <f>+AE49</f>
        <v>Fall 2013</v>
      </c>
      <c r="AF89" s="1711"/>
      <c r="AG89" s="1711"/>
      <c r="AH89" s="1711"/>
      <c r="AI89" s="679"/>
      <c r="AJ89" s="1868" t="str">
        <f>+AJ49</f>
        <v>Fall 2014</v>
      </c>
      <c r="AK89" s="1711"/>
      <c r="AL89" s="1711"/>
      <c r="AM89" s="1711"/>
      <c r="AN89" s="679"/>
      <c r="AO89" s="1868" t="str">
        <f>+AO49</f>
        <v>Fall 2015</v>
      </c>
      <c r="AP89" s="1711"/>
      <c r="AQ89" s="1711"/>
      <c r="AR89" s="1711"/>
      <c r="AS89" s="679"/>
    </row>
    <row r="90" spans="1:45" x14ac:dyDescent="0.25">
      <c r="A90" s="1318" t="s">
        <v>411</v>
      </c>
      <c r="B90" s="1873"/>
      <c r="C90" s="1874"/>
      <c r="D90" s="1874"/>
      <c r="E90" s="281"/>
      <c r="F90" s="1873"/>
      <c r="G90" s="1874"/>
      <c r="H90" s="1874"/>
      <c r="I90" s="1874"/>
      <c r="J90" s="281"/>
      <c r="K90" s="1873"/>
      <c r="L90" s="1874"/>
      <c r="M90" s="1874"/>
      <c r="N90" s="1874"/>
      <c r="O90" s="1875"/>
      <c r="P90" s="1873"/>
      <c r="Q90" s="1874"/>
      <c r="R90" s="1874"/>
      <c r="S90" s="1874"/>
      <c r="T90" s="281"/>
      <c r="U90" s="1873"/>
      <c r="V90" s="1874"/>
      <c r="W90" s="1874"/>
      <c r="X90" s="1874"/>
      <c r="Y90" s="281"/>
      <c r="Z90" s="1873"/>
      <c r="AA90" s="1874"/>
      <c r="AB90" s="1874"/>
      <c r="AC90" s="1874"/>
      <c r="AD90" s="281"/>
      <c r="AE90" s="1873"/>
      <c r="AF90" s="1874"/>
      <c r="AG90" s="1874"/>
      <c r="AH90" s="1874"/>
      <c r="AI90" s="281"/>
      <c r="AJ90" s="1873"/>
      <c r="AK90" s="1874"/>
      <c r="AL90" s="1874"/>
      <c r="AM90" s="1874"/>
      <c r="AN90" s="1875"/>
      <c r="AO90" s="1873"/>
      <c r="AP90" s="1874"/>
      <c r="AQ90" s="1874"/>
      <c r="AR90" s="1874"/>
      <c r="AS90" s="1875"/>
    </row>
    <row r="91" spans="1:45" x14ac:dyDescent="0.25">
      <c r="A91" s="1319" t="s">
        <v>1060</v>
      </c>
      <c r="B91" s="1677">
        <v>1696</v>
      </c>
      <c r="C91" s="1677">
        <v>532</v>
      </c>
      <c r="D91" s="1896">
        <v>0</v>
      </c>
      <c r="E91" s="282">
        <f>SUM(B91:D91)</f>
        <v>2228</v>
      </c>
      <c r="F91" s="1677">
        <v>1540</v>
      </c>
      <c r="G91" s="1677">
        <v>621</v>
      </c>
      <c r="H91" s="1896">
        <v>0</v>
      </c>
      <c r="I91" s="1680">
        <f>SUM(F91:H91)</f>
        <v>2161</v>
      </c>
      <c r="J91" s="505">
        <f>IF(E91&gt;0,(I91-E91)/E91,(IF(I91=0,"N/A",100%)))</f>
        <v>-3.0071813285457809E-2</v>
      </c>
      <c r="K91" s="1680">
        <v>1905</v>
      </c>
      <c r="L91" s="1680">
        <v>532</v>
      </c>
      <c r="M91" s="1681">
        <v>0</v>
      </c>
      <c r="N91" s="1680">
        <f>SUM(K91:M91)</f>
        <v>2437</v>
      </c>
      <c r="O91" s="1679">
        <f>IF(I91&gt;0,(N91-I91)/I91,(IF(N91=0,"N/A",100%)))</f>
        <v>0.12771864877371586</v>
      </c>
      <c r="P91" s="1680">
        <v>2248</v>
      </c>
      <c r="Q91" s="1680">
        <v>563</v>
      </c>
      <c r="R91" s="1681">
        <v>0</v>
      </c>
      <c r="S91" s="1680">
        <f>SUM(P91:R91)</f>
        <v>2811</v>
      </c>
      <c r="T91" s="505">
        <f>IF(N91&gt;0,(S91-N91)/N91,(IF(S91=0,"N/A",100%)))</f>
        <v>0.15346737792367665</v>
      </c>
      <c r="U91" s="1680">
        <v>2113</v>
      </c>
      <c r="V91" s="1680">
        <v>288</v>
      </c>
      <c r="W91" s="1681">
        <v>0</v>
      </c>
      <c r="X91" s="1680">
        <f>SUM(U91:W91)</f>
        <v>2401</v>
      </c>
      <c r="Y91" s="505">
        <f>IF(S91&gt;0,(X91-S91)/S91,(IF(X91=0,"N/A",100%)))</f>
        <v>-0.14585556741373176</v>
      </c>
      <c r="Z91" s="1680">
        <v>2072</v>
      </c>
      <c r="AA91" s="1680">
        <v>311</v>
      </c>
      <c r="AB91" s="1681">
        <v>0</v>
      </c>
      <c r="AC91" s="1680">
        <f>SUM(Z91:AB91)</f>
        <v>2383</v>
      </c>
      <c r="AD91" s="505">
        <f>IF(X91&gt;0,(AC91-X91)/X91,(IF(AC91=0,"N/A",100%)))</f>
        <v>-7.4968763015410243E-3</v>
      </c>
      <c r="AE91" s="1680">
        <v>1856</v>
      </c>
      <c r="AF91" s="1680">
        <v>286</v>
      </c>
      <c r="AG91" s="1681">
        <v>0</v>
      </c>
      <c r="AH91" s="1680">
        <f>SUM(AE91:AG91)</f>
        <v>2142</v>
      </c>
      <c r="AI91" s="505">
        <f>IF(AC91&gt;0,(AH91-AC91)/AC91,(IF(AH91=0,"N/A",100%)))</f>
        <v>-0.10113302559798573</v>
      </c>
      <c r="AJ91" s="1680">
        <v>2080</v>
      </c>
      <c r="AK91" s="1680">
        <v>308</v>
      </c>
      <c r="AL91" s="1681">
        <v>0</v>
      </c>
      <c r="AM91" s="1680">
        <f>SUM(AJ91:AL91)</f>
        <v>2388</v>
      </c>
      <c r="AN91" s="1679">
        <f>IF(AH91&gt;0,(AM91-AH91)/AH91,(IF(AM91=0,"N/A",100%)))</f>
        <v>0.11484593837535013</v>
      </c>
      <c r="AO91" s="1680">
        <v>2212</v>
      </c>
      <c r="AP91" s="1680">
        <v>324</v>
      </c>
      <c r="AQ91" s="1681">
        <v>0</v>
      </c>
      <c r="AR91" s="1680">
        <f>SUM(AO91:AQ91)</f>
        <v>2536</v>
      </c>
      <c r="AS91" s="1679">
        <f>IF(AM91&gt;0,(AR91-AM91)/AM91,(IF(AR91=0,"N/A",100%)))</f>
        <v>6.1976549413735343E-2</v>
      </c>
    </row>
    <row r="92" spans="1:45" x14ac:dyDescent="0.25">
      <c r="A92" s="1318" t="s">
        <v>412</v>
      </c>
      <c r="B92" s="1898"/>
      <c r="C92" s="1899"/>
      <c r="D92" s="1899"/>
      <c r="E92" s="281"/>
      <c r="F92" s="1898"/>
      <c r="G92" s="1899"/>
      <c r="H92" s="1899"/>
      <c r="I92" s="1874"/>
      <c r="J92" s="281"/>
      <c r="K92" s="1900"/>
      <c r="L92" s="1900"/>
      <c r="M92" s="1900"/>
      <c r="N92" s="1874"/>
      <c r="O92" s="1875"/>
      <c r="P92" s="1873"/>
      <c r="Q92" s="1874"/>
      <c r="R92" s="1874"/>
      <c r="S92" s="1874"/>
      <c r="T92" s="281"/>
      <c r="U92" s="1873"/>
      <c r="V92" s="1874"/>
      <c r="W92" s="1874"/>
      <c r="X92" s="1874"/>
      <c r="Y92" s="281"/>
      <c r="Z92" s="1873"/>
      <c r="AA92" s="1874"/>
      <c r="AB92" s="1874"/>
      <c r="AC92" s="1874"/>
      <c r="AD92" s="281"/>
      <c r="AE92" s="1873"/>
      <c r="AF92" s="1874"/>
      <c r="AG92" s="1874"/>
      <c r="AH92" s="1874"/>
      <c r="AI92" s="281"/>
      <c r="AJ92" s="1873"/>
      <c r="AK92" s="1874"/>
      <c r="AL92" s="1874"/>
      <c r="AM92" s="1874"/>
      <c r="AN92" s="1875"/>
      <c r="AO92" s="1873"/>
      <c r="AP92" s="1874"/>
      <c r="AQ92" s="1874"/>
      <c r="AR92" s="1874"/>
      <c r="AS92" s="1875"/>
    </row>
    <row r="93" spans="1:45" x14ac:dyDescent="0.25">
      <c r="A93" s="1319" t="s">
        <v>1355</v>
      </c>
      <c r="B93" s="1677">
        <v>399</v>
      </c>
      <c r="C93" s="1677">
        <v>66</v>
      </c>
      <c r="D93" s="1896">
        <v>0</v>
      </c>
      <c r="E93" s="282">
        <f>SUM(B93:D93)</f>
        <v>465</v>
      </c>
      <c r="F93" s="1677">
        <v>578</v>
      </c>
      <c r="G93" s="1677">
        <v>72</v>
      </c>
      <c r="H93" s="1896">
        <v>0</v>
      </c>
      <c r="I93" s="1680">
        <f>SUM(F93:H93)</f>
        <v>650</v>
      </c>
      <c r="J93" s="505">
        <f>IF(E93&gt;0,(I93-E93)/E93,(IF(I93=0,"N/A",100%)))</f>
        <v>0.39784946236559138</v>
      </c>
      <c r="K93" s="1680">
        <v>544</v>
      </c>
      <c r="L93" s="1680">
        <v>75</v>
      </c>
      <c r="M93" s="1681">
        <v>0</v>
      </c>
      <c r="N93" s="1680">
        <f>SUM(K93:M93)</f>
        <v>619</v>
      </c>
      <c r="O93" s="1679">
        <f>IF(I93&gt;0,(N93-I93)/I93,(IF(N93=0,"N/A",100%)))</f>
        <v>-4.7692307692307694E-2</v>
      </c>
      <c r="P93" s="1680">
        <v>628</v>
      </c>
      <c r="Q93" s="1680">
        <v>72</v>
      </c>
      <c r="R93" s="1681">
        <v>0</v>
      </c>
      <c r="S93" s="1680">
        <f>SUM(P93:R93)</f>
        <v>700</v>
      </c>
      <c r="T93" s="505">
        <f>IF(N93&gt;0,(S93-N93)/N93,(IF(S93=0,"N/A",100%)))</f>
        <v>0.13085621970920841</v>
      </c>
      <c r="U93" s="1680">
        <v>552</v>
      </c>
      <c r="V93" s="1680">
        <v>120</v>
      </c>
      <c r="W93" s="1681">
        <v>0</v>
      </c>
      <c r="X93" s="1680">
        <f>SUM(U93:W93)</f>
        <v>672</v>
      </c>
      <c r="Y93" s="505">
        <f>IF(S93&gt;0,(X93-S93)/S93,(IF(X93=0,"N/A",100%)))</f>
        <v>-0.04</v>
      </c>
      <c r="Z93" s="1680">
        <v>588</v>
      </c>
      <c r="AA93" s="1680">
        <v>75</v>
      </c>
      <c r="AB93" s="1681">
        <v>0</v>
      </c>
      <c r="AC93" s="1680">
        <f>SUM(Z93:AB93)</f>
        <v>663</v>
      </c>
      <c r="AD93" s="505">
        <f>IF(X93&gt;0,(AC93-X93)/X93,(IF(AC93=0,"N/A",100%)))</f>
        <v>-1.3392857142857142E-2</v>
      </c>
      <c r="AE93" s="1680">
        <v>624</v>
      </c>
      <c r="AF93" s="1680">
        <v>99</v>
      </c>
      <c r="AG93" s="1681">
        <v>0</v>
      </c>
      <c r="AH93" s="1680">
        <f>SUM(AE93:AG93)</f>
        <v>723</v>
      </c>
      <c r="AI93" s="505">
        <f>IF(AC93&gt;0,(AH93-AC93)/AC93,(IF(AH93=0,"N/A",100%)))</f>
        <v>9.0497737556561084E-2</v>
      </c>
      <c r="AJ93" s="1680">
        <v>639</v>
      </c>
      <c r="AK93" s="1680">
        <v>120</v>
      </c>
      <c r="AL93" s="1681">
        <v>0</v>
      </c>
      <c r="AM93" s="1680">
        <f>SUM(AJ93:AL93)</f>
        <v>759</v>
      </c>
      <c r="AN93" s="1679">
        <f>IF(AH93&gt;0,(AM93-AH93)/AH93,(IF(AM93=0,"N/A",100%)))</f>
        <v>4.9792531120331947E-2</v>
      </c>
      <c r="AO93" s="1680">
        <v>472</v>
      </c>
      <c r="AP93" s="1680">
        <v>184</v>
      </c>
      <c r="AQ93" s="1681">
        <v>0</v>
      </c>
      <c r="AR93" s="1680">
        <f>SUM(AO93:AQ93)</f>
        <v>656</v>
      </c>
      <c r="AS93" s="1679">
        <f>IF(AM93&gt;0,(AR93-AM93)/AM93,(IF(AR93=0,"N/A",100%)))</f>
        <v>-0.13570487483530963</v>
      </c>
    </row>
    <row r="94" spans="1:45" x14ac:dyDescent="0.25">
      <c r="A94" s="1319" t="s">
        <v>854</v>
      </c>
      <c r="B94" s="1677">
        <v>2574</v>
      </c>
      <c r="C94" s="1677">
        <v>108</v>
      </c>
      <c r="D94" s="1896">
        <v>0</v>
      </c>
      <c r="E94" s="282">
        <f>SUM(B94:D94)</f>
        <v>2682</v>
      </c>
      <c r="F94" s="1677">
        <v>2589</v>
      </c>
      <c r="G94" s="1677">
        <v>141</v>
      </c>
      <c r="H94" s="1896">
        <v>0</v>
      </c>
      <c r="I94" s="1680">
        <f>SUM(F94:H94)</f>
        <v>2730</v>
      </c>
      <c r="J94" s="505">
        <f>IF(E94&gt;0,(I94-E94)/E94,(IF(I94=0,"N/A",100%)))</f>
        <v>1.7897091722595078E-2</v>
      </c>
      <c r="K94" s="1680">
        <v>2721</v>
      </c>
      <c r="L94" s="1680">
        <v>111</v>
      </c>
      <c r="M94" s="1681">
        <v>0</v>
      </c>
      <c r="N94" s="1680">
        <f>SUM(K94:M94)</f>
        <v>2832</v>
      </c>
      <c r="O94" s="1679">
        <f>IF(I94&gt;0,(N94-I94)/I94,(IF(N94=0,"N/A",100%)))</f>
        <v>3.7362637362637362E-2</v>
      </c>
      <c r="P94" s="1680">
        <v>3182</v>
      </c>
      <c r="Q94" s="1680">
        <v>108</v>
      </c>
      <c r="R94" s="1681">
        <v>0</v>
      </c>
      <c r="S94" s="1680">
        <f>SUM(P94:R94)</f>
        <v>3290</v>
      </c>
      <c r="T94" s="505">
        <f>IF(N94&gt;0,(S94-N94)/N94,(IF(S94=0,"N/A",100%)))</f>
        <v>0.1617231638418079</v>
      </c>
      <c r="U94" s="1680">
        <v>2905</v>
      </c>
      <c r="V94" s="1680">
        <v>132</v>
      </c>
      <c r="W94" s="1681">
        <v>0</v>
      </c>
      <c r="X94" s="1680">
        <f>SUM(U94:W94)</f>
        <v>3037</v>
      </c>
      <c r="Y94" s="505">
        <f>IF(S94&gt;0,(X94-S94)/S94,(IF(X94=0,"N/A",100%)))</f>
        <v>-7.6899696048632213E-2</v>
      </c>
      <c r="Z94" s="1680">
        <v>2734</v>
      </c>
      <c r="AA94" s="1680">
        <v>183</v>
      </c>
      <c r="AB94" s="1681">
        <v>0</v>
      </c>
      <c r="AC94" s="1680">
        <f>SUM(Z94:AB94)</f>
        <v>2917</v>
      </c>
      <c r="AD94" s="505">
        <f>IF(X94&gt;0,(AC94-X94)/X94,(IF(AC94=0,"N/A",100%)))</f>
        <v>-3.9512676983865659E-2</v>
      </c>
      <c r="AE94" s="1680">
        <v>2649</v>
      </c>
      <c r="AF94" s="1680">
        <v>153</v>
      </c>
      <c r="AG94" s="1681">
        <v>0</v>
      </c>
      <c r="AH94" s="1680">
        <f>SUM(AE94:AG94)</f>
        <v>2802</v>
      </c>
      <c r="AI94" s="505">
        <f>IF(AC94&gt;0,(AH94-AC94)/AC94,(IF(AH94=0,"N/A",100%)))</f>
        <v>-3.9424065821049022E-2</v>
      </c>
      <c r="AJ94" s="1680">
        <v>2412</v>
      </c>
      <c r="AK94" s="1680">
        <v>225</v>
      </c>
      <c r="AL94" s="1681">
        <v>0</v>
      </c>
      <c r="AM94" s="1680">
        <f>SUM(AJ94:AL94)</f>
        <v>2637</v>
      </c>
      <c r="AN94" s="1679">
        <f>IF(AH94&gt;0,(AM94-AH94)/AH94,(IF(AM94=0,"N/A",100%)))</f>
        <v>-5.8886509635974305E-2</v>
      </c>
      <c r="AO94" s="1680">
        <v>2491</v>
      </c>
      <c r="AP94" s="1680">
        <v>162</v>
      </c>
      <c r="AQ94" s="1681">
        <v>0</v>
      </c>
      <c r="AR94" s="1680">
        <f>SUM(AO94:AQ94)</f>
        <v>2653</v>
      </c>
      <c r="AS94" s="1679">
        <f>IF(AM94&gt;0,(AR94-AM94)/AM94,(IF(AR94=0,"N/A",100%)))</f>
        <v>6.0675009480470228E-3</v>
      </c>
    </row>
    <row r="95" spans="1:45" s="484" customFormat="1" ht="13.8" x14ac:dyDescent="0.25">
      <c r="A95" s="1345" t="s">
        <v>1015</v>
      </c>
      <c r="B95" s="1776">
        <f t="shared" ref="B95:I95" si="94">SUM(B93:B94)</f>
        <v>2973</v>
      </c>
      <c r="C95" s="1776">
        <f t="shared" si="94"/>
        <v>174</v>
      </c>
      <c r="D95" s="1776">
        <f t="shared" si="94"/>
        <v>0</v>
      </c>
      <c r="E95" s="512">
        <f t="shared" si="94"/>
        <v>3147</v>
      </c>
      <c r="F95" s="1776">
        <f t="shared" si="94"/>
        <v>3167</v>
      </c>
      <c r="G95" s="1776">
        <f t="shared" si="94"/>
        <v>213</v>
      </c>
      <c r="H95" s="1776">
        <f t="shared" si="94"/>
        <v>0</v>
      </c>
      <c r="I95" s="1776">
        <f t="shared" si="94"/>
        <v>3380</v>
      </c>
      <c r="J95" s="586">
        <f>IF(E95&gt;0,(I95-E95)/E95,(IF(I95=0,"N/A",100%)))</f>
        <v>7.4038767079758497E-2</v>
      </c>
      <c r="K95" s="1776">
        <f>SUM(K93:K94)</f>
        <v>3265</v>
      </c>
      <c r="L95" s="1776">
        <f>SUM(L93:L94)</f>
        <v>186</v>
      </c>
      <c r="M95" s="1776">
        <f>SUM(M93:M94)</f>
        <v>0</v>
      </c>
      <c r="N95" s="1776">
        <f>SUM(N93:N94)</f>
        <v>3451</v>
      </c>
      <c r="O95" s="1772">
        <f>IF(I95&gt;0,(N95-I95)/I95,(IF(N95=0,"N/A",100%)))</f>
        <v>2.1005917159763313E-2</v>
      </c>
      <c r="P95" s="1776">
        <f>SUM(P93:P94)</f>
        <v>3810</v>
      </c>
      <c r="Q95" s="1776">
        <f>SUM(Q93:Q94)</f>
        <v>180</v>
      </c>
      <c r="R95" s="1776">
        <f>SUM(R93:R94)</f>
        <v>0</v>
      </c>
      <c r="S95" s="1776">
        <f>SUM(S93:S94)</f>
        <v>3990</v>
      </c>
      <c r="T95" s="586">
        <f>IF(N95&gt;0,(S95-N95)/N95,(IF(S95=0,"N/A",100%)))</f>
        <v>0.15618661257606492</v>
      </c>
      <c r="U95" s="1776">
        <f>SUM(U93:U94)</f>
        <v>3457</v>
      </c>
      <c r="V95" s="1776">
        <f>SUM(V93:V94)</f>
        <v>252</v>
      </c>
      <c r="W95" s="1776">
        <f>SUM(W93:W94)</f>
        <v>0</v>
      </c>
      <c r="X95" s="1776">
        <f>SUM(X93:X94)</f>
        <v>3709</v>
      </c>
      <c r="Y95" s="586">
        <f>IF(S95&gt;0,(X95-S95)/S95,(IF(X95=0,"N/A",100%)))</f>
        <v>-7.0426065162907267E-2</v>
      </c>
      <c r="Z95" s="1776">
        <f>SUM(Z93:Z94)</f>
        <v>3322</v>
      </c>
      <c r="AA95" s="1776">
        <f>SUM(AA93:AA94)</f>
        <v>258</v>
      </c>
      <c r="AB95" s="1776">
        <f>SUM(AB93:AB94)</f>
        <v>0</v>
      </c>
      <c r="AC95" s="1776">
        <f>SUM(AC93:AC94)</f>
        <v>3580</v>
      </c>
      <c r="AD95" s="586">
        <f>IF(X95&gt;0,(AC95-X95)/X95,(IF(AC95=0,"N/A",100%)))</f>
        <v>-3.4780264222162308E-2</v>
      </c>
      <c r="AE95" s="1776">
        <f>SUM(AE93:AE94)</f>
        <v>3273</v>
      </c>
      <c r="AF95" s="1776">
        <f>SUM(AF93:AF94)</f>
        <v>252</v>
      </c>
      <c r="AG95" s="1776">
        <f>SUM(AG93:AG94)</f>
        <v>0</v>
      </c>
      <c r="AH95" s="1776">
        <f>SUM(AH93:AH94)</f>
        <v>3525</v>
      </c>
      <c r="AI95" s="586">
        <f>IF(AC95&gt;0,(AH95-AC95)/AC95,(IF(AH95=0,"N/A",100%)))</f>
        <v>-1.5363128491620111E-2</v>
      </c>
      <c r="AJ95" s="1776">
        <f>SUM(AJ93:AJ94)</f>
        <v>3051</v>
      </c>
      <c r="AK95" s="1776">
        <f>SUM(AK93:AK94)</f>
        <v>345</v>
      </c>
      <c r="AL95" s="1776">
        <f>SUM(AL93:AL94)</f>
        <v>0</v>
      </c>
      <c r="AM95" s="1776">
        <f>SUM(AM93:AM94)</f>
        <v>3396</v>
      </c>
      <c r="AN95" s="1772">
        <f>IF(AH95&gt;0,(AM95-AH95)/AH95,(IF(AM95=0,"N/A",100%)))</f>
        <v>-3.6595744680851063E-2</v>
      </c>
      <c r="AO95" s="1776">
        <f>SUM(AO93:AO94)</f>
        <v>2963</v>
      </c>
      <c r="AP95" s="1776">
        <f>SUM(AP93:AP94)</f>
        <v>346</v>
      </c>
      <c r="AQ95" s="1776">
        <f>SUM(AQ93:AQ94)</f>
        <v>0</v>
      </c>
      <c r="AR95" s="1776">
        <f>SUM(AR93:AR94)</f>
        <v>3309</v>
      </c>
      <c r="AS95" s="1772">
        <f>IF(AM95&gt;0,(AR95-AM95)/AM95,(IF(AR95=0,"N/A",100%)))</f>
        <v>-2.5618374558303889E-2</v>
      </c>
    </row>
    <row r="96" spans="1:45" customFormat="1" x14ac:dyDescent="0.25">
      <c r="A96" s="423" t="s">
        <v>414</v>
      </c>
      <c r="B96" s="1900"/>
      <c r="C96" s="1900"/>
      <c r="D96" s="1900"/>
      <c r="E96" s="516"/>
      <c r="F96" s="1878"/>
      <c r="G96" s="1258"/>
      <c r="H96" s="1258"/>
      <c r="I96" s="1258"/>
      <c r="J96" s="516"/>
      <c r="K96" s="1878"/>
      <c r="L96" s="1258"/>
      <c r="M96" s="1258"/>
      <c r="N96" s="1258"/>
      <c r="O96" s="516"/>
      <c r="P96" s="1878"/>
      <c r="Q96" s="1258"/>
      <c r="R96" s="1258"/>
      <c r="S96" s="1258"/>
      <c r="T96" s="516"/>
      <c r="U96" s="1878"/>
      <c r="V96" s="1258"/>
      <c r="W96" s="1258"/>
      <c r="X96" s="1258"/>
      <c r="Y96" s="516"/>
      <c r="Z96" s="1878"/>
      <c r="AA96" s="1258"/>
      <c r="AB96" s="1258"/>
      <c r="AC96" s="1258"/>
      <c r="AD96" s="516"/>
      <c r="AE96" s="1878"/>
      <c r="AF96" s="1258"/>
      <c r="AG96" s="1258"/>
      <c r="AH96" s="1258"/>
      <c r="AI96" s="516"/>
      <c r="AJ96" s="1878"/>
      <c r="AK96" s="1258"/>
      <c r="AL96" s="1258"/>
      <c r="AM96" s="1258"/>
      <c r="AN96" s="516"/>
      <c r="AO96" s="1878"/>
      <c r="AP96" s="1258"/>
      <c r="AQ96" s="1258"/>
      <c r="AR96" s="1258"/>
      <c r="AS96" s="516"/>
    </row>
    <row r="97" spans="1:45" x14ac:dyDescent="0.25">
      <c r="A97" s="1326" t="s">
        <v>1061</v>
      </c>
      <c r="B97" s="1616">
        <v>1492</v>
      </c>
      <c r="C97" s="1617">
        <v>164</v>
      </c>
      <c r="D97" s="1896">
        <v>0</v>
      </c>
      <c r="E97" s="326">
        <f>SUM(B97:D97)</f>
        <v>1656</v>
      </c>
      <c r="F97" s="1616">
        <v>1540</v>
      </c>
      <c r="G97" s="1617">
        <v>212</v>
      </c>
      <c r="H97" s="1896">
        <v>0</v>
      </c>
      <c r="I97" s="1246">
        <f>SUM(F97:H97)</f>
        <v>1752</v>
      </c>
      <c r="J97" s="491">
        <f>IF(E97&gt;0,(I97-E97)/E97,(IF(I97=0,"N/A",100%)))</f>
        <v>5.7971014492753624E-2</v>
      </c>
      <c r="K97" s="1683">
        <v>1816</v>
      </c>
      <c r="L97" s="1246">
        <v>171</v>
      </c>
      <c r="M97" s="1681">
        <v>0</v>
      </c>
      <c r="N97" s="1246">
        <f>SUM(K97:M97)</f>
        <v>1987</v>
      </c>
      <c r="O97" s="491">
        <f>IF(I97&gt;0,(N97-I97)/I97,(IF(N97=0,"N/A",100%)))</f>
        <v>0.1341324200913242</v>
      </c>
      <c r="P97" s="1683">
        <v>2016</v>
      </c>
      <c r="Q97" s="1246">
        <v>167</v>
      </c>
      <c r="R97" s="1681">
        <v>0</v>
      </c>
      <c r="S97" s="1246">
        <f>SUM(P97:R97)</f>
        <v>2183</v>
      </c>
      <c r="T97" s="491">
        <f>IF(N97&gt;0,(S97-N97)/N97,(IF(S97=0,"N/A",100%)))</f>
        <v>9.8641167589330656E-2</v>
      </c>
      <c r="U97" s="1683">
        <v>1964</v>
      </c>
      <c r="V97" s="1246">
        <v>156</v>
      </c>
      <c r="W97" s="1681">
        <v>0</v>
      </c>
      <c r="X97" s="1246">
        <f>SUM(U97:W97)</f>
        <v>2120</v>
      </c>
      <c r="Y97" s="491">
        <f>IF(S97&gt;0,(X97-S97)/S97,(IF(X97=0,"N/A",100%)))</f>
        <v>-2.8859367842418691E-2</v>
      </c>
      <c r="Z97" s="1683">
        <v>2096</v>
      </c>
      <c r="AA97" s="1246">
        <v>170</v>
      </c>
      <c r="AB97" s="1681">
        <v>0</v>
      </c>
      <c r="AC97" s="1246">
        <f>SUM(Z97:AB97)</f>
        <v>2266</v>
      </c>
      <c r="AD97" s="491">
        <f>IF(X97&gt;0,(AC97-X97)/X97,(IF(AC97=0,"N/A",100%)))</f>
        <v>6.8867924528301885E-2</v>
      </c>
      <c r="AE97" s="1683">
        <v>1720</v>
      </c>
      <c r="AF97" s="1246">
        <v>197</v>
      </c>
      <c r="AG97" s="1681">
        <v>0</v>
      </c>
      <c r="AH97" s="1246">
        <f>SUM(AE97:AG97)</f>
        <v>1917</v>
      </c>
      <c r="AI97" s="491">
        <f>IF(AC97&gt;0,(AH97-AC97)/AC97,(IF(AH97=0,"N/A",100%)))</f>
        <v>-0.15401588702559577</v>
      </c>
      <c r="AJ97" s="1683">
        <v>1936</v>
      </c>
      <c r="AK97" s="1246">
        <v>141</v>
      </c>
      <c r="AL97" s="1681">
        <v>0</v>
      </c>
      <c r="AM97" s="1246">
        <f>SUM(AJ97:AL97)</f>
        <v>2077</v>
      </c>
      <c r="AN97" s="491">
        <f>IF(AH97&gt;0,(AM97-AH97)/AH97,(IF(AM97=0,"N/A",100%)))</f>
        <v>8.3463745435576428E-2</v>
      </c>
      <c r="AO97" s="1683">
        <v>1928</v>
      </c>
      <c r="AP97" s="1246">
        <v>135</v>
      </c>
      <c r="AQ97" s="1681">
        <v>0</v>
      </c>
      <c r="AR97" s="1246">
        <f>SUM(AO97:AQ97)</f>
        <v>2063</v>
      </c>
      <c r="AS97" s="491">
        <f>IF(AM97&gt;0,(AR97-AM97)/AM97,(IF(AR97=0,"N/A",100%)))</f>
        <v>-6.7404910929224843E-3</v>
      </c>
    </row>
    <row r="98" spans="1:45" x14ac:dyDescent="0.25">
      <c r="A98" s="1319" t="s">
        <v>1062</v>
      </c>
      <c r="B98" s="1616">
        <v>0</v>
      </c>
      <c r="C98" s="1617">
        <v>12</v>
      </c>
      <c r="D98" s="1896">
        <v>0</v>
      </c>
      <c r="E98" s="326">
        <f>SUM(B98:D98)</f>
        <v>12</v>
      </c>
      <c r="F98" s="1616">
        <v>0</v>
      </c>
      <c r="G98" s="1617">
        <v>54</v>
      </c>
      <c r="H98" s="1896">
        <v>0</v>
      </c>
      <c r="I98" s="1246">
        <f>SUM(F98:H98)</f>
        <v>54</v>
      </c>
      <c r="J98" s="491">
        <f>IF(E98&gt;0,(I98-E98)/E98,(IF(I98=0,"N/A",100%)))</f>
        <v>3.5</v>
      </c>
      <c r="K98" s="1683">
        <v>0</v>
      </c>
      <c r="L98" s="1246">
        <v>53</v>
      </c>
      <c r="M98" s="1681">
        <v>0</v>
      </c>
      <c r="N98" s="1246">
        <f>SUM(K98:M98)</f>
        <v>53</v>
      </c>
      <c r="O98" s="491">
        <f>IF(I98&gt;0,(N98-I98)/I98,(IF(N98=0,"N/A",100%)))</f>
        <v>-1.8518518518518517E-2</v>
      </c>
      <c r="P98" s="1683">
        <v>0</v>
      </c>
      <c r="Q98" s="1246">
        <v>78</v>
      </c>
      <c r="R98" s="1681">
        <v>0</v>
      </c>
      <c r="S98" s="1246">
        <f>SUM(P98:R98)</f>
        <v>78</v>
      </c>
      <c r="T98" s="491">
        <f>IF(N98&gt;0,(S98-N98)/N98,(IF(S98=0,"N/A",100%)))</f>
        <v>0.47169811320754718</v>
      </c>
      <c r="U98" s="1683">
        <v>0</v>
      </c>
      <c r="V98" s="1246">
        <v>75</v>
      </c>
      <c r="W98" s="1681">
        <v>0</v>
      </c>
      <c r="X98" s="1246">
        <f>SUM(U98:W98)</f>
        <v>75</v>
      </c>
      <c r="Y98" s="491">
        <f>IF(S98&gt;0,(X98-S98)/S98,(IF(X98=0,"N/A",100%)))</f>
        <v>-3.8461538461538464E-2</v>
      </c>
      <c r="Z98" s="1683">
        <v>0</v>
      </c>
      <c r="AA98" s="1246">
        <v>87</v>
      </c>
      <c r="AB98" s="1681">
        <v>0</v>
      </c>
      <c r="AC98" s="1246">
        <f>SUM(Z98:AB98)</f>
        <v>87</v>
      </c>
      <c r="AD98" s="491">
        <f>IF(X98&gt;0,(AC98-X98)/X98,(IF(AC98=0,"N/A",100%)))</f>
        <v>0.16</v>
      </c>
      <c r="AE98" s="1683">
        <v>0</v>
      </c>
      <c r="AF98" s="1246">
        <v>78</v>
      </c>
      <c r="AG98" s="1681">
        <v>0</v>
      </c>
      <c r="AH98" s="1246">
        <f>SUM(AE98:AG98)</f>
        <v>78</v>
      </c>
      <c r="AI98" s="491">
        <f>IF(AC98&gt;0,(AH98-AC98)/AC98,(IF(AH98=0,"N/A",100%)))</f>
        <v>-0.10344827586206896</v>
      </c>
      <c r="AJ98" s="1683">
        <v>0</v>
      </c>
      <c r="AK98" s="1246">
        <v>95</v>
      </c>
      <c r="AL98" s="1681">
        <v>0</v>
      </c>
      <c r="AM98" s="1246">
        <f>SUM(AJ98:AL98)</f>
        <v>95</v>
      </c>
      <c r="AN98" s="491">
        <f>IF(AH98&gt;0,(AM98-AH98)/AH98,(IF(AM98=0,"N/A",100%)))</f>
        <v>0.21794871794871795</v>
      </c>
      <c r="AO98" s="1683">
        <v>0</v>
      </c>
      <c r="AP98" s="1246">
        <v>45</v>
      </c>
      <c r="AQ98" s="1681">
        <v>0</v>
      </c>
      <c r="AR98" s="1246">
        <f>SUM(AO98:AQ98)</f>
        <v>45</v>
      </c>
      <c r="AS98" s="491">
        <f>IF(AM98&gt;0,(AR98-AM98)/AM98,(IF(AR98=0,"N/A",100%)))</f>
        <v>-0.52631578947368418</v>
      </c>
    </row>
    <row r="99" spans="1:45" x14ac:dyDescent="0.25">
      <c r="A99" s="1319" t="s">
        <v>1064</v>
      </c>
      <c r="B99" s="1616">
        <v>124</v>
      </c>
      <c r="C99" s="1617">
        <v>0</v>
      </c>
      <c r="D99" s="1896">
        <v>0</v>
      </c>
      <c r="E99" s="326">
        <f>SUM(B99:D99)</f>
        <v>124</v>
      </c>
      <c r="F99" s="1616">
        <v>128</v>
      </c>
      <c r="G99" s="1617">
        <v>0</v>
      </c>
      <c r="H99" s="1896">
        <v>0</v>
      </c>
      <c r="I99" s="1246">
        <f>SUM(F99:H99)</f>
        <v>128</v>
      </c>
      <c r="J99" s="491">
        <f>IF(E99&gt;0,(I99-E99)/E99,(IF(I99=0,"N/A",100%)))</f>
        <v>3.2258064516129031E-2</v>
      </c>
      <c r="K99" s="1683">
        <v>132</v>
      </c>
      <c r="L99" s="1246">
        <v>0</v>
      </c>
      <c r="M99" s="1681">
        <v>0</v>
      </c>
      <c r="N99" s="1246">
        <f>SUM(K99:M99)</f>
        <v>132</v>
      </c>
      <c r="O99" s="491">
        <f>IF(I99&gt;0,(N99-I99)/I99,(IF(N99=0,"N/A",100%)))</f>
        <v>3.125E-2</v>
      </c>
      <c r="P99" s="1683">
        <v>160</v>
      </c>
      <c r="Q99" s="1246">
        <v>3</v>
      </c>
      <c r="R99" s="1681">
        <v>0</v>
      </c>
      <c r="S99" s="1246">
        <f>SUM(P99:R99)</f>
        <v>163</v>
      </c>
      <c r="T99" s="491">
        <f>IF(N99&gt;0,(S99-N99)/N99,(IF(S99=0,"N/A",100%)))</f>
        <v>0.23484848484848486</v>
      </c>
      <c r="U99" s="1683">
        <v>220</v>
      </c>
      <c r="V99" s="1246">
        <v>0</v>
      </c>
      <c r="W99" s="1681">
        <v>0</v>
      </c>
      <c r="X99" s="1246">
        <f>SUM(U99:W99)</f>
        <v>220</v>
      </c>
      <c r="Y99" s="491">
        <f>IF(S99&gt;0,(X99-S99)/S99,(IF(X99=0,"N/A",100%)))</f>
        <v>0.34969325153374231</v>
      </c>
      <c r="Z99" s="1683">
        <v>188</v>
      </c>
      <c r="AA99" s="1246">
        <v>0</v>
      </c>
      <c r="AB99" s="1681">
        <v>0</v>
      </c>
      <c r="AC99" s="1246">
        <f>SUM(Z99:AB99)</f>
        <v>188</v>
      </c>
      <c r="AD99" s="491">
        <f>IF(X99&gt;0,(AC99-X99)/X99,(IF(AC99=0,"N/A",100%)))</f>
        <v>-0.14545454545454545</v>
      </c>
      <c r="AE99" s="1683">
        <v>212</v>
      </c>
      <c r="AF99" s="1246">
        <v>0</v>
      </c>
      <c r="AG99" s="1681">
        <v>0</v>
      </c>
      <c r="AH99" s="1246">
        <f>SUM(AE99:AG99)</f>
        <v>212</v>
      </c>
      <c r="AI99" s="491">
        <f>IF(AC99&gt;0,(AH99-AC99)/AC99,(IF(AH99=0,"N/A",100%)))</f>
        <v>0.1276595744680851</v>
      </c>
      <c r="AJ99" s="1683">
        <v>192</v>
      </c>
      <c r="AK99" s="1246">
        <v>0</v>
      </c>
      <c r="AL99" s="1681">
        <v>0</v>
      </c>
      <c r="AM99" s="1246">
        <f>SUM(AJ99:AL99)</f>
        <v>192</v>
      </c>
      <c r="AN99" s="491">
        <f>IF(AH99&gt;0,(AM99-AH99)/AH99,(IF(AM99=0,"N/A",100%)))</f>
        <v>-9.4339622641509441E-2</v>
      </c>
      <c r="AO99" s="1683">
        <v>204</v>
      </c>
      <c r="AP99" s="1246">
        <v>0</v>
      </c>
      <c r="AQ99" s="1681">
        <v>0</v>
      </c>
      <c r="AR99" s="1246">
        <f>SUM(AO99:AQ99)</f>
        <v>204</v>
      </c>
      <c r="AS99" s="491">
        <f>IF(AM99&gt;0,(AR99-AM99)/AM99,(IF(AR99=0,"N/A",100%)))</f>
        <v>6.25E-2</v>
      </c>
    </row>
    <row r="100" spans="1:45" x14ac:dyDescent="0.25">
      <c r="A100" s="1319" t="s">
        <v>1065</v>
      </c>
      <c r="B100" s="1616">
        <v>476</v>
      </c>
      <c r="C100" s="1617">
        <v>0</v>
      </c>
      <c r="D100" s="1896">
        <v>0</v>
      </c>
      <c r="E100" s="326">
        <f>SUM(B100:D100)</f>
        <v>476</v>
      </c>
      <c r="F100" s="1616">
        <v>476</v>
      </c>
      <c r="G100" s="1617">
        <v>0</v>
      </c>
      <c r="H100" s="1896">
        <v>0</v>
      </c>
      <c r="I100" s="1246">
        <f>SUM(F100:H100)</f>
        <v>476</v>
      </c>
      <c r="J100" s="491">
        <f>IF(E100&gt;0,(I100-E100)/E100,(IF(I100=0,"N/A",100%)))</f>
        <v>0</v>
      </c>
      <c r="K100" s="1683">
        <v>492</v>
      </c>
      <c r="L100" s="1246">
        <v>0</v>
      </c>
      <c r="M100" s="1681">
        <v>0</v>
      </c>
      <c r="N100" s="1246">
        <f>SUM(K100:M100)</f>
        <v>492</v>
      </c>
      <c r="O100" s="491">
        <f>IF(I100&gt;0,(N100-I100)/I100,(IF(N100=0,"N/A",100%)))</f>
        <v>3.3613445378151259E-2</v>
      </c>
      <c r="P100" s="1683">
        <v>480</v>
      </c>
      <c r="Q100" s="1246">
        <v>0</v>
      </c>
      <c r="R100" s="1681">
        <v>0</v>
      </c>
      <c r="S100" s="1246">
        <f>SUM(P100:R100)</f>
        <v>480</v>
      </c>
      <c r="T100" s="491">
        <f>IF(N100&gt;0,(S100-N100)/N100,(IF(S100=0,"N/A",100%)))</f>
        <v>-2.4390243902439025E-2</v>
      </c>
      <c r="U100" s="1683">
        <v>388</v>
      </c>
      <c r="V100" s="1246">
        <v>0</v>
      </c>
      <c r="W100" s="1681">
        <v>0</v>
      </c>
      <c r="X100" s="1246">
        <f>SUM(U100:W100)</f>
        <v>388</v>
      </c>
      <c r="Y100" s="491">
        <f>IF(S100&gt;0,(X100-S100)/S100,(IF(X100=0,"N/A",100%)))</f>
        <v>-0.19166666666666668</v>
      </c>
      <c r="Z100" s="1683">
        <v>480</v>
      </c>
      <c r="AA100" s="1246">
        <v>0</v>
      </c>
      <c r="AB100" s="1681">
        <v>0</v>
      </c>
      <c r="AC100" s="1246">
        <f>SUM(Z100:AB100)</f>
        <v>480</v>
      </c>
      <c r="AD100" s="491">
        <f>IF(X100&gt;0,(AC100-X100)/X100,(IF(AC100=0,"N/A",100%)))</f>
        <v>0.23711340206185566</v>
      </c>
      <c r="AE100" s="1683">
        <v>400</v>
      </c>
      <c r="AF100" s="1246">
        <v>0</v>
      </c>
      <c r="AG100" s="1681">
        <v>0</v>
      </c>
      <c r="AH100" s="1246">
        <f>SUM(AE100:AG100)</f>
        <v>400</v>
      </c>
      <c r="AI100" s="491">
        <f>IF(AC100&gt;0,(AH100-AC100)/AC100,(IF(AH100=0,"N/A",100%)))</f>
        <v>-0.16666666666666666</v>
      </c>
      <c r="AJ100" s="1683">
        <v>404</v>
      </c>
      <c r="AK100" s="1246">
        <v>0</v>
      </c>
      <c r="AL100" s="1681">
        <v>0</v>
      </c>
      <c r="AM100" s="1246">
        <f>SUM(AJ100:AL100)</f>
        <v>404</v>
      </c>
      <c r="AN100" s="491">
        <f>IF(AH100&gt;0,(AM100-AH100)/AH100,(IF(AM100=0,"N/A",100%)))</f>
        <v>0.01</v>
      </c>
      <c r="AO100" s="1683">
        <v>388</v>
      </c>
      <c r="AP100" s="1246">
        <v>0</v>
      </c>
      <c r="AQ100" s="1681">
        <v>0</v>
      </c>
      <c r="AR100" s="1246">
        <f>SUM(AO100:AQ100)</f>
        <v>388</v>
      </c>
      <c r="AS100" s="491">
        <f>IF(AM100&gt;0,(AR100-AM100)/AM100,(IF(AR100=0,"N/A",100%)))</f>
        <v>-3.9603960396039604E-2</v>
      </c>
    </row>
    <row r="101" spans="1:45" s="484" customFormat="1" ht="13.8" x14ac:dyDescent="0.25">
      <c r="A101" s="1345" t="s">
        <v>1015</v>
      </c>
      <c r="B101" s="1732">
        <f t="shared" ref="B101:I101" si="95">SUM(B97:B100)</f>
        <v>2092</v>
      </c>
      <c r="C101" s="1259">
        <f t="shared" si="95"/>
        <v>176</v>
      </c>
      <c r="D101" s="1259">
        <f t="shared" si="95"/>
        <v>0</v>
      </c>
      <c r="E101" s="495">
        <f t="shared" si="95"/>
        <v>2268</v>
      </c>
      <c r="F101" s="1732">
        <f t="shared" si="95"/>
        <v>2144</v>
      </c>
      <c r="G101" s="1259">
        <f t="shared" si="95"/>
        <v>266</v>
      </c>
      <c r="H101" s="1259">
        <f t="shared" si="95"/>
        <v>0</v>
      </c>
      <c r="I101" s="1259">
        <f t="shared" si="95"/>
        <v>2410</v>
      </c>
      <c r="J101" s="496">
        <f>IF(E101&gt;0,(I101-E101)/E101,(IF(I101=0,"N/A",100%)))</f>
        <v>6.261022927689594E-2</v>
      </c>
      <c r="K101" s="1732">
        <f>SUM(K97:K100)</f>
        <v>2440</v>
      </c>
      <c r="L101" s="1259">
        <f>SUM(L97:L100)</f>
        <v>224</v>
      </c>
      <c r="M101" s="1259">
        <f>SUM(M97:M100)</f>
        <v>0</v>
      </c>
      <c r="N101" s="1259">
        <f>SUM(N97:N100)</f>
        <v>2664</v>
      </c>
      <c r="O101" s="496">
        <f>IF(I101&gt;0,(N101-I101)/I101,(IF(N101=0,"N/A",100%)))</f>
        <v>0.10539419087136929</v>
      </c>
      <c r="P101" s="1732">
        <f>SUM(P97:P100)</f>
        <v>2656</v>
      </c>
      <c r="Q101" s="1259">
        <f>SUM(Q97:Q100)</f>
        <v>248</v>
      </c>
      <c r="R101" s="1259">
        <f>SUM(R97:R100)</f>
        <v>0</v>
      </c>
      <c r="S101" s="1259">
        <f>SUM(S97:S100)</f>
        <v>2904</v>
      </c>
      <c r="T101" s="496">
        <f>IF(N101&gt;0,(S101-N101)/N101,(IF(S101=0,"N/A",100%)))</f>
        <v>9.0090090090090086E-2</v>
      </c>
      <c r="U101" s="1732">
        <f>SUM(U97:U100)</f>
        <v>2572</v>
      </c>
      <c r="V101" s="1259">
        <f>SUM(V97:V100)</f>
        <v>231</v>
      </c>
      <c r="W101" s="1259">
        <f>SUM(W97:W100)</f>
        <v>0</v>
      </c>
      <c r="X101" s="1259">
        <f>SUM(X97:X100)</f>
        <v>2803</v>
      </c>
      <c r="Y101" s="496">
        <f>IF(S101&gt;0,(X101-S101)/S101,(IF(X101=0,"N/A",100%)))</f>
        <v>-3.4779614325068868E-2</v>
      </c>
      <c r="Z101" s="1732">
        <f>SUM(Z97:Z100)</f>
        <v>2764</v>
      </c>
      <c r="AA101" s="1259">
        <f>SUM(AA97:AA100)</f>
        <v>257</v>
      </c>
      <c r="AB101" s="1259">
        <f>SUM(AB97:AB100)</f>
        <v>0</v>
      </c>
      <c r="AC101" s="1259">
        <f>SUM(AC97:AC100)</f>
        <v>3021</v>
      </c>
      <c r="AD101" s="496">
        <f>IF(X101&gt;0,(AC101-X101)/X101,(IF(AC101=0,"N/A",100%)))</f>
        <v>7.7773813770959682E-2</v>
      </c>
      <c r="AE101" s="1732">
        <f>SUM(AE97:AE100)</f>
        <v>2332</v>
      </c>
      <c r="AF101" s="1259">
        <f>SUM(AF97:AF100)</f>
        <v>275</v>
      </c>
      <c r="AG101" s="1259">
        <f>SUM(AG97:AG100)</f>
        <v>0</v>
      </c>
      <c r="AH101" s="1259">
        <f>SUM(AH97:AH100)</f>
        <v>2607</v>
      </c>
      <c r="AI101" s="496">
        <f>IF(AC101&gt;0,(AH101-AC101)/AC101,(IF(AH101=0,"N/A",100%)))</f>
        <v>-0.13704071499503476</v>
      </c>
      <c r="AJ101" s="1732">
        <f>SUM(AJ97:AJ100)</f>
        <v>2532</v>
      </c>
      <c r="AK101" s="1259">
        <f>SUM(AK97:AK100)</f>
        <v>236</v>
      </c>
      <c r="AL101" s="1259">
        <f>SUM(AL97:AL100)</f>
        <v>0</v>
      </c>
      <c r="AM101" s="1259">
        <f>SUM(AM97:AM100)</f>
        <v>2768</v>
      </c>
      <c r="AN101" s="496">
        <f>IF(AH101&gt;0,(AM101-AH101)/AH101,(IF(AM101=0,"N/A",100%)))</f>
        <v>6.1756808592251633E-2</v>
      </c>
      <c r="AO101" s="1732">
        <f>SUM(AO97:AO100)</f>
        <v>2520</v>
      </c>
      <c r="AP101" s="1259">
        <f>SUM(AP97:AP100)</f>
        <v>180</v>
      </c>
      <c r="AQ101" s="1259">
        <f>SUM(AQ97:AQ100)</f>
        <v>0</v>
      </c>
      <c r="AR101" s="1259">
        <f>SUM(AR97:AR100)</f>
        <v>2700</v>
      </c>
      <c r="AS101" s="496">
        <f>IF(AM101&gt;0,(AR101-AM101)/AM101,(IF(AR101=0,"N/A",100%)))</f>
        <v>-2.4566473988439308E-2</v>
      </c>
    </row>
    <row r="102" spans="1:45" customFormat="1" x14ac:dyDescent="0.25">
      <c r="A102" s="423" t="s">
        <v>413</v>
      </c>
      <c r="B102" s="1900"/>
      <c r="C102" s="1900"/>
      <c r="D102" s="1900"/>
      <c r="E102" s="516"/>
      <c r="F102" s="1878"/>
      <c r="G102" s="1258"/>
      <c r="H102" s="1258"/>
      <c r="I102" s="1258"/>
      <c r="J102" s="516"/>
      <c r="K102" s="1878"/>
      <c r="L102" s="1258"/>
      <c r="M102" s="1258"/>
      <c r="N102" s="1258"/>
      <c r="O102" s="516"/>
      <c r="P102" s="1878"/>
      <c r="Q102" s="1258"/>
      <c r="R102" s="1258"/>
      <c r="S102" s="1258"/>
      <c r="T102" s="516"/>
      <c r="U102" s="1878"/>
      <c r="V102" s="1258"/>
      <c r="W102" s="1258"/>
      <c r="X102" s="1258"/>
      <c r="Y102" s="516"/>
      <c r="Z102" s="1878"/>
      <c r="AA102" s="1258"/>
      <c r="AB102" s="1258"/>
      <c r="AC102" s="1258"/>
      <c r="AD102" s="516"/>
      <c r="AE102" s="1878"/>
      <c r="AF102" s="1258"/>
      <c r="AG102" s="1258"/>
      <c r="AH102" s="1258"/>
      <c r="AI102" s="516"/>
      <c r="AJ102" s="1878"/>
      <c r="AK102" s="1258"/>
      <c r="AL102" s="1258"/>
      <c r="AM102" s="1258"/>
      <c r="AN102" s="516"/>
      <c r="AO102" s="1878"/>
      <c r="AP102" s="1258"/>
      <c r="AQ102" s="1258"/>
      <c r="AR102" s="1258"/>
      <c r="AS102" s="516"/>
    </row>
    <row r="103" spans="1:45" customFormat="1" x14ac:dyDescent="0.25">
      <c r="A103" s="1326" t="s">
        <v>1633</v>
      </c>
      <c r="B103" s="1616">
        <v>0</v>
      </c>
      <c r="C103" s="1617">
        <v>0</v>
      </c>
      <c r="D103" s="1896">
        <v>0</v>
      </c>
      <c r="E103" s="326">
        <f>SUM(B103:D103)</f>
        <v>0</v>
      </c>
      <c r="F103" s="1616">
        <v>0</v>
      </c>
      <c r="G103" s="1617">
        <v>0</v>
      </c>
      <c r="H103" s="1896">
        <v>0</v>
      </c>
      <c r="I103" s="1246">
        <f>SUM(F103:H103)</f>
        <v>0</v>
      </c>
      <c r="J103" s="491" t="str">
        <f>IF(E103&gt;0,(I103-E103)/E103,(IF(I103=0,"N/A",100%)))</f>
        <v>N/A</v>
      </c>
      <c r="K103" s="1616">
        <v>0</v>
      </c>
      <c r="L103" s="1617">
        <v>0</v>
      </c>
      <c r="M103" s="1896">
        <v>0</v>
      </c>
      <c r="N103" s="1246">
        <f>SUM(K103:M103)</f>
        <v>0</v>
      </c>
      <c r="O103" s="491" t="str">
        <f>IF(I103&gt;0,(N103-I103)/I103,(IF(N103=0,"N/A",100%)))</f>
        <v>N/A</v>
      </c>
      <c r="P103" s="1616">
        <v>0</v>
      </c>
      <c r="Q103" s="1617">
        <v>0</v>
      </c>
      <c r="R103" s="1896">
        <v>0</v>
      </c>
      <c r="S103" s="1246">
        <f>SUM(P103:R103)</f>
        <v>0</v>
      </c>
      <c r="T103" s="491" t="str">
        <f>IF(N103&gt;0,(S103-N103)/N103,(IF(S103=0,"N/A",100%)))</f>
        <v>N/A</v>
      </c>
      <c r="U103" s="1616">
        <v>0</v>
      </c>
      <c r="V103" s="1617">
        <v>0</v>
      </c>
      <c r="W103" s="1896">
        <v>0</v>
      </c>
      <c r="X103" s="1246">
        <f>SUM(U103:W103)</f>
        <v>0</v>
      </c>
      <c r="Y103" s="491" t="str">
        <f>IF(S103&gt;0,(X103-S103)/S103,(IF(X103=0,"N/A",100%)))</f>
        <v>N/A</v>
      </c>
      <c r="Z103" s="1616">
        <v>0</v>
      </c>
      <c r="AA103" s="1617">
        <v>0</v>
      </c>
      <c r="AB103" s="1896">
        <v>0</v>
      </c>
      <c r="AC103" s="1246">
        <f>SUM(Z103:AB103)</f>
        <v>0</v>
      </c>
      <c r="AD103" s="491" t="str">
        <f>IF(X103&gt;0,(AC103-X103)/X103,(IF(AC103=0,"N/A",100%)))</f>
        <v>N/A</v>
      </c>
      <c r="AE103" s="1616">
        <v>0</v>
      </c>
      <c r="AF103" s="1617">
        <v>0</v>
      </c>
      <c r="AG103" s="1896">
        <v>0</v>
      </c>
      <c r="AH103" s="1246">
        <f>SUM(AE103:AG103)</f>
        <v>0</v>
      </c>
      <c r="AI103" s="491" t="str">
        <f>IF(AC103&gt;0,(AH103-AC103)/AC103,(IF(AH103=0,"N/A",100%)))</f>
        <v>N/A</v>
      </c>
      <c r="AJ103" s="1616">
        <v>0</v>
      </c>
      <c r="AK103" s="1617">
        <v>0</v>
      </c>
      <c r="AL103" s="1896">
        <v>12</v>
      </c>
      <c r="AM103" s="1246">
        <f>SUM(AJ103:AL103)</f>
        <v>12</v>
      </c>
      <c r="AN103" s="491">
        <f>IF(AH103&gt;0,(AM103-AH103)/AH103,(IF(AM103=0,"N/A",100%)))</f>
        <v>1</v>
      </c>
      <c r="AO103" s="1616">
        <v>0</v>
      </c>
      <c r="AP103" s="1617">
        <v>0</v>
      </c>
      <c r="AQ103" s="1896">
        <v>6</v>
      </c>
      <c r="AR103" s="1246">
        <f>SUM(AO103:AQ103)</f>
        <v>6</v>
      </c>
      <c r="AS103" s="491">
        <f>IF(AM103&gt;0,(AR103-AM103)/AM103,(IF(AR103=0,"N/A",100%)))</f>
        <v>-0.5</v>
      </c>
    </row>
    <row r="104" spans="1:45" x14ac:dyDescent="0.25">
      <c r="A104" s="1326" t="s">
        <v>716</v>
      </c>
      <c r="B104" s="1616">
        <v>5</v>
      </c>
      <c r="C104" s="1617">
        <v>208</v>
      </c>
      <c r="D104" s="1896">
        <v>0</v>
      </c>
      <c r="E104" s="326">
        <f>SUM(B104:D104)</f>
        <v>213</v>
      </c>
      <c r="F104" s="1616">
        <v>8</v>
      </c>
      <c r="G104" s="1617">
        <v>128</v>
      </c>
      <c r="H104" s="1896">
        <v>0</v>
      </c>
      <c r="I104" s="1246">
        <f>SUM(F104:H104)</f>
        <v>136</v>
      </c>
      <c r="J104" s="491">
        <f>IF(E104&gt;0,(I104-E104)/E104,(IF(I104=0,"N/A",100%)))</f>
        <v>-0.36150234741784038</v>
      </c>
      <c r="K104" s="1683">
        <v>7</v>
      </c>
      <c r="L104" s="1246">
        <v>127</v>
      </c>
      <c r="M104" s="1681">
        <v>0</v>
      </c>
      <c r="N104" s="1246">
        <f>SUM(K104:M104)</f>
        <v>134</v>
      </c>
      <c r="O104" s="491">
        <f>IF(I104&gt;0,(N104-I104)/I104,(IF(N104=0,"N/A",100%)))</f>
        <v>-1.4705882352941176E-2</v>
      </c>
      <c r="P104" s="1683">
        <v>6</v>
      </c>
      <c r="Q104" s="1246">
        <v>173</v>
      </c>
      <c r="R104" s="1681">
        <v>0</v>
      </c>
      <c r="S104" s="1246">
        <f>SUM(P104:R104)</f>
        <v>179</v>
      </c>
      <c r="T104" s="491">
        <f>IF(N104&gt;0,(S104-N104)/N104,(IF(S104=0,"N/A",100%)))</f>
        <v>0.33582089552238809</v>
      </c>
      <c r="U104" s="1683">
        <v>65</v>
      </c>
      <c r="V104" s="1246">
        <v>246</v>
      </c>
      <c r="W104" s="1681">
        <v>0</v>
      </c>
      <c r="X104" s="1246">
        <f>SUM(U104:W104)</f>
        <v>311</v>
      </c>
      <c r="Y104" s="491">
        <f>IF(S104&gt;0,(X104-S104)/S104,(IF(X104=0,"N/A",100%)))</f>
        <v>0.73743016759776536</v>
      </c>
      <c r="Z104" s="1683">
        <v>64</v>
      </c>
      <c r="AA104" s="1246">
        <v>201</v>
      </c>
      <c r="AB104" s="1681">
        <v>0</v>
      </c>
      <c r="AC104" s="1246">
        <f>SUM(Z104:AB104)</f>
        <v>265</v>
      </c>
      <c r="AD104" s="491">
        <f>IF(X104&gt;0,(AC104-X104)/X104,(IF(AC104=0,"N/A",100%)))</f>
        <v>-0.14790996784565916</v>
      </c>
      <c r="AE104" s="1683">
        <v>65</v>
      </c>
      <c r="AF104" s="1246">
        <v>222</v>
      </c>
      <c r="AG104" s="1681">
        <v>0</v>
      </c>
      <c r="AH104" s="1246">
        <f>SUM(AE104:AG104)</f>
        <v>287</v>
      </c>
      <c r="AI104" s="491">
        <f>IF(AC104&gt;0,(AH104-AC104)/AC104,(IF(AH104=0,"N/A",100%)))</f>
        <v>8.3018867924528297E-2</v>
      </c>
      <c r="AJ104" s="1683">
        <v>48</v>
      </c>
      <c r="AK104" s="1246">
        <v>184</v>
      </c>
      <c r="AL104" s="1681">
        <v>0</v>
      </c>
      <c r="AM104" s="1246">
        <f>SUM(AJ104:AL104)</f>
        <v>232</v>
      </c>
      <c r="AN104" s="491">
        <f>IF(AH104&gt;0,(AM104-AH104)/AH104,(IF(AM104=0,"N/A",100%)))</f>
        <v>-0.19163763066202091</v>
      </c>
      <c r="AO104" s="1683">
        <v>47</v>
      </c>
      <c r="AP104" s="1246">
        <v>154</v>
      </c>
      <c r="AQ104" s="1681">
        <v>0</v>
      </c>
      <c r="AR104" s="1246">
        <f>SUM(AO104:AQ104)</f>
        <v>201</v>
      </c>
      <c r="AS104" s="491">
        <f>IF(AM104&gt;0,(AR104-AM104)/AM104,(IF(AR104=0,"N/A",100%)))</f>
        <v>-0.1336206896551724</v>
      </c>
    </row>
    <row r="105" spans="1:45" x14ac:dyDescent="0.25">
      <c r="A105" s="1326" t="s">
        <v>1051</v>
      </c>
      <c r="B105" s="1616">
        <v>389</v>
      </c>
      <c r="C105" s="1617">
        <v>682</v>
      </c>
      <c r="D105" s="1896">
        <v>0</v>
      </c>
      <c r="E105" s="326">
        <f>SUM(B105:D105)</f>
        <v>1071</v>
      </c>
      <c r="F105" s="1616">
        <v>451</v>
      </c>
      <c r="G105" s="1617">
        <v>711</v>
      </c>
      <c r="H105" s="1896">
        <v>0</v>
      </c>
      <c r="I105" s="1246">
        <f>SUM(F105:H105)</f>
        <v>1162</v>
      </c>
      <c r="J105" s="491">
        <f>IF(E105&gt;0,(I105-E105)/E105,(IF(I105=0,"N/A",100%)))</f>
        <v>8.4967320261437912E-2</v>
      </c>
      <c r="K105" s="1683">
        <v>468</v>
      </c>
      <c r="L105" s="1246">
        <v>890</v>
      </c>
      <c r="M105" s="1681">
        <v>0</v>
      </c>
      <c r="N105" s="1246">
        <f>SUM(K105:M105)</f>
        <v>1358</v>
      </c>
      <c r="O105" s="491">
        <f>IF(I105&gt;0,(N105-I105)/I105,(IF(N105=0,"N/A",100%)))</f>
        <v>0.16867469879518071</v>
      </c>
      <c r="P105" s="1683">
        <v>393</v>
      </c>
      <c r="Q105" s="1246">
        <v>1151</v>
      </c>
      <c r="R105" s="1681">
        <v>0</v>
      </c>
      <c r="S105" s="1246">
        <f>SUM(P105:R105)</f>
        <v>1544</v>
      </c>
      <c r="T105" s="491">
        <f>IF(N105&gt;0,(S105-N105)/N105,(IF(S105=0,"N/A",100%)))</f>
        <v>0.13696612665684832</v>
      </c>
      <c r="U105" s="1683">
        <v>595</v>
      </c>
      <c r="V105" s="1246">
        <v>1322</v>
      </c>
      <c r="W105" s="1681">
        <v>0</v>
      </c>
      <c r="X105" s="1246">
        <f>SUM(U105:W105)</f>
        <v>1917</v>
      </c>
      <c r="Y105" s="491">
        <f>IF(S105&gt;0,(X105-S105)/S105,(IF(X105=0,"N/A",100%)))</f>
        <v>0.24158031088082901</v>
      </c>
      <c r="Z105" s="1683">
        <v>653</v>
      </c>
      <c r="AA105" s="1246">
        <v>1335</v>
      </c>
      <c r="AB105" s="1681">
        <v>0</v>
      </c>
      <c r="AC105" s="1246">
        <f>SUM(Z105:AB105)</f>
        <v>1988</v>
      </c>
      <c r="AD105" s="491">
        <f>IF(X105&gt;0,(AC105-X105)/X105,(IF(AC105=0,"N/A",100%)))</f>
        <v>3.7037037037037035E-2</v>
      </c>
      <c r="AE105" s="1683">
        <v>679</v>
      </c>
      <c r="AF105" s="1246">
        <v>1414</v>
      </c>
      <c r="AG105" s="1681">
        <v>0</v>
      </c>
      <c r="AH105" s="1246">
        <f>SUM(AE105:AG105)</f>
        <v>2093</v>
      </c>
      <c r="AI105" s="491">
        <f>IF(AC105&gt;0,(AH105-AC105)/AC105,(IF(AH105=0,"N/A",100%)))</f>
        <v>5.2816901408450703E-2</v>
      </c>
      <c r="AJ105" s="1683">
        <v>492</v>
      </c>
      <c r="AK105" s="1246">
        <v>1389</v>
      </c>
      <c r="AL105" s="1681">
        <v>0</v>
      </c>
      <c r="AM105" s="1246">
        <f>SUM(AJ105:AL105)</f>
        <v>1881</v>
      </c>
      <c r="AN105" s="491">
        <f>IF(AH105&gt;0,(AM105-AH105)/AH105,(IF(AM105=0,"N/A",100%)))</f>
        <v>-0.10129001433349259</v>
      </c>
      <c r="AO105" s="1683">
        <v>605</v>
      </c>
      <c r="AP105" s="1246">
        <v>1060</v>
      </c>
      <c r="AQ105" s="1681">
        <v>0</v>
      </c>
      <c r="AR105" s="1246">
        <f>SUM(AO105:AQ105)</f>
        <v>1665</v>
      </c>
      <c r="AS105" s="491">
        <f>IF(AM105&gt;0,(AR105-AM105)/AM105,(IF(AR105=0,"N/A",100%)))</f>
        <v>-0.11483253588516747</v>
      </c>
    </row>
    <row r="106" spans="1:45" s="484" customFormat="1" ht="13.8" x14ac:dyDescent="0.25">
      <c r="A106" s="1327" t="s">
        <v>1015</v>
      </c>
      <c r="B106" s="1732">
        <f t="shared" ref="B106:I106" si="96">+B105+B104+B103</f>
        <v>394</v>
      </c>
      <c r="C106" s="1732">
        <f t="shared" si="96"/>
        <v>890</v>
      </c>
      <c r="D106" s="1732">
        <f t="shared" si="96"/>
        <v>0</v>
      </c>
      <c r="E106" s="495">
        <f t="shared" si="96"/>
        <v>1284</v>
      </c>
      <c r="F106" s="1732">
        <f t="shared" si="96"/>
        <v>459</v>
      </c>
      <c r="G106" s="1732">
        <f t="shared" si="96"/>
        <v>839</v>
      </c>
      <c r="H106" s="1732">
        <f t="shared" si="96"/>
        <v>0</v>
      </c>
      <c r="I106" s="1732">
        <f t="shared" si="96"/>
        <v>1298</v>
      </c>
      <c r="J106" s="496">
        <f>IF(E106&gt;0,(I106-E106)/E106,(IF(I106=0,"N/A",100%)))</f>
        <v>1.0903426791277258E-2</v>
      </c>
      <c r="K106" s="1732">
        <f>+K105+K104+K103</f>
        <v>475</v>
      </c>
      <c r="L106" s="1732">
        <f>+L105+L104+L103</f>
        <v>1017</v>
      </c>
      <c r="M106" s="1732">
        <f>+M105+M104+M103</f>
        <v>0</v>
      </c>
      <c r="N106" s="1732">
        <f>+N105+N104+N103</f>
        <v>1492</v>
      </c>
      <c r="O106" s="496">
        <f>IF(I106&gt;0,(N106-I106)/I106,(IF(N106=0,"N/A",100%)))</f>
        <v>0.14946070878274267</v>
      </c>
      <c r="P106" s="1732">
        <f>+P105+P104+P103</f>
        <v>399</v>
      </c>
      <c r="Q106" s="1732">
        <f>+Q105+Q104+Q103</f>
        <v>1324</v>
      </c>
      <c r="R106" s="1732">
        <f>+R105+R104+R103</f>
        <v>0</v>
      </c>
      <c r="S106" s="1732">
        <f>+S105+S104+S103</f>
        <v>1723</v>
      </c>
      <c r="T106" s="496">
        <f>IF(N106&gt;0,(S106-N106)/N106,(IF(S106=0,"N/A",100%)))</f>
        <v>0.15482573726541554</v>
      </c>
      <c r="U106" s="1732">
        <f>+U105+U104+U103</f>
        <v>660</v>
      </c>
      <c r="V106" s="1732">
        <f>+V105+V104+V103</f>
        <v>1568</v>
      </c>
      <c r="W106" s="1732">
        <f>+W105+W104+W103</f>
        <v>0</v>
      </c>
      <c r="X106" s="1732">
        <f>+X105+X104+X103</f>
        <v>2228</v>
      </c>
      <c r="Y106" s="496">
        <f>IF(S106&gt;0,(X106-S106)/S106,(IF(X106=0,"N/A",100%)))</f>
        <v>0.2930934416715032</v>
      </c>
      <c r="Z106" s="1732">
        <f>+Z105+Z104+Z103</f>
        <v>717</v>
      </c>
      <c r="AA106" s="1732">
        <f>+AA105+AA104+AA103</f>
        <v>1536</v>
      </c>
      <c r="AB106" s="1732">
        <f>+AB105+AB104+AB103</f>
        <v>0</v>
      </c>
      <c r="AC106" s="1732">
        <f>+AC105+AC104+AC103</f>
        <v>2253</v>
      </c>
      <c r="AD106" s="496">
        <f>IF(X106&gt;0,(AC106-X106)/X106,(IF(AC106=0,"N/A",100%)))</f>
        <v>1.1220825852782765E-2</v>
      </c>
      <c r="AE106" s="1732">
        <f>+AE105+AE104+AE103</f>
        <v>744</v>
      </c>
      <c r="AF106" s="1732">
        <f>+AF105+AF104+AF103</f>
        <v>1636</v>
      </c>
      <c r="AG106" s="1732">
        <f>+AG105+AG104+AG103</f>
        <v>0</v>
      </c>
      <c r="AH106" s="1732">
        <f>+AH105+AH104+AH103</f>
        <v>2380</v>
      </c>
      <c r="AI106" s="496">
        <f>IF(AC106&gt;0,(AH106-AC106)/AC106,(IF(AH106=0,"N/A",100%)))</f>
        <v>5.6369285397248114E-2</v>
      </c>
      <c r="AJ106" s="1732">
        <f>+AJ105+AJ104+AJ103</f>
        <v>540</v>
      </c>
      <c r="AK106" s="1732">
        <f>+AK105+AK104+AK103</f>
        <v>1573</v>
      </c>
      <c r="AL106" s="1732">
        <f>+AL105+AL104+AL103</f>
        <v>12</v>
      </c>
      <c r="AM106" s="1732">
        <f>+AM105+AM104+AM103</f>
        <v>2125</v>
      </c>
      <c r="AN106" s="496">
        <f>IF(AH106&gt;0,(AM106-AH106)/AH106,(IF(AM106=0,"N/A",100%)))</f>
        <v>-0.10714285714285714</v>
      </c>
      <c r="AO106" s="1732">
        <f>+AO105+AO104+AO103</f>
        <v>652</v>
      </c>
      <c r="AP106" s="1732">
        <f>+AP105+AP104+AP103</f>
        <v>1214</v>
      </c>
      <c r="AQ106" s="1732">
        <f>+AQ105+AQ104+AQ103</f>
        <v>6</v>
      </c>
      <c r="AR106" s="1732">
        <f>+AR105+AR104+AR103</f>
        <v>1872</v>
      </c>
      <c r="AS106" s="496">
        <f>IF(AM106&gt;0,(AR106-AM106)/AM106,(IF(AR106=0,"N/A",100%)))</f>
        <v>-0.11905882352941176</v>
      </c>
    </row>
    <row r="107" spans="1:45" s="502" customFormat="1" ht="16.2" thickBot="1" x14ac:dyDescent="0.35">
      <c r="A107" s="1328" t="s">
        <v>437</v>
      </c>
      <c r="B107" s="988">
        <f t="shared" ref="B107:I107" si="97">+B91+B95+B101+B106</f>
        <v>7155</v>
      </c>
      <c r="C107" s="974">
        <f t="shared" si="97"/>
        <v>1772</v>
      </c>
      <c r="D107" s="974">
        <f t="shared" si="97"/>
        <v>0</v>
      </c>
      <c r="E107" s="989">
        <f t="shared" si="97"/>
        <v>8927</v>
      </c>
      <c r="F107" s="988">
        <f t="shared" si="97"/>
        <v>7310</v>
      </c>
      <c r="G107" s="974">
        <f t="shared" si="97"/>
        <v>1939</v>
      </c>
      <c r="H107" s="974">
        <f t="shared" si="97"/>
        <v>0</v>
      </c>
      <c r="I107" s="974">
        <f t="shared" si="97"/>
        <v>9249</v>
      </c>
      <c r="J107" s="975">
        <f>IF(E107&gt;0,(I107-E107)/E107,(IF(I107=0,"N/A",100%)))</f>
        <v>3.6070348381315114E-2</v>
      </c>
      <c r="K107" s="988">
        <f>+K91+K95+K101+K106</f>
        <v>8085</v>
      </c>
      <c r="L107" s="974">
        <f>+L91+L95+L101+L106</f>
        <v>1959</v>
      </c>
      <c r="M107" s="974">
        <f>+M91+M95+M101+M106</f>
        <v>0</v>
      </c>
      <c r="N107" s="974">
        <f>+N91+N95+N101+N106</f>
        <v>10044</v>
      </c>
      <c r="O107" s="975">
        <f>IF(I107&gt;0,(N107-I107)/I107,(IF(N107=0,"N/A",100%)))</f>
        <v>8.5955238404151799E-2</v>
      </c>
      <c r="P107" s="988">
        <f>+P91+P95+P101+P106</f>
        <v>9113</v>
      </c>
      <c r="Q107" s="974">
        <f>+Q91+Q95+Q101+Q106</f>
        <v>2315</v>
      </c>
      <c r="R107" s="974">
        <f>+R91+R95+R101+R106</f>
        <v>0</v>
      </c>
      <c r="S107" s="974">
        <f>+S91+S95+S101+S106</f>
        <v>11428</v>
      </c>
      <c r="T107" s="975">
        <f>IF(N107&gt;0,(S107-N107)/N107,(IF(S107=0,"N/A",100%)))</f>
        <v>0.13779370768618079</v>
      </c>
      <c r="U107" s="988">
        <f>+U91+U95+U101+U106</f>
        <v>8802</v>
      </c>
      <c r="V107" s="974">
        <f>+V91+V95+V101+V106</f>
        <v>2339</v>
      </c>
      <c r="W107" s="974">
        <f>+W91+W95+W101+W106</f>
        <v>0</v>
      </c>
      <c r="X107" s="974">
        <f>+X91+X95+X101+X106</f>
        <v>11141</v>
      </c>
      <c r="Y107" s="975">
        <f>IF(S107&gt;0,(X107-S107)/S107,(IF(X107=0,"N/A",100%)))</f>
        <v>-2.511375568778439E-2</v>
      </c>
      <c r="Z107" s="988">
        <f>+Z91+Z95+Z101+Z106</f>
        <v>8875</v>
      </c>
      <c r="AA107" s="974">
        <f>+AA91+AA95+AA101+AA106</f>
        <v>2362</v>
      </c>
      <c r="AB107" s="974">
        <f>+AB91+AB95+AB101+AB106</f>
        <v>0</v>
      </c>
      <c r="AC107" s="974">
        <f>+AC91+AC95+AC101+AC106</f>
        <v>11237</v>
      </c>
      <c r="AD107" s="975">
        <f>IF(X107&gt;0,(AC107-X107)/X107,(IF(AC107=0,"N/A",100%)))</f>
        <v>8.6168207521766446E-3</v>
      </c>
      <c r="AE107" s="988">
        <f>+AE91+AE95+AE101+AE106</f>
        <v>8205</v>
      </c>
      <c r="AF107" s="974">
        <f>+AF91+AF95+AF101+AF106</f>
        <v>2449</v>
      </c>
      <c r="AG107" s="974">
        <f>+AG91+AG95+AG101+AG106</f>
        <v>0</v>
      </c>
      <c r="AH107" s="974">
        <f>+AH91+AH95+AH101+AH106</f>
        <v>10654</v>
      </c>
      <c r="AI107" s="975">
        <f>IF(AC107&gt;0,(AH107-AC107)/AC107,(IF(AH107=0,"N/A",100%)))</f>
        <v>-5.1882174957728934E-2</v>
      </c>
      <c r="AJ107" s="988">
        <f>+AJ91+AJ95+AJ101+AJ106</f>
        <v>8203</v>
      </c>
      <c r="AK107" s="974">
        <f>+AK91+AK95+AK101+AK106</f>
        <v>2462</v>
      </c>
      <c r="AL107" s="974">
        <f>+AL91+AL95+AL101+AL106</f>
        <v>12</v>
      </c>
      <c r="AM107" s="974">
        <f>+AM91+AM95+AM101+AM106</f>
        <v>10677</v>
      </c>
      <c r="AN107" s="975">
        <f>IF(AH107&gt;0,(AM107-AH107)/AH107,(IF(AM107=0,"N/A",100%)))</f>
        <v>2.158813591139478E-3</v>
      </c>
      <c r="AO107" s="988">
        <f>+AO91+AO95+AO101+AO106</f>
        <v>8347</v>
      </c>
      <c r="AP107" s="974">
        <f>+AP91+AP95+AP101+AP106</f>
        <v>2064</v>
      </c>
      <c r="AQ107" s="974">
        <f>+AQ91+AQ95+AQ101+AQ106</f>
        <v>6</v>
      </c>
      <c r="AR107" s="974">
        <f>+AR91+AR95+AR101+AR106</f>
        <v>10417</v>
      </c>
      <c r="AS107" s="975">
        <f>IF(AM107&gt;0,(AR107-AM107)/AM107,(IF(AR107=0,"N/A",100%)))</f>
        <v>-2.4351409571977147E-2</v>
      </c>
    </row>
    <row r="108" spans="1:45" ht="14.25" customHeight="1" thickBot="1" x14ac:dyDescent="0.3">
      <c r="A108" s="507"/>
      <c r="B108" s="286"/>
      <c r="C108" s="286"/>
      <c r="D108" s="286"/>
      <c r="E108" s="286"/>
      <c r="F108" s="286"/>
      <c r="G108" s="286"/>
      <c r="H108" s="286"/>
      <c r="I108" s="286"/>
      <c r="J108" s="504"/>
      <c r="K108" s="286"/>
      <c r="L108" s="286"/>
      <c r="M108" s="286"/>
      <c r="N108" s="286"/>
      <c r="O108" s="504"/>
      <c r="P108" s="286"/>
      <c r="Q108" s="286"/>
      <c r="R108" s="286"/>
      <c r="S108" s="286"/>
      <c r="T108" s="504"/>
      <c r="U108" s="286"/>
      <c r="V108" s="286"/>
      <c r="W108" s="286"/>
      <c r="X108" s="286"/>
      <c r="Y108" s="504"/>
      <c r="Z108" s="280"/>
      <c r="AA108" s="280"/>
      <c r="AB108" s="280"/>
      <c r="AC108" s="280"/>
      <c r="AD108" s="280"/>
      <c r="AE108" s="280"/>
      <c r="AF108" s="280"/>
      <c r="AG108" s="280"/>
      <c r="AH108" s="280"/>
      <c r="AJ108" s="280"/>
      <c r="AK108" s="280"/>
      <c r="AL108" s="280"/>
      <c r="AM108" s="280"/>
      <c r="AO108" s="280"/>
      <c r="AP108" s="280"/>
      <c r="AQ108" s="280"/>
      <c r="AR108" s="280"/>
    </row>
    <row r="109" spans="1:45" ht="14.25" customHeight="1" thickBot="1" x14ac:dyDescent="0.3">
      <c r="A109" s="1890"/>
      <c r="B109" s="1891"/>
      <c r="C109" s="1891"/>
      <c r="D109" s="1891"/>
      <c r="E109" s="1891"/>
      <c r="F109" s="1891"/>
      <c r="G109" s="1891"/>
      <c r="H109" s="1891"/>
      <c r="I109" s="1891"/>
      <c r="J109" s="1892"/>
      <c r="K109" s="1891"/>
      <c r="L109" s="1891"/>
      <c r="M109" s="1891"/>
      <c r="N109" s="1891"/>
      <c r="O109" s="1892"/>
      <c r="P109" s="1891"/>
      <c r="Q109" s="1891"/>
      <c r="R109" s="1891"/>
      <c r="S109" s="1891"/>
      <c r="T109" s="1892"/>
      <c r="U109" s="1891"/>
      <c r="V109" s="1891"/>
      <c r="W109" s="1891"/>
      <c r="X109" s="1891"/>
      <c r="Y109" s="1892"/>
      <c r="Z109" s="1893"/>
      <c r="AA109" s="1893"/>
      <c r="AB109" s="1893"/>
      <c r="AC109" s="1893"/>
      <c r="AD109" s="1893"/>
      <c r="AE109" s="1893"/>
      <c r="AF109" s="1893"/>
      <c r="AG109" s="1893"/>
      <c r="AH109" s="1893"/>
      <c r="AI109" s="1894"/>
      <c r="AJ109" s="1893"/>
      <c r="AK109" s="1893"/>
      <c r="AL109" s="1893"/>
      <c r="AM109" s="1893"/>
      <c r="AN109" s="1894"/>
      <c r="AO109" s="1893"/>
      <c r="AP109" s="1893"/>
      <c r="AQ109" s="1893"/>
      <c r="AR109" s="1893"/>
      <c r="AS109" s="1895"/>
    </row>
    <row r="110" spans="1:45" x14ac:dyDescent="0.25">
      <c r="A110" s="1350" t="s">
        <v>984</v>
      </c>
      <c r="B110" s="993"/>
      <c r="C110" s="1351"/>
      <c r="D110" s="1351"/>
      <c r="E110" s="983"/>
      <c r="F110" s="993"/>
      <c r="G110" s="1351"/>
      <c r="H110" s="1351"/>
      <c r="I110" s="1351"/>
      <c r="J110" s="983"/>
      <c r="K110" s="993"/>
      <c r="L110" s="1351"/>
      <c r="M110" s="1351"/>
      <c r="N110" s="1351"/>
      <c r="O110" s="1879"/>
      <c r="P110" s="993"/>
      <c r="Q110" s="1351"/>
      <c r="R110" s="1351"/>
      <c r="S110" s="1351"/>
      <c r="T110" s="1394"/>
      <c r="U110" s="993"/>
      <c r="V110" s="1351"/>
      <c r="W110" s="1351"/>
      <c r="X110" s="1351"/>
      <c r="Y110" s="1394"/>
      <c r="Z110" s="993"/>
      <c r="AA110" s="1351"/>
      <c r="AB110" s="1351"/>
      <c r="AC110" s="1351"/>
      <c r="AD110" s="1394"/>
      <c r="AE110" s="993"/>
      <c r="AF110" s="1351"/>
      <c r="AG110" s="1351"/>
      <c r="AH110" s="1351"/>
      <c r="AI110" s="1394"/>
      <c r="AJ110" s="993"/>
      <c r="AK110" s="1351"/>
      <c r="AL110" s="1351"/>
      <c r="AM110" s="1351"/>
      <c r="AN110" s="1879"/>
      <c r="AO110" s="993"/>
      <c r="AP110" s="1351"/>
      <c r="AQ110" s="1351"/>
      <c r="AR110" s="1351"/>
      <c r="AS110" s="1879"/>
    </row>
    <row r="111" spans="1:45" x14ac:dyDescent="0.25">
      <c r="A111" s="1319" t="s">
        <v>1556</v>
      </c>
      <c r="B111" s="1677">
        <v>0</v>
      </c>
      <c r="C111" s="1677">
        <v>0</v>
      </c>
      <c r="D111" s="1896">
        <v>0</v>
      </c>
      <c r="E111" s="282">
        <f t="shared" ref="E111:E120" si="98">SUM(B111:D111)</f>
        <v>0</v>
      </c>
      <c r="F111" s="1677">
        <v>0</v>
      </c>
      <c r="G111" s="1677">
        <v>0</v>
      </c>
      <c r="H111" s="1896">
        <v>0</v>
      </c>
      <c r="I111" s="1680">
        <f t="shared" ref="I111:I120" si="99">SUM(F111:H111)</f>
        <v>0</v>
      </c>
      <c r="J111" s="505" t="str">
        <f t="shared" ref="J111:J121" si="100">IF(E111&gt;0,(I111-E111)/E111,(IF(I111=0,"N/A",100%)))</f>
        <v>N/A</v>
      </c>
      <c r="K111" s="1680">
        <v>0</v>
      </c>
      <c r="L111" s="1680">
        <v>0</v>
      </c>
      <c r="M111" s="1681">
        <v>0</v>
      </c>
      <c r="N111" s="1680">
        <f t="shared" ref="N111:N120" si="101">SUM(K111:M111)</f>
        <v>0</v>
      </c>
      <c r="O111" s="1679" t="str">
        <f t="shared" ref="O111:O121" si="102">IF(I111&gt;0,(N111-I111)/I111,(IF(N111=0,"N/A",100%)))</f>
        <v>N/A</v>
      </c>
      <c r="P111" s="1680">
        <v>0</v>
      </c>
      <c r="Q111" s="1680">
        <v>0</v>
      </c>
      <c r="R111" s="1681">
        <v>0</v>
      </c>
      <c r="S111" s="1680">
        <f t="shared" ref="S111:S120" si="103">SUM(P111:R111)</f>
        <v>0</v>
      </c>
      <c r="T111" s="491" t="str">
        <f t="shared" ref="T111:T121" si="104">IF(N111&gt;0,(S111-N111)/N111,(IF(S111=0,"N/A",100%)))</f>
        <v>N/A</v>
      </c>
      <c r="U111" s="1680">
        <v>0</v>
      </c>
      <c r="V111" s="1680">
        <v>0</v>
      </c>
      <c r="W111" s="1681">
        <v>0</v>
      </c>
      <c r="X111" s="1680">
        <f t="shared" ref="X111:X120" si="105">SUM(U111:W111)</f>
        <v>0</v>
      </c>
      <c r="Y111" s="491" t="str">
        <f t="shared" ref="Y111:Y121" si="106">IF(S111&gt;0,(X111-S111)/S111,(IF(X111=0,"N/A",100%)))</f>
        <v>N/A</v>
      </c>
      <c r="Z111" s="1680">
        <v>6</v>
      </c>
      <c r="AA111" s="1680">
        <v>0</v>
      </c>
      <c r="AB111" s="1681">
        <v>0</v>
      </c>
      <c r="AC111" s="1680">
        <f t="shared" ref="AC111:AC120" si="107">SUM(Z111:AB111)</f>
        <v>6</v>
      </c>
      <c r="AD111" s="491">
        <f t="shared" ref="AD111:AD121" si="108">IF(X111&gt;0,(AC111-X111)/X111,(IF(AC111=0,"N/A",100%)))</f>
        <v>1</v>
      </c>
      <c r="AE111" s="1680">
        <v>0</v>
      </c>
      <c r="AF111" s="1680">
        <v>0</v>
      </c>
      <c r="AG111" s="1681">
        <v>0</v>
      </c>
      <c r="AH111" s="1680">
        <f t="shared" ref="AH111:AH120" si="109">SUM(AE111:AG111)</f>
        <v>0</v>
      </c>
      <c r="AI111" s="491">
        <f t="shared" ref="AI111:AI121" si="110">IF(AC111&gt;0,(AH111-AC111)/AC111,(IF(AH111=0,"N/A",100%)))</f>
        <v>-1</v>
      </c>
      <c r="AJ111" s="1680">
        <v>0</v>
      </c>
      <c r="AK111" s="1680">
        <v>0</v>
      </c>
      <c r="AL111" s="1681">
        <v>0</v>
      </c>
      <c r="AM111" s="1680">
        <f t="shared" ref="AM111:AM120" si="111">SUM(AJ111:AL111)</f>
        <v>0</v>
      </c>
      <c r="AN111" s="1679" t="str">
        <f t="shared" ref="AN111:AN121" si="112">IF(AH111&gt;0,(AM111-AH111)/AH111,(IF(AM111=0,"N/A",100%)))</f>
        <v>N/A</v>
      </c>
      <c r="AO111" s="1680">
        <v>16</v>
      </c>
      <c r="AP111" s="1680">
        <v>0</v>
      </c>
      <c r="AQ111" s="1681">
        <v>0</v>
      </c>
      <c r="AR111" s="1680">
        <f t="shared" ref="AR111:AR120" si="113">SUM(AO111:AQ111)</f>
        <v>16</v>
      </c>
      <c r="AS111" s="1679">
        <f t="shared" ref="AS111:AS121" si="114">IF(AM111&gt;0,(AR111-AM111)/AM111,(IF(AR111=0,"N/A",100%)))</f>
        <v>1</v>
      </c>
    </row>
    <row r="112" spans="1:45" x14ac:dyDescent="0.25">
      <c r="A112" s="1319" t="s">
        <v>1052</v>
      </c>
      <c r="B112" s="1677">
        <v>40</v>
      </c>
      <c r="C112" s="1677">
        <v>0</v>
      </c>
      <c r="D112" s="1896">
        <v>0</v>
      </c>
      <c r="E112" s="282">
        <f>SUM(B112:D112)</f>
        <v>40</v>
      </c>
      <c r="F112" s="1677">
        <v>48</v>
      </c>
      <c r="G112" s="1677">
        <v>0</v>
      </c>
      <c r="H112" s="1896">
        <v>0</v>
      </c>
      <c r="I112" s="1680">
        <f>SUM(F112:H112)</f>
        <v>48</v>
      </c>
      <c r="J112" s="505">
        <f>IF(E112&gt;0,(I112-E112)/E112,(IF(I112=0,"N/A",100%)))</f>
        <v>0.2</v>
      </c>
      <c r="K112" s="1680">
        <v>112</v>
      </c>
      <c r="L112" s="1680">
        <v>0</v>
      </c>
      <c r="M112" s="1681">
        <v>0</v>
      </c>
      <c r="N112" s="1680">
        <f>SUM(K112:M112)</f>
        <v>112</v>
      </c>
      <c r="O112" s="1679">
        <f>IF(I112&gt;0,(N112-I112)/I112,(IF(N112=0,"N/A",100%)))</f>
        <v>1.3333333333333333</v>
      </c>
      <c r="P112" s="1680">
        <v>146</v>
      </c>
      <c r="Q112" s="1680">
        <v>0</v>
      </c>
      <c r="R112" s="1681">
        <v>0</v>
      </c>
      <c r="S112" s="1680">
        <f>SUM(P112:R112)</f>
        <v>146</v>
      </c>
      <c r="T112" s="491">
        <f>IF(N112&gt;0,(S112-N112)/N112,(IF(S112=0,"N/A",100%)))</f>
        <v>0.30357142857142855</v>
      </c>
      <c r="U112" s="1680">
        <v>204</v>
      </c>
      <c r="V112" s="1680">
        <v>0</v>
      </c>
      <c r="W112" s="1681">
        <v>0</v>
      </c>
      <c r="X112" s="1680">
        <f>SUM(U112:W112)</f>
        <v>204</v>
      </c>
      <c r="Y112" s="491">
        <f>IF(S112&gt;0,(X112-S112)/S112,(IF(X112=0,"N/A",100%)))</f>
        <v>0.39726027397260272</v>
      </c>
      <c r="Z112" s="1680">
        <v>134</v>
      </c>
      <c r="AA112" s="1680">
        <v>0</v>
      </c>
      <c r="AB112" s="1681">
        <v>0</v>
      </c>
      <c r="AC112" s="1680">
        <f>SUM(Z112:AB112)</f>
        <v>134</v>
      </c>
      <c r="AD112" s="491">
        <f>IF(X112&gt;0,(AC112-X112)/X112,(IF(AC112=0,"N/A",100%)))</f>
        <v>-0.34313725490196079</v>
      </c>
      <c r="AE112" s="1680">
        <v>136</v>
      </c>
      <c r="AF112" s="1680">
        <v>0</v>
      </c>
      <c r="AG112" s="1681">
        <v>0</v>
      </c>
      <c r="AH112" s="1680">
        <f t="shared" si="109"/>
        <v>136</v>
      </c>
      <c r="AI112" s="491">
        <f t="shared" si="110"/>
        <v>1.4925373134328358E-2</v>
      </c>
      <c r="AJ112" s="1680">
        <v>116</v>
      </c>
      <c r="AK112" s="1680">
        <v>0</v>
      </c>
      <c r="AL112" s="1681">
        <v>0</v>
      </c>
      <c r="AM112" s="1680">
        <f t="shared" si="111"/>
        <v>116</v>
      </c>
      <c r="AN112" s="1679">
        <f t="shared" si="112"/>
        <v>-0.14705882352941177</v>
      </c>
      <c r="AO112" s="1680">
        <v>52</v>
      </c>
      <c r="AP112" s="1680">
        <v>0</v>
      </c>
      <c r="AQ112" s="1681">
        <v>0</v>
      </c>
      <c r="AR112" s="1680">
        <f t="shared" si="113"/>
        <v>52</v>
      </c>
      <c r="AS112" s="1679">
        <f t="shared" si="114"/>
        <v>-0.55172413793103448</v>
      </c>
    </row>
    <row r="113" spans="1:45" x14ac:dyDescent="0.25">
      <c r="A113" s="1319" t="s">
        <v>1625</v>
      </c>
      <c r="B113" s="1677"/>
      <c r="C113" s="1677"/>
      <c r="D113" s="1896"/>
      <c r="E113" s="282">
        <f>SUM(B113:D113)</f>
        <v>0</v>
      </c>
      <c r="F113" s="1677"/>
      <c r="G113" s="1677"/>
      <c r="H113" s="1896"/>
      <c r="I113" s="1680">
        <f>SUM(F113:H113)</f>
        <v>0</v>
      </c>
      <c r="J113" s="505" t="str">
        <f>IF(E113&gt;0,(I113-E113)/E113,(IF(I113=0,"N/A",100%)))</f>
        <v>N/A</v>
      </c>
      <c r="K113" s="1680"/>
      <c r="L113" s="1680"/>
      <c r="M113" s="1681"/>
      <c r="N113" s="1680">
        <f>SUM(K113:M113)</f>
        <v>0</v>
      </c>
      <c r="O113" s="1679" t="str">
        <f>IF(I113&gt;0,(N113-I113)/I113,(IF(N113=0,"N/A",100%)))</f>
        <v>N/A</v>
      </c>
      <c r="P113" s="1680"/>
      <c r="Q113" s="1680"/>
      <c r="R113" s="1681"/>
      <c r="S113" s="1680">
        <f>SUM(P113:R113)</f>
        <v>0</v>
      </c>
      <c r="T113" s="505" t="str">
        <f>IF(N113&gt;0,(S113-N113)/N113,(IF(S113=0,"N/A",100%)))</f>
        <v>N/A</v>
      </c>
      <c r="U113" s="1680"/>
      <c r="V113" s="1680"/>
      <c r="W113" s="1681"/>
      <c r="X113" s="1680">
        <f>SUM(U113:W113)</f>
        <v>0</v>
      </c>
      <c r="Y113" s="505" t="str">
        <f>IF(S113&gt;0,(X113-S113)/S113,(IF(X113=0,"N/A",100%)))</f>
        <v>N/A</v>
      </c>
      <c r="Z113" s="1680"/>
      <c r="AA113" s="1680"/>
      <c r="AB113" s="1681"/>
      <c r="AC113" s="1680">
        <f>SUM(Z113:AB113)</f>
        <v>0</v>
      </c>
      <c r="AD113" s="505" t="str">
        <f>IF(X113&gt;0,(AC113-X113)/X113,(IF(AC113=0,"N/A",100%)))</f>
        <v>N/A</v>
      </c>
      <c r="AE113" s="1680">
        <v>176</v>
      </c>
      <c r="AF113" s="1680">
        <v>0</v>
      </c>
      <c r="AG113" s="1681">
        <v>0</v>
      </c>
      <c r="AH113" s="1680">
        <f>SUM(AE113:AG113)</f>
        <v>176</v>
      </c>
      <c r="AI113" s="505">
        <f>IF(AC113&gt;0,(AH113-AC113)/AC113,(IF(AH113=0,"N/A",100%)))</f>
        <v>1</v>
      </c>
      <c r="AJ113" s="1680">
        <v>191</v>
      </c>
      <c r="AK113" s="1680">
        <v>8</v>
      </c>
      <c r="AL113" s="1681">
        <v>0</v>
      </c>
      <c r="AM113" s="1680">
        <f t="shared" si="111"/>
        <v>199</v>
      </c>
      <c r="AN113" s="1679">
        <f t="shared" si="112"/>
        <v>0.13068181818181818</v>
      </c>
      <c r="AO113" s="1680">
        <v>167</v>
      </c>
      <c r="AP113" s="1680">
        <v>42</v>
      </c>
      <c r="AQ113" s="1681">
        <v>0</v>
      </c>
      <c r="AR113" s="1680">
        <f t="shared" si="113"/>
        <v>209</v>
      </c>
      <c r="AS113" s="1679">
        <f t="shared" si="114"/>
        <v>5.0251256281407038E-2</v>
      </c>
    </row>
    <row r="114" spans="1:45" x14ac:dyDescent="0.25">
      <c r="A114" s="1319" t="s">
        <v>758</v>
      </c>
      <c r="B114" s="1677">
        <v>51</v>
      </c>
      <c r="C114" s="1677">
        <v>0</v>
      </c>
      <c r="D114" s="1896">
        <v>0</v>
      </c>
      <c r="E114" s="282">
        <f t="shared" si="98"/>
        <v>51</v>
      </c>
      <c r="F114" s="1677">
        <v>69</v>
      </c>
      <c r="G114" s="1677">
        <v>0</v>
      </c>
      <c r="H114" s="1896">
        <v>0</v>
      </c>
      <c r="I114" s="1680">
        <f t="shared" si="99"/>
        <v>69</v>
      </c>
      <c r="J114" s="505">
        <f t="shared" si="100"/>
        <v>0.35294117647058826</v>
      </c>
      <c r="K114" s="1680">
        <v>66</v>
      </c>
      <c r="L114" s="1680">
        <v>0</v>
      </c>
      <c r="M114" s="1681">
        <v>0</v>
      </c>
      <c r="N114" s="1680">
        <f t="shared" si="101"/>
        <v>66</v>
      </c>
      <c r="O114" s="1679">
        <f t="shared" si="102"/>
        <v>-4.3478260869565216E-2</v>
      </c>
      <c r="P114" s="1680">
        <v>48</v>
      </c>
      <c r="Q114" s="1680">
        <v>0</v>
      </c>
      <c r="R114" s="1681">
        <v>0</v>
      </c>
      <c r="S114" s="1680">
        <f t="shared" si="103"/>
        <v>48</v>
      </c>
      <c r="T114" s="505">
        <f t="shared" si="104"/>
        <v>-0.27272727272727271</v>
      </c>
      <c r="U114" s="1680">
        <v>96</v>
      </c>
      <c r="V114" s="1680">
        <v>0</v>
      </c>
      <c r="W114" s="1681">
        <v>0</v>
      </c>
      <c r="X114" s="1680">
        <f t="shared" si="105"/>
        <v>96</v>
      </c>
      <c r="Y114" s="505">
        <f t="shared" si="106"/>
        <v>1</v>
      </c>
      <c r="Z114" s="1680">
        <v>102</v>
      </c>
      <c r="AA114" s="1680">
        <v>0</v>
      </c>
      <c r="AB114" s="1681">
        <v>0</v>
      </c>
      <c r="AC114" s="1680">
        <f t="shared" si="107"/>
        <v>102</v>
      </c>
      <c r="AD114" s="505">
        <f t="shared" si="108"/>
        <v>6.25E-2</v>
      </c>
      <c r="AE114" s="1680">
        <v>0</v>
      </c>
      <c r="AF114" s="1680">
        <v>0</v>
      </c>
      <c r="AG114" s="1681">
        <v>0</v>
      </c>
      <c r="AH114" s="1680">
        <f t="shared" si="109"/>
        <v>0</v>
      </c>
      <c r="AI114" s="505">
        <f t="shared" si="110"/>
        <v>-1</v>
      </c>
      <c r="AJ114" s="1680">
        <v>0</v>
      </c>
      <c r="AK114" s="1680">
        <v>0</v>
      </c>
      <c r="AL114" s="1681">
        <v>0</v>
      </c>
      <c r="AM114" s="1680">
        <f t="shared" si="111"/>
        <v>0</v>
      </c>
      <c r="AN114" s="1679" t="str">
        <f t="shared" si="112"/>
        <v>N/A</v>
      </c>
      <c r="AO114" s="1680">
        <v>0</v>
      </c>
      <c r="AP114" s="1680">
        <v>0</v>
      </c>
      <c r="AQ114" s="1681">
        <v>0</v>
      </c>
      <c r="AR114" s="1680">
        <f t="shared" si="113"/>
        <v>0</v>
      </c>
      <c r="AS114" s="1679" t="str">
        <f t="shared" si="114"/>
        <v>N/A</v>
      </c>
    </row>
    <row r="115" spans="1:45" x14ac:dyDescent="0.25">
      <c r="A115" s="1319" t="s">
        <v>1054</v>
      </c>
      <c r="B115" s="1677">
        <v>0</v>
      </c>
      <c r="C115" s="1677">
        <v>0</v>
      </c>
      <c r="D115" s="1896">
        <v>0</v>
      </c>
      <c r="E115" s="282">
        <f t="shared" si="98"/>
        <v>0</v>
      </c>
      <c r="F115" s="1677">
        <v>0</v>
      </c>
      <c r="G115" s="1677">
        <v>0</v>
      </c>
      <c r="H115" s="1896">
        <v>0</v>
      </c>
      <c r="I115" s="1680">
        <f t="shared" si="99"/>
        <v>0</v>
      </c>
      <c r="J115" s="505" t="str">
        <f t="shared" si="100"/>
        <v>N/A</v>
      </c>
      <c r="K115" s="1680">
        <v>0</v>
      </c>
      <c r="L115" s="1680">
        <v>0</v>
      </c>
      <c r="M115" s="1681">
        <v>0</v>
      </c>
      <c r="N115" s="1680">
        <f t="shared" si="101"/>
        <v>0</v>
      </c>
      <c r="O115" s="1679" t="str">
        <f t="shared" si="102"/>
        <v>N/A</v>
      </c>
      <c r="P115" s="1680">
        <v>0</v>
      </c>
      <c r="Q115" s="1680">
        <v>0</v>
      </c>
      <c r="R115" s="1681">
        <v>0</v>
      </c>
      <c r="S115" s="1680">
        <f t="shared" si="103"/>
        <v>0</v>
      </c>
      <c r="T115" s="505" t="str">
        <f t="shared" si="104"/>
        <v>N/A</v>
      </c>
      <c r="U115" s="1680">
        <v>0</v>
      </c>
      <c r="V115" s="1680">
        <v>0</v>
      </c>
      <c r="W115" s="1681">
        <v>0</v>
      </c>
      <c r="X115" s="1680">
        <f t="shared" si="105"/>
        <v>0</v>
      </c>
      <c r="Y115" s="505" t="str">
        <f t="shared" si="106"/>
        <v>N/A</v>
      </c>
      <c r="Z115" s="1680">
        <v>0</v>
      </c>
      <c r="AA115" s="1680">
        <v>0</v>
      </c>
      <c r="AB115" s="1681">
        <v>0</v>
      </c>
      <c r="AC115" s="1680">
        <f t="shared" si="107"/>
        <v>0</v>
      </c>
      <c r="AD115" s="505" t="str">
        <f t="shared" si="108"/>
        <v>N/A</v>
      </c>
      <c r="AE115" s="1680">
        <v>0</v>
      </c>
      <c r="AF115" s="1680">
        <v>0</v>
      </c>
      <c r="AG115" s="1681">
        <v>0</v>
      </c>
      <c r="AH115" s="1680">
        <f t="shared" si="109"/>
        <v>0</v>
      </c>
      <c r="AI115" s="505" t="str">
        <f t="shared" si="110"/>
        <v>N/A</v>
      </c>
      <c r="AJ115" s="1680">
        <v>30</v>
      </c>
      <c r="AK115" s="1680">
        <v>6</v>
      </c>
      <c r="AL115" s="1681">
        <v>0</v>
      </c>
      <c r="AM115" s="1680">
        <f t="shared" si="111"/>
        <v>36</v>
      </c>
      <c r="AN115" s="1679">
        <f t="shared" si="112"/>
        <v>1</v>
      </c>
      <c r="AO115" s="1680">
        <v>60</v>
      </c>
      <c r="AP115" s="1680">
        <v>0</v>
      </c>
      <c r="AQ115" s="1681">
        <v>0</v>
      </c>
      <c r="AR115" s="1680">
        <f t="shared" si="113"/>
        <v>60</v>
      </c>
      <c r="AS115" s="1679">
        <f t="shared" si="114"/>
        <v>0.66666666666666663</v>
      </c>
    </row>
    <row r="116" spans="1:45" x14ac:dyDescent="0.25">
      <c r="A116" s="1319" t="s">
        <v>1055</v>
      </c>
      <c r="B116" s="1677">
        <v>0</v>
      </c>
      <c r="C116" s="1677">
        <v>87</v>
      </c>
      <c r="D116" s="1896">
        <v>0</v>
      </c>
      <c r="E116" s="282">
        <f t="shared" si="98"/>
        <v>87</v>
      </c>
      <c r="F116" s="1677">
        <v>0</v>
      </c>
      <c r="G116" s="1677">
        <v>48</v>
      </c>
      <c r="H116" s="1896">
        <v>0</v>
      </c>
      <c r="I116" s="1680">
        <f t="shared" si="99"/>
        <v>48</v>
      </c>
      <c r="J116" s="505">
        <f t="shared" si="100"/>
        <v>-0.44827586206896552</v>
      </c>
      <c r="K116" s="1680">
        <v>0</v>
      </c>
      <c r="L116" s="1680">
        <v>108</v>
      </c>
      <c r="M116" s="1681">
        <v>0</v>
      </c>
      <c r="N116" s="1680">
        <f t="shared" si="101"/>
        <v>108</v>
      </c>
      <c r="O116" s="1679">
        <f t="shared" si="102"/>
        <v>1.25</v>
      </c>
      <c r="P116" s="1680">
        <v>0</v>
      </c>
      <c r="Q116" s="1680">
        <v>87</v>
      </c>
      <c r="R116" s="1681">
        <v>0</v>
      </c>
      <c r="S116" s="1680">
        <f t="shared" si="103"/>
        <v>87</v>
      </c>
      <c r="T116" s="505">
        <f t="shared" si="104"/>
        <v>-0.19444444444444445</v>
      </c>
      <c r="U116" s="1680">
        <v>0</v>
      </c>
      <c r="V116" s="1680">
        <v>60</v>
      </c>
      <c r="W116" s="1681">
        <v>0</v>
      </c>
      <c r="X116" s="1680">
        <f t="shared" si="105"/>
        <v>60</v>
      </c>
      <c r="Y116" s="505">
        <f t="shared" si="106"/>
        <v>-0.31034482758620691</v>
      </c>
      <c r="Z116" s="1680">
        <v>0</v>
      </c>
      <c r="AA116" s="1680">
        <v>132</v>
      </c>
      <c r="AB116" s="1681">
        <v>0</v>
      </c>
      <c r="AC116" s="1680">
        <f t="shared" si="107"/>
        <v>132</v>
      </c>
      <c r="AD116" s="505">
        <f t="shared" si="108"/>
        <v>1.2</v>
      </c>
      <c r="AE116" s="1680">
        <v>0</v>
      </c>
      <c r="AF116" s="1680">
        <v>120</v>
      </c>
      <c r="AG116" s="1681">
        <v>0</v>
      </c>
      <c r="AH116" s="1680">
        <f t="shared" si="109"/>
        <v>120</v>
      </c>
      <c r="AI116" s="505">
        <f t="shared" si="110"/>
        <v>-9.0909090909090912E-2</v>
      </c>
      <c r="AJ116" s="1680">
        <v>0</v>
      </c>
      <c r="AK116" s="1680">
        <v>86</v>
      </c>
      <c r="AL116" s="1681">
        <v>0</v>
      </c>
      <c r="AM116" s="1680">
        <f t="shared" si="111"/>
        <v>86</v>
      </c>
      <c r="AN116" s="1679">
        <f t="shared" si="112"/>
        <v>-0.28333333333333333</v>
      </c>
      <c r="AO116" s="1680">
        <v>0</v>
      </c>
      <c r="AP116" s="1680">
        <v>96</v>
      </c>
      <c r="AQ116" s="1681">
        <v>0</v>
      </c>
      <c r="AR116" s="1680">
        <f t="shared" si="113"/>
        <v>96</v>
      </c>
      <c r="AS116" s="1679">
        <f t="shared" si="114"/>
        <v>0.11627906976744186</v>
      </c>
    </row>
    <row r="117" spans="1:45" x14ac:dyDescent="0.25">
      <c r="A117" s="1319" t="s">
        <v>1056</v>
      </c>
      <c r="B117" s="1677">
        <v>0</v>
      </c>
      <c r="C117" s="1677">
        <v>0</v>
      </c>
      <c r="D117" s="1896">
        <v>0</v>
      </c>
      <c r="E117" s="282">
        <f t="shared" si="98"/>
        <v>0</v>
      </c>
      <c r="F117" s="1677">
        <v>0</v>
      </c>
      <c r="G117" s="1677">
        <v>0</v>
      </c>
      <c r="H117" s="1896">
        <v>0</v>
      </c>
      <c r="I117" s="1680">
        <f t="shared" si="99"/>
        <v>0</v>
      </c>
      <c r="J117" s="505" t="str">
        <f t="shared" si="100"/>
        <v>N/A</v>
      </c>
      <c r="K117" s="1680">
        <v>0</v>
      </c>
      <c r="L117" s="1680">
        <v>0</v>
      </c>
      <c r="M117" s="1681">
        <v>0</v>
      </c>
      <c r="N117" s="1680">
        <f t="shared" si="101"/>
        <v>0</v>
      </c>
      <c r="O117" s="1679" t="str">
        <f t="shared" si="102"/>
        <v>N/A</v>
      </c>
      <c r="P117" s="1680">
        <v>0</v>
      </c>
      <c r="Q117" s="1680">
        <v>0</v>
      </c>
      <c r="R117" s="1681">
        <v>0</v>
      </c>
      <c r="S117" s="1680">
        <f t="shared" si="103"/>
        <v>0</v>
      </c>
      <c r="T117" s="505" t="str">
        <f t="shared" si="104"/>
        <v>N/A</v>
      </c>
      <c r="U117" s="1680">
        <v>13</v>
      </c>
      <c r="V117" s="1680">
        <v>0</v>
      </c>
      <c r="W117" s="1681">
        <v>0</v>
      </c>
      <c r="X117" s="1680">
        <f t="shared" si="105"/>
        <v>13</v>
      </c>
      <c r="Y117" s="505">
        <f t="shared" si="106"/>
        <v>1</v>
      </c>
      <c r="Z117" s="1680">
        <v>0</v>
      </c>
      <c r="AA117" s="1680">
        <v>0</v>
      </c>
      <c r="AB117" s="1681">
        <v>0</v>
      </c>
      <c r="AC117" s="1680">
        <f t="shared" si="107"/>
        <v>0</v>
      </c>
      <c r="AD117" s="505">
        <f t="shared" si="108"/>
        <v>-1</v>
      </c>
      <c r="AE117" s="1680">
        <v>1</v>
      </c>
      <c r="AF117" s="1680">
        <v>0</v>
      </c>
      <c r="AG117" s="1681">
        <v>0</v>
      </c>
      <c r="AH117" s="1680">
        <f t="shared" si="109"/>
        <v>1</v>
      </c>
      <c r="AI117" s="505">
        <f t="shared" si="110"/>
        <v>1</v>
      </c>
      <c r="AJ117" s="1680">
        <v>0</v>
      </c>
      <c r="AK117" s="1680">
        <v>0</v>
      </c>
      <c r="AL117" s="1681">
        <v>0</v>
      </c>
      <c r="AM117" s="1680">
        <f t="shared" si="111"/>
        <v>0</v>
      </c>
      <c r="AN117" s="1679">
        <f t="shared" si="112"/>
        <v>-1</v>
      </c>
      <c r="AO117" s="1680">
        <v>0</v>
      </c>
      <c r="AP117" s="1680">
        <v>0</v>
      </c>
      <c r="AQ117" s="1681">
        <v>0</v>
      </c>
      <c r="AR117" s="1680">
        <f t="shared" si="113"/>
        <v>0</v>
      </c>
      <c r="AS117" s="1679" t="str">
        <f t="shared" si="114"/>
        <v>N/A</v>
      </c>
    </row>
    <row r="118" spans="1:45" x14ac:dyDescent="0.25">
      <c r="A118" s="1319" t="s">
        <v>1195</v>
      </c>
      <c r="B118" s="1677">
        <v>0</v>
      </c>
      <c r="C118" s="1677">
        <v>0</v>
      </c>
      <c r="D118" s="1896">
        <v>0</v>
      </c>
      <c r="E118" s="282">
        <f t="shared" si="98"/>
        <v>0</v>
      </c>
      <c r="F118" s="1677">
        <v>0</v>
      </c>
      <c r="G118" s="1677">
        <v>0</v>
      </c>
      <c r="H118" s="1896">
        <v>0</v>
      </c>
      <c r="I118" s="1680">
        <f t="shared" si="99"/>
        <v>0</v>
      </c>
      <c r="J118" s="505" t="str">
        <f t="shared" si="100"/>
        <v>N/A</v>
      </c>
      <c r="K118" s="1680">
        <v>0</v>
      </c>
      <c r="L118" s="1680">
        <v>0</v>
      </c>
      <c r="M118" s="1681">
        <v>0</v>
      </c>
      <c r="N118" s="1680">
        <f t="shared" si="101"/>
        <v>0</v>
      </c>
      <c r="O118" s="1679" t="str">
        <f t="shared" si="102"/>
        <v>N/A</v>
      </c>
      <c r="P118" s="1680">
        <v>0</v>
      </c>
      <c r="Q118" s="1680">
        <v>0</v>
      </c>
      <c r="R118" s="1681">
        <v>0</v>
      </c>
      <c r="S118" s="1680">
        <f t="shared" si="103"/>
        <v>0</v>
      </c>
      <c r="T118" s="505" t="str">
        <f t="shared" si="104"/>
        <v>N/A</v>
      </c>
      <c r="U118" s="1680">
        <v>0</v>
      </c>
      <c r="V118" s="1680">
        <v>0</v>
      </c>
      <c r="W118" s="1681">
        <v>0</v>
      </c>
      <c r="X118" s="1680">
        <f t="shared" si="105"/>
        <v>0</v>
      </c>
      <c r="Y118" s="505" t="str">
        <f t="shared" si="106"/>
        <v>N/A</v>
      </c>
      <c r="Z118" s="1680">
        <v>58</v>
      </c>
      <c r="AA118" s="1680">
        <v>0</v>
      </c>
      <c r="AB118" s="1681">
        <v>0</v>
      </c>
      <c r="AC118" s="1680">
        <f t="shared" si="107"/>
        <v>58</v>
      </c>
      <c r="AD118" s="505">
        <f t="shared" si="108"/>
        <v>1</v>
      </c>
      <c r="AE118" s="1680">
        <v>56</v>
      </c>
      <c r="AF118" s="1680">
        <v>0</v>
      </c>
      <c r="AG118" s="1681">
        <v>0</v>
      </c>
      <c r="AH118" s="1680">
        <f t="shared" si="109"/>
        <v>56</v>
      </c>
      <c r="AI118" s="505">
        <f t="shared" si="110"/>
        <v>-3.4482758620689655E-2</v>
      </c>
      <c r="AJ118" s="1680">
        <v>32</v>
      </c>
      <c r="AK118" s="1680">
        <v>0</v>
      </c>
      <c r="AL118" s="1681">
        <v>0</v>
      </c>
      <c r="AM118" s="1680">
        <f t="shared" si="111"/>
        <v>32</v>
      </c>
      <c r="AN118" s="1679">
        <f t="shared" si="112"/>
        <v>-0.42857142857142855</v>
      </c>
      <c r="AO118" s="1680">
        <v>105</v>
      </c>
      <c r="AP118" s="1680">
        <v>0</v>
      </c>
      <c r="AQ118" s="1681">
        <v>0</v>
      </c>
      <c r="AR118" s="1680">
        <f t="shared" si="113"/>
        <v>105</v>
      </c>
      <c r="AS118" s="1679">
        <f t="shared" si="114"/>
        <v>2.28125</v>
      </c>
    </row>
    <row r="119" spans="1:45" x14ac:dyDescent="0.25">
      <c r="A119" s="1326" t="s">
        <v>421</v>
      </c>
      <c r="B119" s="1616">
        <v>62</v>
      </c>
      <c r="C119" s="1616">
        <v>51</v>
      </c>
      <c r="D119" s="1896">
        <v>0</v>
      </c>
      <c r="E119" s="326">
        <f t="shared" si="98"/>
        <v>113</v>
      </c>
      <c r="F119" s="1616">
        <v>42</v>
      </c>
      <c r="G119" s="1616">
        <v>48</v>
      </c>
      <c r="H119" s="1896">
        <v>0</v>
      </c>
      <c r="I119" s="1683">
        <f t="shared" si="99"/>
        <v>90</v>
      </c>
      <c r="J119" s="491">
        <f t="shared" si="100"/>
        <v>-0.20353982300884957</v>
      </c>
      <c r="K119" s="1683">
        <v>57</v>
      </c>
      <c r="L119" s="1683">
        <v>41</v>
      </c>
      <c r="M119" s="1681">
        <v>0</v>
      </c>
      <c r="N119" s="1683">
        <f t="shared" si="101"/>
        <v>98</v>
      </c>
      <c r="O119" s="1881">
        <f t="shared" si="102"/>
        <v>8.8888888888888892E-2</v>
      </c>
      <c r="P119" s="1683">
        <v>55</v>
      </c>
      <c r="Q119" s="1683">
        <v>46</v>
      </c>
      <c r="R119" s="1681">
        <v>0</v>
      </c>
      <c r="S119" s="1683">
        <f t="shared" si="103"/>
        <v>101</v>
      </c>
      <c r="T119" s="491">
        <f t="shared" si="104"/>
        <v>3.0612244897959183E-2</v>
      </c>
      <c r="U119" s="1683">
        <v>45</v>
      </c>
      <c r="V119" s="1683">
        <v>38</v>
      </c>
      <c r="W119" s="1681">
        <v>0</v>
      </c>
      <c r="X119" s="1683">
        <f t="shared" si="105"/>
        <v>83</v>
      </c>
      <c r="Y119" s="491">
        <f t="shared" si="106"/>
        <v>-0.17821782178217821</v>
      </c>
      <c r="Z119" s="1683">
        <v>49</v>
      </c>
      <c r="AA119" s="1683">
        <v>37</v>
      </c>
      <c r="AB119" s="1681">
        <v>0</v>
      </c>
      <c r="AC119" s="1683">
        <f t="shared" si="107"/>
        <v>86</v>
      </c>
      <c r="AD119" s="491">
        <f t="shared" si="108"/>
        <v>3.614457831325301E-2</v>
      </c>
      <c r="AE119" s="1683">
        <v>50</v>
      </c>
      <c r="AF119" s="1683">
        <v>67</v>
      </c>
      <c r="AG119" s="1681">
        <v>0</v>
      </c>
      <c r="AH119" s="1683">
        <f t="shared" si="109"/>
        <v>117</v>
      </c>
      <c r="AI119" s="491">
        <f t="shared" si="110"/>
        <v>0.36046511627906974</v>
      </c>
      <c r="AJ119" s="1683">
        <v>46</v>
      </c>
      <c r="AK119" s="1683">
        <v>78</v>
      </c>
      <c r="AL119" s="1681">
        <v>0</v>
      </c>
      <c r="AM119" s="1683">
        <f t="shared" si="111"/>
        <v>124</v>
      </c>
      <c r="AN119" s="1881">
        <f t="shared" si="112"/>
        <v>5.9829059829059832E-2</v>
      </c>
      <c r="AO119" s="1683">
        <v>39</v>
      </c>
      <c r="AP119" s="1683">
        <v>56</v>
      </c>
      <c r="AQ119" s="1681">
        <v>0</v>
      </c>
      <c r="AR119" s="1683">
        <f t="shared" si="113"/>
        <v>95</v>
      </c>
      <c r="AS119" s="1881">
        <f t="shared" si="114"/>
        <v>-0.23387096774193547</v>
      </c>
    </row>
    <row r="120" spans="1:45" x14ac:dyDescent="0.25">
      <c r="A120" s="1326" t="s">
        <v>1653</v>
      </c>
      <c r="B120" s="1616">
        <v>0</v>
      </c>
      <c r="C120" s="1616">
        <v>0</v>
      </c>
      <c r="D120" s="1896">
        <v>0</v>
      </c>
      <c r="E120" s="326">
        <f t="shared" si="98"/>
        <v>0</v>
      </c>
      <c r="F120" s="1616">
        <v>0</v>
      </c>
      <c r="G120" s="1616">
        <v>0</v>
      </c>
      <c r="H120" s="1896">
        <v>0</v>
      </c>
      <c r="I120" s="1683">
        <f t="shared" si="99"/>
        <v>0</v>
      </c>
      <c r="J120" s="491" t="str">
        <f t="shared" si="100"/>
        <v>N/A</v>
      </c>
      <c r="K120" s="1683">
        <v>0</v>
      </c>
      <c r="L120" s="1683">
        <v>0</v>
      </c>
      <c r="M120" s="1681">
        <v>0</v>
      </c>
      <c r="N120" s="1683">
        <f t="shared" si="101"/>
        <v>0</v>
      </c>
      <c r="O120" s="1881" t="str">
        <f t="shared" si="102"/>
        <v>N/A</v>
      </c>
      <c r="P120" s="1683">
        <v>0</v>
      </c>
      <c r="Q120" s="1683">
        <v>0</v>
      </c>
      <c r="R120" s="1681">
        <v>0</v>
      </c>
      <c r="S120" s="1683">
        <f t="shared" si="103"/>
        <v>0</v>
      </c>
      <c r="T120" s="491" t="str">
        <f t="shared" si="104"/>
        <v>N/A</v>
      </c>
      <c r="U120" s="1683">
        <v>0</v>
      </c>
      <c r="V120" s="1683">
        <v>0</v>
      </c>
      <c r="W120" s="1681">
        <v>0</v>
      </c>
      <c r="X120" s="1683">
        <f t="shared" si="105"/>
        <v>0</v>
      </c>
      <c r="Y120" s="491" t="str">
        <f t="shared" si="106"/>
        <v>N/A</v>
      </c>
      <c r="Z120" s="1683">
        <v>0</v>
      </c>
      <c r="AA120" s="1683">
        <v>0</v>
      </c>
      <c r="AB120" s="1681">
        <v>0</v>
      </c>
      <c r="AC120" s="1683">
        <f t="shared" si="107"/>
        <v>0</v>
      </c>
      <c r="AD120" s="491" t="str">
        <f t="shared" si="108"/>
        <v>N/A</v>
      </c>
      <c r="AE120" s="1683">
        <v>0</v>
      </c>
      <c r="AF120" s="1683">
        <v>0</v>
      </c>
      <c r="AG120" s="1681">
        <v>0</v>
      </c>
      <c r="AH120" s="1683">
        <f t="shared" si="109"/>
        <v>0</v>
      </c>
      <c r="AI120" s="491" t="str">
        <f t="shared" si="110"/>
        <v>N/A</v>
      </c>
      <c r="AJ120" s="1683">
        <v>613</v>
      </c>
      <c r="AK120" s="1683">
        <v>0</v>
      </c>
      <c r="AL120" s="1681">
        <v>0</v>
      </c>
      <c r="AM120" s="1683">
        <f t="shared" si="111"/>
        <v>613</v>
      </c>
      <c r="AN120" s="1881">
        <f t="shared" si="112"/>
        <v>1</v>
      </c>
      <c r="AO120" s="1683">
        <v>658</v>
      </c>
      <c r="AP120" s="1683">
        <v>0</v>
      </c>
      <c r="AQ120" s="1681">
        <v>0</v>
      </c>
      <c r="AR120" s="1683">
        <f t="shared" si="113"/>
        <v>658</v>
      </c>
      <c r="AS120" s="1881">
        <f t="shared" si="114"/>
        <v>7.3409461663947795E-2</v>
      </c>
    </row>
    <row r="121" spans="1:45" s="484" customFormat="1" ht="14.4" thickBot="1" x14ac:dyDescent="0.3">
      <c r="A121" s="1353" t="s">
        <v>1015</v>
      </c>
      <c r="B121" s="1354">
        <f>SUM(B111:B120)</f>
        <v>153</v>
      </c>
      <c r="C121" s="1354">
        <f>SUM(C111:C120)</f>
        <v>138</v>
      </c>
      <c r="D121" s="1354">
        <f>SUM(D111:D120)</f>
        <v>0</v>
      </c>
      <c r="E121" s="1395">
        <f>SUM(E111:E119)</f>
        <v>291</v>
      </c>
      <c r="F121" s="1354">
        <f>SUM(F111:F120)</f>
        <v>159</v>
      </c>
      <c r="G121" s="1354">
        <f>SUM(G111:G120)</f>
        <v>96</v>
      </c>
      <c r="H121" s="1354">
        <f>SUM(H111:H120)</f>
        <v>0</v>
      </c>
      <c r="I121" s="1354">
        <f>SUM(I111:I120)</f>
        <v>255</v>
      </c>
      <c r="J121" s="1356">
        <f t="shared" si="100"/>
        <v>-0.12371134020618557</v>
      </c>
      <c r="K121" s="1354">
        <f>SUM(K111:K120)</f>
        <v>235</v>
      </c>
      <c r="L121" s="1354">
        <f>SUM(L111:L120)</f>
        <v>149</v>
      </c>
      <c r="M121" s="1354">
        <f>SUM(M111:M120)</f>
        <v>0</v>
      </c>
      <c r="N121" s="1354">
        <f>SUM(N111:N120)</f>
        <v>384</v>
      </c>
      <c r="O121" s="1355">
        <f t="shared" si="102"/>
        <v>0.50588235294117645</v>
      </c>
      <c r="P121" s="1354">
        <f>SUM(P111:P120)</f>
        <v>249</v>
      </c>
      <c r="Q121" s="1354">
        <f>SUM(Q111:Q120)</f>
        <v>133</v>
      </c>
      <c r="R121" s="1354">
        <f>SUM(R111:R120)</f>
        <v>0</v>
      </c>
      <c r="S121" s="1354">
        <f>SUM(S111:S120)</f>
        <v>382</v>
      </c>
      <c r="T121" s="1356">
        <f t="shared" si="104"/>
        <v>-5.208333333333333E-3</v>
      </c>
      <c r="U121" s="1354">
        <f>SUM(U111:U120)</f>
        <v>358</v>
      </c>
      <c r="V121" s="1354">
        <f>SUM(V111:V120)</f>
        <v>98</v>
      </c>
      <c r="W121" s="1354">
        <f>SUM(W111:W120)</f>
        <v>0</v>
      </c>
      <c r="X121" s="1354">
        <f>SUM(X111:X120)</f>
        <v>456</v>
      </c>
      <c r="Y121" s="1356">
        <f t="shared" si="106"/>
        <v>0.193717277486911</v>
      </c>
      <c r="Z121" s="1354">
        <f>SUM(Z111:Z120)</f>
        <v>349</v>
      </c>
      <c r="AA121" s="1354">
        <f>SUM(AA111:AA120)</f>
        <v>169</v>
      </c>
      <c r="AB121" s="1354">
        <f>SUM(AB111:AB120)</f>
        <v>0</v>
      </c>
      <c r="AC121" s="1354">
        <f>SUM(AC111:AC120)</f>
        <v>518</v>
      </c>
      <c r="AD121" s="1356">
        <f t="shared" si="108"/>
        <v>0.13596491228070176</v>
      </c>
      <c r="AE121" s="1354">
        <f>SUM(AE111:AE120)</f>
        <v>419</v>
      </c>
      <c r="AF121" s="1354">
        <f>SUM(AF111:AF120)</f>
        <v>187</v>
      </c>
      <c r="AG121" s="1354">
        <f>SUM(AG111:AG120)</f>
        <v>0</v>
      </c>
      <c r="AH121" s="1354">
        <f>SUM(AH111:AH120)</f>
        <v>606</v>
      </c>
      <c r="AI121" s="1356">
        <f t="shared" si="110"/>
        <v>0.16988416988416988</v>
      </c>
      <c r="AJ121" s="1354">
        <f>SUM(AJ111:AJ120)</f>
        <v>1028</v>
      </c>
      <c r="AK121" s="1354">
        <f>SUM(AK111:AK120)</f>
        <v>178</v>
      </c>
      <c r="AL121" s="1354">
        <f>SUM(AL111:AL120)</f>
        <v>0</v>
      </c>
      <c r="AM121" s="1354">
        <f>SUM(AM111:AM120)</f>
        <v>1206</v>
      </c>
      <c r="AN121" s="1355">
        <f t="shared" si="112"/>
        <v>0.99009900990099009</v>
      </c>
      <c r="AO121" s="1354">
        <f>SUM(AO111:AO120)</f>
        <v>1097</v>
      </c>
      <c r="AP121" s="1354">
        <f>SUM(AP111:AP120)</f>
        <v>194</v>
      </c>
      <c r="AQ121" s="1354">
        <f>SUM(AQ111:AQ120)</f>
        <v>0</v>
      </c>
      <c r="AR121" s="1354">
        <f>SUM(AR111:AR120)</f>
        <v>1291</v>
      </c>
      <c r="AS121" s="1355">
        <f t="shared" si="114"/>
        <v>7.0480928689883912E-2</v>
      </c>
    </row>
    <row r="122" spans="1:45" s="484" customFormat="1" ht="14.25" customHeight="1" x14ac:dyDescent="0.25">
      <c r="A122" s="518"/>
      <c r="B122" s="519"/>
      <c r="C122" s="519"/>
      <c r="D122" s="519"/>
      <c r="E122" s="519"/>
      <c r="F122" s="519"/>
      <c r="G122" s="519"/>
      <c r="H122" s="519"/>
      <c r="I122" s="519"/>
      <c r="J122" s="520"/>
      <c r="Z122" s="280"/>
      <c r="AA122" s="280"/>
      <c r="AB122" s="280"/>
      <c r="AC122" s="280"/>
    </row>
    <row r="123" spans="1:45" ht="14.25" customHeight="1" thickBot="1" x14ac:dyDescent="0.3">
      <c r="A123" s="507"/>
      <c r="B123" s="286"/>
      <c r="C123" s="286"/>
      <c r="D123" s="286"/>
      <c r="E123" s="286"/>
      <c r="F123" s="286"/>
      <c r="G123" s="286"/>
      <c r="H123" s="286"/>
      <c r="I123" s="286"/>
      <c r="J123" s="504"/>
      <c r="K123" s="280"/>
      <c r="L123" s="280"/>
      <c r="M123" s="280"/>
      <c r="N123" s="280"/>
      <c r="O123" s="280"/>
      <c r="P123" s="280"/>
      <c r="Q123" s="280"/>
      <c r="R123" s="280"/>
      <c r="S123" s="280"/>
      <c r="T123" s="280"/>
      <c r="U123" s="280"/>
      <c r="V123" s="280"/>
      <c r="W123" s="280"/>
      <c r="X123" s="280"/>
      <c r="Y123" s="280"/>
      <c r="Z123" s="280"/>
      <c r="AA123" s="280"/>
      <c r="AB123" s="280"/>
      <c r="AC123" s="280"/>
      <c r="AD123" s="280"/>
      <c r="AE123" s="280"/>
      <c r="AF123" s="280"/>
      <c r="AG123" s="280"/>
      <c r="AH123" s="280"/>
      <c r="AI123" s="280"/>
      <c r="AJ123" s="280"/>
      <c r="AK123" s="280"/>
      <c r="AL123" s="280"/>
      <c r="AM123" s="280"/>
      <c r="AO123" s="280"/>
      <c r="AP123" s="280"/>
      <c r="AQ123" s="280"/>
      <c r="AR123" s="280"/>
    </row>
    <row r="124" spans="1:45" s="523" customFormat="1" ht="17.399999999999999" thickBot="1" x14ac:dyDescent="0.35">
      <c r="A124" s="1882" t="s">
        <v>1003</v>
      </c>
      <c r="B124" s="1054">
        <f t="shared" ref="B124:I124" si="115">+B121+B107+B84+B44+B23</f>
        <v>22711.5</v>
      </c>
      <c r="C124" s="1054">
        <f t="shared" si="115"/>
        <v>9603.5</v>
      </c>
      <c r="D124" s="1054">
        <f t="shared" si="115"/>
        <v>261</v>
      </c>
      <c r="E124" s="1054">
        <f t="shared" si="115"/>
        <v>32576</v>
      </c>
      <c r="F124" s="1054">
        <f t="shared" si="115"/>
        <v>24871</v>
      </c>
      <c r="G124" s="1054">
        <f t="shared" si="115"/>
        <v>10280</v>
      </c>
      <c r="H124" s="1054">
        <f t="shared" si="115"/>
        <v>408</v>
      </c>
      <c r="I124" s="1054">
        <f t="shared" si="115"/>
        <v>35559</v>
      </c>
      <c r="J124" s="1884">
        <f>IF(E124&gt;0,(I124-E124)/E124,(IF(I124=0,"N/A",100%)))</f>
        <v>9.1570481335952844E-2</v>
      </c>
      <c r="K124" s="1054">
        <f>+K121+K107+K84+K44+K23</f>
        <v>28839.5</v>
      </c>
      <c r="L124" s="1054">
        <f>+L121+L107+L84+L44+L23</f>
        <v>10586.5</v>
      </c>
      <c r="M124" s="1054">
        <f>+M121+M107+M84+M44+M23</f>
        <v>210</v>
      </c>
      <c r="N124" s="1054">
        <f>+N121+N107+N84+N44+N23</f>
        <v>39636</v>
      </c>
      <c r="O124" s="979">
        <f>IF(I124&gt;0,(N124-I124)/I124,(IF(N124=0,"N/A",100%)))</f>
        <v>0.11465451784358391</v>
      </c>
      <c r="P124" s="1054">
        <f>+P121+P107+P84+P44+P23</f>
        <v>31892</v>
      </c>
      <c r="Q124" s="1054">
        <f>+Q121+Q107+Q84+Q44+Q23</f>
        <v>10307</v>
      </c>
      <c r="R124" s="1054">
        <f>+R121+R107+R84+R44+R23</f>
        <v>402</v>
      </c>
      <c r="S124" s="1054">
        <f>+S121+S107+S84+S44+S23</f>
        <v>42601</v>
      </c>
      <c r="T124" s="979">
        <f>IF(N124&gt;0,(S124-N124)/N124,(IF(S124=0,"N/A",100%)))</f>
        <v>7.4805732162680397E-2</v>
      </c>
      <c r="U124" s="1054">
        <f>+U121+U107+U84+U44+U23</f>
        <v>31654</v>
      </c>
      <c r="V124" s="1054">
        <f>+V121+V107+V84+V44+V23</f>
        <v>10780</v>
      </c>
      <c r="W124" s="1054">
        <f>+W121+W107+W84+W44+W23</f>
        <v>156</v>
      </c>
      <c r="X124" s="1054">
        <f>+X121+X107+X84+X44+X23</f>
        <v>42590</v>
      </c>
      <c r="Y124" s="979">
        <f>IF(S124&gt;0,(X124-S124)/S124,(IF(X124=0,"N/A",100%)))</f>
        <v>-2.5820990117602873E-4</v>
      </c>
      <c r="Z124" s="1054">
        <f>+Z121+Z107+Z84+Z44+Z23</f>
        <v>30380</v>
      </c>
      <c r="AA124" s="1054">
        <f>+AA121+AA107+AA84+AA44+AA23</f>
        <v>11428</v>
      </c>
      <c r="AB124" s="1054">
        <f>+AB121+AB107+AB84+AB44+AB23</f>
        <v>366</v>
      </c>
      <c r="AC124" s="1054">
        <f>+AC121+AC107+AC84+AC44+AC23</f>
        <v>42174</v>
      </c>
      <c r="AD124" s="979">
        <f>IF(X124&gt;0,(AC124-X124)/X124,(IF(AC124=0,"N/A",100%)))</f>
        <v>-9.7675510683258981E-3</v>
      </c>
      <c r="AE124" s="1054">
        <f>+AE121+AE107+AE84+AE44+AE23</f>
        <v>28265.5</v>
      </c>
      <c r="AF124" s="1054">
        <f>+AF121+AF107+AF84+AF44+AF23</f>
        <v>11423</v>
      </c>
      <c r="AG124" s="1054">
        <f>+AG121+AG107+AG84+AG44+AG23</f>
        <v>369</v>
      </c>
      <c r="AH124" s="1054">
        <f>+AH121+AH107+AH84+AH44+AH23</f>
        <v>40057.5</v>
      </c>
      <c r="AI124" s="979">
        <f>IF(AC124&gt;0,(AH124-AC124)/AC124,(IF(AH124=0,"N/A",100%)))</f>
        <v>-5.0184948072272015E-2</v>
      </c>
      <c r="AJ124" s="1054">
        <f>+AJ121+AJ107+AJ84+AJ44+AJ23</f>
        <v>27890.5</v>
      </c>
      <c r="AK124" s="1054">
        <f>+AK121+AK107+AK84+AK44+AK23</f>
        <v>10742</v>
      </c>
      <c r="AL124" s="1054">
        <f>+AL121+AL107+AL84+AL44+AL23</f>
        <v>351</v>
      </c>
      <c r="AM124" s="1054">
        <f>+AM121+AM107+AM84+AM44+AM23</f>
        <v>38983.5</v>
      </c>
      <c r="AN124" s="979">
        <f>IF(AH124&gt;0,(AM124-AH124)/AH124,(IF(AM124=0,"N/A",100%)))</f>
        <v>-2.6811458528365476E-2</v>
      </c>
      <c r="AO124" s="1054">
        <f>+AO121+AO107+AO84+AO44+AO23</f>
        <v>27705.5</v>
      </c>
      <c r="AP124" s="1054">
        <f>+AP121+AP107+AP84+AP44+AP23</f>
        <v>10266</v>
      </c>
      <c r="AQ124" s="1054">
        <f>+AQ121+AQ107+AQ84+AQ44+AQ23</f>
        <v>159</v>
      </c>
      <c r="AR124" s="1054">
        <f>+AR121+AR107+AR84+AR44+AR23</f>
        <v>38130.5</v>
      </c>
      <c r="AS124" s="1885">
        <f>IF(AM124&gt;0,(AR124-AM124)/AM124,(IF(AR124=0,"N/A",100%)))</f>
        <v>-2.1881052240050276E-2</v>
      </c>
    </row>
    <row r="125" spans="1:45" x14ac:dyDescent="0.25">
      <c r="A125" s="2144" t="s">
        <v>1066</v>
      </c>
      <c r="B125" s="2144"/>
      <c r="C125" s="2144"/>
      <c r="D125" s="2144"/>
      <c r="E125" s="2144"/>
      <c r="F125" s="957"/>
      <c r="G125" s="957"/>
      <c r="H125" s="957"/>
      <c r="I125" s="957"/>
      <c r="J125" s="570"/>
      <c r="K125" s="659"/>
      <c r="L125" s="280"/>
      <c r="M125" s="280"/>
      <c r="N125" s="280"/>
      <c r="O125" s="280"/>
      <c r="P125" s="659"/>
      <c r="Q125" s="280"/>
      <c r="R125" s="280"/>
      <c r="S125" s="280"/>
      <c r="T125" s="280"/>
      <c r="U125" s="659"/>
      <c r="V125" s="280"/>
      <c r="W125" s="280"/>
      <c r="X125" s="280"/>
      <c r="Y125" s="280"/>
      <c r="Z125" s="280"/>
      <c r="AA125" s="280"/>
      <c r="AB125" s="280"/>
      <c r="AC125" s="280"/>
      <c r="AD125" s="280"/>
      <c r="AE125" s="659"/>
      <c r="AF125" s="280"/>
      <c r="AG125" s="280"/>
      <c r="AH125" s="280"/>
      <c r="AI125" s="280"/>
    </row>
    <row r="126" spans="1:45" x14ac:dyDescent="0.25">
      <c r="A126" s="2141"/>
      <c r="B126" s="2141"/>
      <c r="C126" s="2141"/>
      <c r="D126" s="2141"/>
      <c r="E126" s="2141"/>
      <c r="F126" s="583"/>
      <c r="G126" s="583"/>
      <c r="H126" s="583"/>
      <c r="I126" s="583"/>
      <c r="J126" s="583"/>
      <c r="K126" s="659"/>
      <c r="L126" s="280"/>
      <c r="N126" s="280"/>
      <c r="O126" s="280"/>
      <c r="P126" s="659"/>
      <c r="Q126" s="280"/>
      <c r="S126" s="280"/>
      <c r="T126" s="280"/>
      <c r="U126" s="659"/>
      <c r="V126" s="280"/>
      <c r="X126" s="280"/>
      <c r="Y126" s="280"/>
      <c r="Z126" s="280"/>
      <c r="AA126" s="280"/>
      <c r="AB126" s="280"/>
      <c r="AC126" s="280"/>
      <c r="AD126" s="280"/>
      <c r="AE126" s="659"/>
      <c r="AF126" s="280"/>
      <c r="AG126" s="280"/>
      <c r="AH126" s="280"/>
      <c r="AI126" s="280"/>
      <c r="AJ126" s="958"/>
    </row>
    <row r="127" spans="1:45" x14ac:dyDescent="0.25">
      <c r="A127" s="121"/>
      <c r="B127" s="286"/>
      <c r="C127" s="286"/>
      <c r="D127" s="121"/>
      <c r="E127" s="286"/>
      <c r="F127" s="286"/>
      <c r="G127" s="286"/>
      <c r="H127" s="121"/>
      <c r="I127" s="286"/>
      <c r="J127" s="121"/>
      <c r="K127" s="659"/>
      <c r="M127" s="280"/>
      <c r="N127" s="280"/>
      <c r="O127" s="280"/>
      <c r="P127" s="659"/>
      <c r="R127" s="280"/>
      <c r="S127" s="280"/>
      <c r="T127" s="280"/>
      <c r="U127" s="659"/>
      <c r="W127" s="280"/>
      <c r="X127" s="280"/>
      <c r="Y127" s="280"/>
      <c r="Z127" s="280"/>
      <c r="AA127" s="280"/>
      <c r="AB127" s="280"/>
      <c r="AC127" s="280"/>
      <c r="AD127" s="121"/>
      <c r="AE127" s="121"/>
      <c r="AF127" s="121"/>
      <c r="AG127" s="121"/>
      <c r="AH127" s="121"/>
      <c r="AI127" s="121"/>
      <c r="AJ127" s="958"/>
    </row>
    <row r="128" spans="1:45" x14ac:dyDescent="0.25">
      <c r="A128" s="121"/>
      <c r="B128" s="286"/>
      <c r="C128" s="286"/>
      <c r="D128" s="286"/>
      <c r="E128" s="286"/>
      <c r="F128" s="286"/>
      <c r="G128" s="286"/>
      <c r="H128" s="121"/>
      <c r="I128" s="286"/>
      <c r="J128" s="121"/>
      <c r="K128" s="659"/>
      <c r="L128" s="659"/>
      <c r="M128" s="659"/>
      <c r="N128" s="659"/>
      <c r="O128" s="280"/>
      <c r="P128" s="659"/>
      <c r="Q128" s="659"/>
      <c r="R128" s="659"/>
      <c r="S128" s="659"/>
      <c r="T128" s="280"/>
      <c r="U128" s="659"/>
      <c r="V128" s="659"/>
      <c r="W128" s="659"/>
      <c r="X128" s="659"/>
      <c r="Y128" s="280"/>
      <c r="Z128" s="280"/>
      <c r="AA128" s="280"/>
      <c r="AB128" s="280"/>
      <c r="AC128" s="280"/>
      <c r="AD128" s="121"/>
      <c r="AE128" s="121"/>
      <c r="AF128" s="121"/>
      <c r="AG128" s="121"/>
      <c r="AH128" s="121"/>
      <c r="AI128" s="121"/>
    </row>
    <row r="129" spans="1:35" x14ac:dyDescent="0.25">
      <c r="A129" s="121"/>
      <c r="B129" s="121"/>
      <c r="C129" s="121"/>
      <c r="D129" s="121"/>
      <c r="E129" s="121"/>
      <c r="F129" s="121"/>
      <c r="G129" s="121"/>
      <c r="H129" s="121"/>
      <c r="I129" s="121"/>
      <c r="J129" s="121"/>
      <c r="K129" s="280"/>
      <c r="L129" s="280"/>
      <c r="M129" s="280"/>
      <c r="N129" s="280"/>
      <c r="O129" s="280"/>
      <c r="P129" s="280"/>
      <c r="Q129" s="280"/>
      <c r="R129" s="280"/>
      <c r="S129" s="280"/>
      <c r="T129" s="280"/>
      <c r="U129" s="280"/>
      <c r="V129" s="280"/>
      <c r="W129" s="280"/>
      <c r="X129" s="280"/>
      <c r="Y129" s="280"/>
      <c r="Z129" s="280"/>
      <c r="AA129" s="280"/>
      <c r="AB129" s="280"/>
      <c r="AC129" s="280"/>
      <c r="AD129" s="121"/>
      <c r="AE129" s="121"/>
      <c r="AF129" s="121"/>
      <c r="AG129" s="121"/>
      <c r="AH129" s="121"/>
      <c r="AI129" s="121"/>
    </row>
    <row r="130" spans="1:35" x14ac:dyDescent="0.25">
      <c r="A130" s="121"/>
      <c r="B130" s="121"/>
      <c r="C130" s="121"/>
      <c r="D130" s="121"/>
      <c r="E130" s="121"/>
      <c r="F130" s="121"/>
      <c r="G130" s="121"/>
      <c r="H130" s="121"/>
      <c r="I130" s="121"/>
      <c r="J130" s="121"/>
      <c r="K130" s="280"/>
      <c r="L130" s="280"/>
      <c r="M130" s="280"/>
      <c r="N130" s="280"/>
      <c r="O130" s="280"/>
      <c r="P130" s="280"/>
      <c r="Q130" s="280"/>
      <c r="R130" s="280"/>
      <c r="S130" s="280"/>
      <c r="T130" s="280"/>
      <c r="U130" s="280"/>
      <c r="V130" s="280"/>
      <c r="W130" s="280"/>
      <c r="X130" s="280"/>
      <c r="Y130" s="280"/>
      <c r="Z130" s="280"/>
      <c r="AA130" s="280"/>
      <c r="AB130" s="280"/>
      <c r="AC130" s="280"/>
      <c r="AD130" s="121"/>
      <c r="AE130" s="121"/>
      <c r="AF130" s="121"/>
      <c r="AG130" s="121"/>
      <c r="AH130" s="121"/>
      <c r="AI130" s="121"/>
    </row>
    <row r="131" spans="1:35" x14ac:dyDescent="0.25">
      <c r="A131" s="121"/>
      <c r="B131" s="121"/>
      <c r="C131" s="121"/>
      <c r="D131" s="121"/>
      <c r="E131" s="121"/>
      <c r="F131" s="121"/>
      <c r="G131" s="121"/>
      <c r="H131" s="121"/>
      <c r="I131" s="121"/>
      <c r="J131" s="121"/>
      <c r="K131" s="280"/>
      <c r="L131" s="280"/>
      <c r="M131" s="280"/>
      <c r="N131" s="280"/>
      <c r="O131" s="280"/>
      <c r="P131" s="280"/>
      <c r="Q131" s="280"/>
      <c r="R131" s="280"/>
      <c r="S131" s="280"/>
      <c r="T131" s="280"/>
      <c r="U131" s="280"/>
      <c r="V131" s="280"/>
      <c r="W131" s="280"/>
      <c r="X131" s="280"/>
      <c r="Y131" s="280"/>
      <c r="Z131" s="280"/>
      <c r="AA131" s="280"/>
      <c r="AB131" s="280"/>
      <c r="AC131" s="280"/>
      <c r="AD131" s="121"/>
      <c r="AE131" s="121"/>
      <c r="AF131" s="121"/>
      <c r="AG131" s="121"/>
      <c r="AH131" s="121"/>
      <c r="AI131" s="121"/>
    </row>
    <row r="132" spans="1:35" x14ac:dyDescent="0.25">
      <c r="A132" s="121"/>
      <c r="B132" s="121"/>
      <c r="C132" s="121"/>
      <c r="D132" s="121"/>
      <c r="E132" s="121"/>
      <c r="F132" s="121"/>
      <c r="G132" s="121"/>
      <c r="H132" s="121"/>
      <c r="I132" s="121"/>
      <c r="J132" s="121"/>
      <c r="K132" s="280"/>
      <c r="L132" s="280"/>
      <c r="M132" s="280"/>
      <c r="N132" s="280"/>
      <c r="O132" s="280"/>
      <c r="P132" s="280"/>
      <c r="Q132" s="280"/>
      <c r="R132" s="280"/>
      <c r="S132" s="280"/>
      <c r="T132" s="280"/>
      <c r="U132" s="280"/>
      <c r="V132" s="280"/>
      <c r="W132" s="280"/>
      <c r="X132" s="280"/>
      <c r="Y132" s="280"/>
      <c r="Z132" s="280"/>
      <c r="AA132" s="280"/>
      <c r="AB132" s="280"/>
      <c r="AC132" s="280"/>
      <c r="AD132" s="121"/>
      <c r="AE132" s="121"/>
      <c r="AF132" s="121"/>
      <c r="AG132" s="121"/>
      <c r="AH132" s="121"/>
      <c r="AI132" s="121"/>
    </row>
    <row r="133" spans="1:35" x14ac:dyDescent="0.25">
      <c r="A133" s="121"/>
      <c r="B133" s="121"/>
      <c r="C133" s="121"/>
      <c r="D133" s="121"/>
      <c r="E133" s="286"/>
      <c r="F133" s="121"/>
      <c r="G133" s="121"/>
      <c r="H133" s="121"/>
      <c r="I133" s="286"/>
      <c r="J133" s="121"/>
      <c r="K133" s="121"/>
      <c r="L133" s="121"/>
      <c r="M133" s="121"/>
      <c r="N133" s="280"/>
      <c r="O133" s="280"/>
      <c r="P133" s="121"/>
      <c r="Q133" s="121"/>
      <c r="R133" s="121"/>
      <c r="S133" s="280"/>
      <c r="T133" s="280"/>
      <c r="U133" s="121"/>
      <c r="V133" s="121"/>
      <c r="W133" s="121"/>
      <c r="X133" s="280"/>
      <c r="Y133" s="280"/>
      <c r="Z133" s="121"/>
      <c r="AA133" s="280"/>
      <c r="AB133" s="280"/>
      <c r="AC133" s="280"/>
      <c r="AD133" s="121"/>
      <c r="AE133" s="121"/>
      <c r="AF133" s="121"/>
      <c r="AG133" s="121"/>
      <c r="AH133" s="121"/>
      <c r="AI133" s="121"/>
    </row>
    <row r="134" spans="1:35" x14ac:dyDescent="0.25">
      <c r="A134" s="121"/>
      <c r="B134" s="121"/>
      <c r="C134" s="121"/>
      <c r="D134" s="121"/>
      <c r="E134" s="286"/>
      <c r="F134" s="121"/>
      <c r="G134" s="121"/>
      <c r="H134" s="121"/>
      <c r="I134" s="286"/>
      <c r="J134" s="121"/>
      <c r="K134" s="121"/>
      <c r="L134" s="121"/>
      <c r="M134" s="121"/>
      <c r="N134" s="280"/>
      <c r="O134" s="280"/>
      <c r="P134" s="121"/>
      <c r="Q134" s="121"/>
      <c r="R134" s="121"/>
      <c r="S134" s="280"/>
      <c r="T134" s="280"/>
      <c r="U134" s="121"/>
      <c r="V134" s="121"/>
      <c r="W134" s="121"/>
      <c r="X134" s="280"/>
      <c r="Y134" s="280"/>
      <c r="Z134" s="121"/>
      <c r="AA134" s="280"/>
      <c r="AB134" s="280"/>
      <c r="AC134" s="280"/>
      <c r="AD134" s="121"/>
      <c r="AE134" s="121"/>
      <c r="AF134" s="121"/>
      <c r="AG134" s="121"/>
      <c r="AH134" s="121"/>
      <c r="AI134" s="121"/>
    </row>
    <row r="135" spans="1:35" x14ac:dyDescent="0.25">
      <c r="A135" s="121"/>
      <c r="B135" s="121"/>
      <c r="C135" s="121"/>
      <c r="D135" s="121"/>
      <c r="E135" s="121"/>
      <c r="F135" s="121"/>
      <c r="G135" s="121"/>
      <c r="H135" s="121"/>
      <c r="I135" s="121"/>
      <c r="J135" s="121"/>
      <c r="K135" s="121"/>
      <c r="L135" s="121"/>
      <c r="M135" s="121"/>
      <c r="N135" s="280"/>
      <c r="O135" s="280"/>
      <c r="P135" s="121"/>
      <c r="Q135" s="121"/>
      <c r="R135" s="121"/>
      <c r="S135" s="280"/>
      <c r="T135" s="280"/>
      <c r="U135" s="121"/>
      <c r="V135" s="121"/>
      <c r="W135" s="121"/>
      <c r="X135" s="280"/>
      <c r="Y135" s="280"/>
      <c r="Z135" s="121"/>
      <c r="AA135" s="280"/>
      <c r="AB135" s="280"/>
      <c r="AC135" s="280"/>
      <c r="AD135" s="121"/>
      <c r="AE135" s="121"/>
      <c r="AF135" s="121"/>
      <c r="AG135" s="121"/>
      <c r="AH135" s="121"/>
      <c r="AI135" s="121"/>
    </row>
    <row r="136" spans="1:35" x14ac:dyDescent="0.25">
      <c r="A136" s="121"/>
      <c r="B136" s="121"/>
      <c r="C136" s="121"/>
      <c r="D136" s="121"/>
      <c r="E136" s="121"/>
      <c r="F136" s="121"/>
      <c r="G136" s="121"/>
      <c r="H136" s="121"/>
      <c r="I136" s="121"/>
      <c r="J136" s="121"/>
      <c r="K136" s="121"/>
      <c r="L136" s="121"/>
      <c r="M136" s="121"/>
      <c r="N136" s="280"/>
      <c r="O136" s="280"/>
      <c r="P136" s="121"/>
      <c r="Q136" s="121"/>
      <c r="R136" s="121"/>
      <c r="S136" s="280"/>
      <c r="T136" s="280"/>
      <c r="U136" s="121"/>
      <c r="V136" s="121"/>
      <c r="W136" s="121"/>
      <c r="X136" s="280"/>
      <c r="Y136" s="280"/>
      <c r="Z136" s="121"/>
      <c r="AA136" s="280"/>
      <c r="AB136" s="280"/>
      <c r="AC136" s="280"/>
      <c r="AD136" s="121"/>
      <c r="AE136" s="121"/>
      <c r="AF136" s="121"/>
      <c r="AG136" s="121"/>
      <c r="AH136" s="121"/>
      <c r="AI136" s="121"/>
    </row>
    <row r="137" spans="1:35" x14ac:dyDescent="0.25">
      <c r="A137" s="121"/>
      <c r="B137" s="121"/>
      <c r="C137" s="121"/>
      <c r="D137" s="121"/>
      <c r="E137" s="121"/>
      <c r="F137" s="121"/>
      <c r="G137" s="121"/>
      <c r="H137" s="121"/>
      <c r="I137" s="121"/>
      <c r="J137" s="121"/>
      <c r="K137" s="121"/>
      <c r="L137" s="121"/>
      <c r="M137" s="121"/>
      <c r="N137" s="280"/>
      <c r="O137" s="280"/>
      <c r="P137" s="121"/>
      <c r="Q137" s="121"/>
      <c r="R137" s="121"/>
      <c r="S137" s="280"/>
      <c r="T137" s="280"/>
      <c r="U137" s="121"/>
      <c r="V137" s="121"/>
      <c r="W137" s="121"/>
      <c r="X137" s="280"/>
      <c r="Y137" s="280"/>
      <c r="Z137" s="121"/>
      <c r="AA137" s="280"/>
      <c r="AB137" s="280"/>
      <c r="AC137" s="280"/>
      <c r="AD137" s="121"/>
      <c r="AE137" s="121"/>
      <c r="AF137" s="121"/>
      <c r="AG137" s="121"/>
      <c r="AH137" s="121"/>
      <c r="AI137" s="121"/>
    </row>
    <row r="138" spans="1:35" x14ac:dyDescent="0.25">
      <c r="A138" s="121"/>
      <c r="B138" s="121"/>
      <c r="C138" s="121"/>
      <c r="D138" s="121"/>
      <c r="E138" s="121"/>
      <c r="F138" s="121"/>
      <c r="G138" s="121"/>
      <c r="H138" s="121"/>
      <c r="I138" s="121"/>
      <c r="J138" s="121"/>
      <c r="K138" s="121"/>
      <c r="L138" s="121"/>
      <c r="M138" s="121"/>
      <c r="N138" s="280"/>
      <c r="O138" s="280"/>
      <c r="P138" s="121"/>
      <c r="Q138" s="121"/>
      <c r="R138" s="121"/>
      <c r="S138" s="280"/>
      <c r="T138" s="280"/>
      <c r="U138" s="121"/>
      <c r="V138" s="121"/>
      <c r="W138" s="121"/>
      <c r="X138" s="280"/>
      <c r="Y138" s="280"/>
      <c r="Z138" s="121"/>
      <c r="AA138" s="280"/>
      <c r="AB138" s="280"/>
      <c r="AC138" s="280"/>
      <c r="AD138" s="121"/>
      <c r="AE138" s="121"/>
      <c r="AF138" s="121"/>
      <c r="AG138" s="121"/>
      <c r="AH138" s="121"/>
      <c r="AI138" s="121"/>
    </row>
    <row r="139" spans="1:35" x14ac:dyDescent="0.25">
      <c r="A139" s="121"/>
      <c r="B139" s="121"/>
      <c r="C139" s="121"/>
      <c r="D139" s="121"/>
      <c r="E139" s="121"/>
      <c r="F139" s="121"/>
      <c r="G139" s="121"/>
      <c r="H139" s="121"/>
      <c r="I139" s="121"/>
      <c r="J139" s="121"/>
      <c r="K139" s="121"/>
      <c r="L139" s="121"/>
      <c r="M139" s="121"/>
      <c r="N139" s="280"/>
      <c r="O139" s="280"/>
      <c r="P139" s="121"/>
      <c r="Q139" s="121"/>
      <c r="R139" s="121"/>
      <c r="S139" s="280"/>
      <c r="T139" s="280"/>
      <c r="U139" s="121"/>
      <c r="V139" s="121"/>
      <c r="W139" s="121"/>
      <c r="X139" s="280"/>
      <c r="Y139" s="280"/>
      <c r="Z139" s="121"/>
      <c r="AA139" s="280"/>
      <c r="AB139" s="280"/>
      <c r="AC139" s="280"/>
      <c r="AD139" s="121"/>
      <c r="AE139" s="121"/>
      <c r="AF139" s="121"/>
      <c r="AG139" s="121"/>
      <c r="AH139" s="121"/>
      <c r="AI139" s="121"/>
    </row>
    <row r="140" spans="1:35" x14ac:dyDescent="0.25">
      <c r="A140" s="121"/>
      <c r="B140" s="121"/>
      <c r="C140" s="121"/>
      <c r="D140" s="121"/>
      <c r="E140" s="121"/>
      <c r="F140" s="121"/>
      <c r="G140" s="121"/>
      <c r="H140" s="121"/>
      <c r="I140" s="121"/>
      <c r="J140" s="121"/>
      <c r="K140" s="121"/>
      <c r="L140" s="121"/>
      <c r="M140" s="121"/>
      <c r="N140" s="280"/>
      <c r="O140" s="280"/>
      <c r="P140" s="121"/>
      <c r="Q140" s="121"/>
      <c r="R140" s="121"/>
      <c r="S140" s="280"/>
      <c r="T140" s="280"/>
      <c r="U140" s="121"/>
      <c r="V140" s="121"/>
      <c r="W140" s="121"/>
      <c r="X140" s="280"/>
      <c r="Y140" s="280"/>
      <c r="Z140" s="121"/>
      <c r="AA140" s="280"/>
      <c r="AB140" s="280"/>
      <c r="AC140" s="280"/>
      <c r="AD140" s="121"/>
      <c r="AE140" s="121"/>
      <c r="AF140" s="121"/>
      <c r="AG140" s="121"/>
      <c r="AH140" s="121"/>
      <c r="AI140" s="121"/>
    </row>
    <row r="141" spans="1:35" x14ac:dyDescent="0.25">
      <c r="A141" s="121"/>
      <c r="B141" s="121"/>
      <c r="C141" s="121"/>
      <c r="D141" s="121"/>
      <c r="E141" s="121"/>
      <c r="F141" s="121"/>
      <c r="G141" s="121"/>
      <c r="H141" s="121"/>
      <c r="I141" s="121"/>
      <c r="J141" s="121"/>
      <c r="K141" s="121"/>
      <c r="L141" s="121"/>
      <c r="M141" s="121"/>
      <c r="N141" s="280"/>
      <c r="O141" s="280"/>
      <c r="P141" s="121"/>
      <c r="Q141" s="121"/>
      <c r="R141" s="121"/>
      <c r="S141" s="280"/>
      <c r="T141" s="280"/>
      <c r="U141" s="121"/>
      <c r="V141" s="121"/>
      <c r="W141" s="121"/>
      <c r="X141" s="280"/>
      <c r="Y141" s="280"/>
      <c r="Z141" s="121"/>
      <c r="AA141" s="280"/>
      <c r="AB141" s="280"/>
      <c r="AC141" s="280"/>
      <c r="AD141" s="121"/>
      <c r="AE141" s="121"/>
      <c r="AF141" s="121"/>
      <c r="AG141" s="121"/>
      <c r="AH141" s="121"/>
      <c r="AI141" s="121"/>
    </row>
    <row r="142" spans="1:35" x14ac:dyDescent="0.25">
      <c r="A142" s="121"/>
      <c r="B142" s="121"/>
      <c r="C142" s="121"/>
      <c r="D142" s="121"/>
      <c r="E142" s="121"/>
      <c r="F142" s="121"/>
      <c r="G142" s="121"/>
      <c r="H142" s="121"/>
      <c r="I142" s="121"/>
      <c r="J142" s="121"/>
      <c r="K142" s="121"/>
      <c r="L142" s="121"/>
      <c r="M142" s="121"/>
      <c r="N142" s="280"/>
      <c r="O142" s="280"/>
      <c r="P142" s="121"/>
      <c r="Q142" s="121"/>
      <c r="R142" s="121"/>
      <c r="S142" s="280"/>
      <c r="T142" s="280"/>
      <c r="U142" s="121"/>
      <c r="V142" s="121"/>
      <c r="W142" s="121"/>
      <c r="X142" s="280"/>
      <c r="Y142" s="280"/>
      <c r="Z142" s="121"/>
      <c r="AA142" s="280"/>
      <c r="AB142" s="280"/>
      <c r="AC142" s="280"/>
      <c r="AD142" s="121"/>
      <c r="AE142" s="121"/>
      <c r="AF142" s="121"/>
      <c r="AG142" s="121"/>
      <c r="AH142" s="121"/>
      <c r="AI142" s="121"/>
    </row>
    <row r="143" spans="1:35" x14ac:dyDescent="0.25">
      <c r="A143" s="121"/>
      <c r="B143" s="121"/>
      <c r="C143" s="121"/>
      <c r="D143" s="121"/>
      <c r="E143" s="121"/>
      <c r="F143" s="121"/>
      <c r="G143" s="121"/>
      <c r="H143" s="121"/>
      <c r="I143" s="121"/>
      <c r="J143" s="121"/>
      <c r="K143" s="121"/>
      <c r="L143" s="121"/>
      <c r="M143" s="121"/>
      <c r="N143" s="280"/>
      <c r="O143" s="280"/>
      <c r="P143" s="121"/>
      <c r="Q143" s="121"/>
      <c r="R143" s="121"/>
      <c r="S143" s="280"/>
      <c r="T143" s="280"/>
      <c r="U143" s="121"/>
      <c r="V143" s="121"/>
      <c r="W143" s="121"/>
      <c r="X143" s="280"/>
      <c r="Y143" s="280"/>
      <c r="Z143" s="121"/>
      <c r="AA143" s="280"/>
      <c r="AB143" s="280"/>
      <c r="AC143" s="280"/>
      <c r="AD143" s="121"/>
      <c r="AE143" s="121"/>
      <c r="AF143" s="121"/>
      <c r="AG143" s="121"/>
      <c r="AH143" s="121"/>
      <c r="AI143" s="121"/>
    </row>
  </sheetData>
  <mergeCells count="15">
    <mergeCell ref="A3:AS3"/>
    <mergeCell ref="A1:AS1"/>
    <mergeCell ref="K89:O89"/>
    <mergeCell ref="A126:E126"/>
    <mergeCell ref="A4:A5"/>
    <mergeCell ref="A27:A28"/>
    <mergeCell ref="A88:A89"/>
    <mergeCell ref="A48:A49"/>
    <mergeCell ref="A125:E125"/>
    <mergeCell ref="K5:O5"/>
    <mergeCell ref="K28:O28"/>
    <mergeCell ref="K49:O49"/>
    <mergeCell ref="A87:AS87"/>
    <mergeCell ref="A47:AS47"/>
    <mergeCell ref="A26:AS26"/>
  </mergeCells>
  <phoneticPr fontId="16" type="noConversion"/>
  <printOptions horizontalCentered="1" verticalCentered="1"/>
  <pageMargins left="0.25" right="0.49" top="0.2" bottom="0.38" header="0.17" footer="0.25"/>
  <pageSetup paperSize="5" scale="54" orientation="landscape" r:id="rId1"/>
  <headerFooter alignWithMargins="0">
    <oddFooter>&amp;RSource: Office of Institutional Research</oddFooter>
  </headerFooter>
  <rowBreaks count="1" manualBreakCount="1">
    <brk id="46" max="29" man="1"/>
  </rowBreaks>
  <webPublishItems count="1">
    <webPublishItem id="31505" divId="2004_2005 FACT BOOK WORKING COPY_31505" sourceType="sheet" destinationFile="C:\Documents and Settings\mkirkpatrick\My Documents\2005-2006 Fact Book\2005-2006 WEB PAGES\05-06fall2005CHP.htm"/>
  </webPublishItem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V142"/>
  <sheetViews>
    <sheetView zoomScale="60" zoomScaleNormal="60" workbookViewId="0">
      <selection sqref="A1:AS1"/>
    </sheetView>
  </sheetViews>
  <sheetFormatPr defaultColWidth="6.6640625" defaultRowHeight="13.2" x14ac:dyDescent="0.25"/>
  <cols>
    <col min="1" max="1" width="55.6640625" style="119" customWidth="1"/>
    <col min="2" max="5" width="10.33203125" style="119" hidden="1" customWidth="1"/>
    <col min="6" max="20" width="11.33203125" style="119" hidden="1" customWidth="1"/>
    <col min="21" max="34" width="11.33203125" style="119" customWidth="1"/>
    <col min="35" max="35" width="12" style="119" customWidth="1"/>
    <col min="36" max="175" width="11.33203125" style="119" customWidth="1"/>
    <col min="176" max="16384" width="6.6640625" style="119"/>
  </cols>
  <sheetData>
    <row r="1" spans="1:45" ht="24.75" customHeight="1" x14ac:dyDescent="0.35">
      <c r="A1" s="2137" t="s">
        <v>909</v>
      </c>
      <c r="B1" s="2137"/>
      <c r="C1" s="2137"/>
      <c r="D1" s="2137"/>
      <c r="E1" s="2137"/>
      <c r="F1" s="2137"/>
      <c r="G1" s="2137"/>
      <c r="H1" s="2137"/>
      <c r="I1" s="2137"/>
      <c r="J1" s="2137"/>
      <c r="K1" s="2137"/>
      <c r="L1" s="2137"/>
      <c r="M1" s="2137"/>
      <c r="N1" s="2137"/>
      <c r="O1" s="2137"/>
      <c r="P1" s="2137"/>
      <c r="Q1" s="2137"/>
      <c r="R1" s="2137"/>
      <c r="S1" s="2137"/>
      <c r="T1" s="2137"/>
      <c r="U1" s="2137"/>
      <c r="V1" s="2137"/>
      <c r="W1" s="2137"/>
      <c r="X1" s="2137"/>
      <c r="Y1" s="2137"/>
      <c r="Z1" s="2137"/>
      <c r="AA1" s="2137"/>
      <c r="AB1" s="2137"/>
      <c r="AC1" s="2137"/>
      <c r="AD1" s="2137"/>
      <c r="AE1" s="2137"/>
      <c r="AF1" s="2137"/>
      <c r="AG1" s="2137"/>
      <c r="AH1" s="2137"/>
      <c r="AI1" s="2137"/>
      <c r="AJ1" s="2137"/>
      <c r="AK1" s="2137"/>
      <c r="AL1" s="2137"/>
      <c r="AM1" s="2137"/>
      <c r="AN1" s="2137"/>
      <c r="AO1" s="2137"/>
      <c r="AP1" s="2137"/>
      <c r="AQ1" s="2137"/>
      <c r="AR1" s="2137"/>
      <c r="AS1" s="2137"/>
    </row>
    <row r="2" spans="1:45" ht="12.75" customHeight="1" thickBot="1" x14ac:dyDescent="0.3">
      <c r="A2" s="120"/>
      <c r="B2" s="122"/>
      <c r="C2" s="122"/>
      <c r="D2" s="122"/>
      <c r="E2" s="122"/>
      <c r="F2" s="122"/>
      <c r="G2" s="122"/>
      <c r="H2" s="122"/>
      <c r="I2" s="122"/>
      <c r="J2" s="122"/>
      <c r="K2" s="122"/>
      <c r="L2" s="122"/>
      <c r="M2" s="122"/>
      <c r="N2" s="280"/>
      <c r="O2" s="280"/>
      <c r="P2" s="122"/>
      <c r="Q2" s="122"/>
      <c r="R2" s="122"/>
      <c r="S2" s="280"/>
      <c r="T2" s="280"/>
      <c r="U2" s="122"/>
      <c r="V2" s="122"/>
      <c r="W2" s="122"/>
      <c r="X2" s="280"/>
      <c r="Y2" s="280"/>
      <c r="Z2" s="280"/>
      <c r="AA2" s="280"/>
      <c r="AB2" s="280"/>
      <c r="AC2" s="280"/>
      <c r="AD2" s="280"/>
      <c r="AE2" s="280"/>
      <c r="AF2" s="280"/>
      <c r="AG2" s="280"/>
      <c r="AH2" s="280"/>
      <c r="AI2" s="280"/>
      <c r="AJ2" s="280"/>
      <c r="AK2" s="280"/>
      <c r="AL2" s="280"/>
      <c r="AM2" s="280"/>
    </row>
    <row r="3" spans="1:45" customFormat="1" ht="18" thickBot="1" x14ac:dyDescent="0.35">
      <c r="A3" s="2134" t="s">
        <v>428</v>
      </c>
      <c r="B3" s="2135"/>
      <c r="C3" s="2135"/>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6"/>
    </row>
    <row r="4" spans="1:45" ht="26.4" x14ac:dyDescent="0.25">
      <c r="A4" s="2142" t="s">
        <v>1006</v>
      </c>
      <c r="B4" s="1711" t="s">
        <v>1008</v>
      </c>
      <c r="C4" s="1711" t="s">
        <v>1009</v>
      </c>
      <c r="D4" s="1711" t="s">
        <v>1010</v>
      </c>
      <c r="E4" s="680" t="s">
        <v>1069</v>
      </c>
      <c r="F4" s="1711" t="s">
        <v>1008</v>
      </c>
      <c r="G4" s="1711" t="s">
        <v>1009</v>
      </c>
      <c r="H4" s="1711" t="s">
        <v>1010</v>
      </c>
      <c r="I4" s="1712" t="s">
        <v>1069</v>
      </c>
      <c r="J4" s="680" t="s">
        <v>1071</v>
      </c>
      <c r="K4" s="1711" t="s">
        <v>1008</v>
      </c>
      <c r="L4" s="1711" t="s">
        <v>1009</v>
      </c>
      <c r="M4" s="1711" t="s">
        <v>1010</v>
      </c>
      <c r="N4" s="1712" t="s">
        <v>1069</v>
      </c>
      <c r="O4" s="680" t="s">
        <v>1071</v>
      </c>
      <c r="P4" s="1711" t="s">
        <v>1008</v>
      </c>
      <c r="Q4" s="1711" t="s">
        <v>1009</v>
      </c>
      <c r="R4" s="1711" t="s">
        <v>1010</v>
      </c>
      <c r="S4" s="1712" t="s">
        <v>1069</v>
      </c>
      <c r="T4" s="680" t="s">
        <v>1071</v>
      </c>
      <c r="U4" s="1711" t="s">
        <v>1008</v>
      </c>
      <c r="V4" s="1711" t="s">
        <v>1009</v>
      </c>
      <c r="W4" s="1711" t="s">
        <v>1010</v>
      </c>
      <c r="X4" s="1712" t="s">
        <v>1069</v>
      </c>
      <c r="Y4" s="680" t="s">
        <v>1071</v>
      </c>
      <c r="Z4" s="1711" t="s">
        <v>1008</v>
      </c>
      <c r="AA4" s="1711" t="s">
        <v>1009</v>
      </c>
      <c r="AB4" s="1711" t="s">
        <v>1010</v>
      </c>
      <c r="AC4" s="1712" t="s">
        <v>1069</v>
      </c>
      <c r="AD4" s="680" t="s">
        <v>1071</v>
      </c>
      <c r="AE4" s="1711" t="s">
        <v>1008</v>
      </c>
      <c r="AF4" s="1711" t="s">
        <v>1009</v>
      </c>
      <c r="AG4" s="1711" t="s">
        <v>1010</v>
      </c>
      <c r="AH4" s="1712" t="s">
        <v>1069</v>
      </c>
      <c r="AI4" s="680" t="s">
        <v>1071</v>
      </c>
      <c r="AJ4" s="1711" t="s">
        <v>1008</v>
      </c>
      <c r="AK4" s="1711" t="s">
        <v>1009</v>
      </c>
      <c r="AL4" s="1711" t="s">
        <v>1010</v>
      </c>
      <c r="AM4" s="1712" t="s">
        <v>1069</v>
      </c>
      <c r="AN4" s="1763" t="s">
        <v>1071</v>
      </c>
      <c r="AO4" s="1711" t="s">
        <v>1008</v>
      </c>
      <c r="AP4" s="1711" t="s">
        <v>1009</v>
      </c>
      <c r="AQ4" s="1711" t="s">
        <v>1010</v>
      </c>
      <c r="AR4" s="1712" t="s">
        <v>1069</v>
      </c>
      <c r="AS4" s="1763" t="s">
        <v>1071</v>
      </c>
    </row>
    <row r="5" spans="1:45" x14ac:dyDescent="0.25">
      <c r="A5" s="2143"/>
      <c r="B5" s="1257" t="s">
        <v>1500</v>
      </c>
      <c r="C5" s="1711"/>
      <c r="D5" s="1711"/>
      <c r="E5" s="584"/>
      <c r="F5" s="1257" t="s">
        <v>1499</v>
      </c>
      <c r="G5" s="1711"/>
      <c r="H5" s="1711"/>
      <c r="I5" s="1711"/>
      <c r="J5" s="679"/>
      <c r="K5" s="2138" t="s">
        <v>1448</v>
      </c>
      <c r="L5" s="2139"/>
      <c r="M5" s="2139"/>
      <c r="N5" s="2139"/>
      <c r="O5" s="2140"/>
      <c r="P5" s="1868" t="s">
        <v>1449</v>
      </c>
      <c r="Q5" s="1711"/>
      <c r="R5" s="1711"/>
      <c r="S5" s="1711"/>
      <c r="T5" s="679"/>
      <c r="U5" s="1868" t="s">
        <v>1450</v>
      </c>
      <c r="V5" s="1711"/>
      <c r="W5" s="1711"/>
      <c r="X5" s="1711"/>
      <c r="Y5" s="679"/>
      <c r="Z5" s="1868" t="s">
        <v>1551</v>
      </c>
      <c r="AA5" s="1711"/>
      <c r="AB5" s="1711"/>
      <c r="AC5" s="1711"/>
      <c r="AD5" s="679"/>
      <c r="AE5" s="1868" t="s">
        <v>1614</v>
      </c>
      <c r="AF5" s="1711"/>
      <c r="AG5" s="1711"/>
      <c r="AH5" s="1711"/>
      <c r="AI5" s="679"/>
      <c r="AJ5" s="2138" t="s">
        <v>1651</v>
      </c>
      <c r="AK5" s="2139"/>
      <c r="AL5" s="2139"/>
      <c r="AM5" s="2139"/>
      <c r="AN5" s="2140"/>
      <c r="AO5" s="2138" t="s">
        <v>1738</v>
      </c>
      <c r="AP5" s="2139"/>
      <c r="AQ5" s="2139"/>
      <c r="AR5" s="2139"/>
      <c r="AS5" s="2140"/>
    </row>
    <row r="6" spans="1:45" x14ac:dyDescent="0.25">
      <c r="A6" s="1318" t="s">
        <v>431</v>
      </c>
      <c r="B6" s="1873"/>
      <c r="C6" s="1874"/>
      <c r="D6" s="1874"/>
      <c r="E6" s="1875"/>
      <c r="F6" s="1873"/>
      <c r="G6" s="1874"/>
      <c r="H6" s="1874"/>
      <c r="I6" s="1874"/>
      <c r="J6" s="281"/>
      <c r="K6" s="1873"/>
      <c r="L6" s="1874"/>
      <c r="M6" s="1874"/>
      <c r="N6" s="1874"/>
      <c r="O6" s="281"/>
      <c r="P6" s="1873"/>
      <c r="Q6" s="1874"/>
      <c r="R6" s="1874"/>
      <c r="S6" s="1874"/>
      <c r="T6" s="281"/>
      <c r="U6" s="1873"/>
      <c r="V6" s="1874"/>
      <c r="W6" s="1874"/>
      <c r="X6" s="1874"/>
      <c r="Y6" s="281"/>
      <c r="Z6" s="1873"/>
      <c r="AA6" s="1874"/>
      <c r="AB6" s="1874"/>
      <c r="AC6" s="1874"/>
      <c r="AD6" s="281"/>
      <c r="AE6" s="1873"/>
      <c r="AF6" s="1874"/>
      <c r="AG6" s="1874"/>
      <c r="AH6" s="1874"/>
      <c r="AI6" s="281"/>
      <c r="AJ6" s="1873"/>
      <c r="AK6" s="1874"/>
      <c r="AL6" s="1874"/>
      <c r="AM6" s="1874"/>
      <c r="AN6" s="1875"/>
      <c r="AO6" s="1873"/>
      <c r="AP6" s="1874"/>
      <c r="AQ6" s="1874"/>
      <c r="AR6" s="1874"/>
      <c r="AS6" s="1875"/>
    </row>
    <row r="7" spans="1:45" x14ac:dyDescent="0.25">
      <c r="A7" s="1319" t="s">
        <v>1016</v>
      </c>
      <c r="B7" s="1680">
        <f>+'NEW Fall CHP by DISC'!B7/15</f>
        <v>20.8</v>
      </c>
      <c r="C7" s="1680">
        <f>+'NEW Fall CHP by DISC'!C7/15</f>
        <v>10.8</v>
      </c>
      <c r="D7" s="1680">
        <f>+'NEW Fall CHP by DISC'!D7/12</f>
        <v>0</v>
      </c>
      <c r="E7" s="1678">
        <f t="shared" ref="E7:E14" si="0">SUM(B7:D7)</f>
        <v>31.6</v>
      </c>
      <c r="F7" s="1680">
        <f>+'NEW Fall CHP by DISC'!F7/15</f>
        <v>23.8</v>
      </c>
      <c r="G7" s="1680">
        <f>+'NEW Fall CHP by DISC'!G7/15</f>
        <v>13.6</v>
      </c>
      <c r="H7" s="1680">
        <f>+'NEW Fall CHP by DISC'!H7/12</f>
        <v>0</v>
      </c>
      <c r="I7" s="1680">
        <f t="shared" ref="I7:I14" si="1">SUM(F7:H7)</f>
        <v>37.4</v>
      </c>
      <c r="J7" s="505">
        <f t="shared" ref="J7:J15" si="2">IF(E7&gt;0,(I7-E7)/E7,(IF(I7=0,"N/A",100%)))</f>
        <v>0.18354430379746825</v>
      </c>
      <c r="K7" s="1680">
        <f>+'NEW Fall CHP by DISC'!K7/15</f>
        <v>21</v>
      </c>
      <c r="L7" s="1680">
        <f>+'NEW Fall CHP by DISC'!L7/15</f>
        <v>23.8</v>
      </c>
      <c r="M7" s="1680">
        <f>+'NEW Fall CHP by DISC'!M7/12</f>
        <v>0</v>
      </c>
      <c r="N7" s="1680">
        <f t="shared" ref="N7:N14" si="3">SUM(K7:M7)</f>
        <v>44.8</v>
      </c>
      <c r="O7" s="505">
        <f t="shared" ref="O7:O15" si="4">IF(I7&gt;0,(N7-I7)/I7,(IF(N7=0,"N/A",100%)))</f>
        <v>0.19786096256684488</v>
      </c>
      <c r="P7" s="1680">
        <f>+'NEW Fall CHP by DISC'!P7/15</f>
        <v>26.4</v>
      </c>
      <c r="Q7" s="1680">
        <f>+'NEW Fall CHP by DISC'!Q7/15</f>
        <v>20.399999999999999</v>
      </c>
      <c r="R7" s="1680">
        <f>+'NEW Fall CHP by DISC'!R7/12</f>
        <v>0</v>
      </c>
      <c r="S7" s="1680">
        <f t="shared" ref="S7:S14" si="5">SUM(P7:R7)</f>
        <v>46.8</v>
      </c>
      <c r="T7" s="505">
        <f t="shared" ref="T7:T15" si="6">IF(N7&gt;0,(S7-N7)/N7,(IF(S7=0,"N/A",100%)))</f>
        <v>4.4642857142857144E-2</v>
      </c>
      <c r="U7" s="1680">
        <f>+'NEW Fall CHP by DISC'!U7/15</f>
        <v>27.6</v>
      </c>
      <c r="V7" s="1680">
        <f>+'NEW Fall CHP by DISC'!V7/15</f>
        <v>19</v>
      </c>
      <c r="W7" s="1680">
        <f>+'NEW Fall CHP by DISC'!W7/12</f>
        <v>0</v>
      </c>
      <c r="X7" s="1680">
        <f t="shared" ref="X7:X14" si="7">SUM(U7:W7)</f>
        <v>46.6</v>
      </c>
      <c r="Y7" s="505">
        <f t="shared" ref="Y7:Y15" si="8">IF(S7&gt;0,(X7-S7)/S7,(IF(X7=0,"N/A",100%)))</f>
        <v>-4.2735042735041829E-3</v>
      </c>
      <c r="Z7" s="1680">
        <f>+'NEW Fall CHP by DISC'!Z7/15</f>
        <v>26.6</v>
      </c>
      <c r="AA7" s="1680">
        <f>+'NEW Fall CHP by DISC'!AA7/15</f>
        <v>21.933333333333334</v>
      </c>
      <c r="AB7" s="1680">
        <f>+'NEW Fall CHP by DISC'!AB7/12</f>
        <v>0</v>
      </c>
      <c r="AC7" s="1680">
        <f t="shared" ref="AC7:AC14" si="9">SUM(Z7:AB7)</f>
        <v>48.533333333333331</v>
      </c>
      <c r="AD7" s="505">
        <f t="shared" ref="AD7:AD15" si="10">IF(X7&gt;0,(AC7-X7)/X7,(IF(AC7=0,"N/A",100%)))</f>
        <v>4.1487839771101501E-2</v>
      </c>
      <c r="AE7" s="1680">
        <f>+'NEW Fall CHP by DISC'!AE7/15</f>
        <v>29.6</v>
      </c>
      <c r="AF7" s="1680">
        <f>+'NEW Fall CHP by DISC'!AF7/15</f>
        <v>22.4</v>
      </c>
      <c r="AG7" s="1680">
        <f>+'NEW Fall CHP by DISC'!AG7/12</f>
        <v>0</v>
      </c>
      <c r="AH7" s="1680">
        <f t="shared" ref="AH7:AH14" si="11">SUM(AE7:AG7)</f>
        <v>52</v>
      </c>
      <c r="AI7" s="505">
        <f t="shared" ref="AI7:AI15" si="12">IF(AC7&gt;0,(AH7-AC7)/AC7,(IF(AH7=0,"N/A",100%)))</f>
        <v>7.1428571428571466E-2</v>
      </c>
      <c r="AJ7" s="1680">
        <f>+'NEW Fall CHP by DISC'!AJ7/15</f>
        <v>30.4</v>
      </c>
      <c r="AK7" s="1680">
        <f>+'NEW Fall CHP by DISC'!AK7/15</f>
        <v>18.333333333333332</v>
      </c>
      <c r="AL7" s="1680">
        <f>+'NEW Fall CHP by DISC'!AL7/12</f>
        <v>0</v>
      </c>
      <c r="AM7" s="1680">
        <f t="shared" ref="AM7:AM14" si="13">SUM(AJ7:AL7)</f>
        <v>48.733333333333334</v>
      </c>
      <c r="AN7" s="1679">
        <f t="shared" ref="AN7:AN15" si="14">IF(AH7&gt;0,(AM7-AH7)/AH7,(IF(AM7=0,"N/A",100%)))</f>
        <v>-6.2820512820512805E-2</v>
      </c>
      <c r="AO7" s="1680">
        <f>+'NEW Fall CHP by DISC'!AO7/15</f>
        <v>27.8</v>
      </c>
      <c r="AP7" s="1680">
        <f>+'NEW Fall CHP by DISC'!AP7/15</f>
        <v>15</v>
      </c>
      <c r="AQ7" s="1680">
        <f>+'NEW Fall CHP by DISC'!AQ7/12</f>
        <v>0</v>
      </c>
      <c r="AR7" s="1680">
        <f t="shared" ref="AR7:AR14" si="15">SUM(AO7:AQ7)</f>
        <v>42.8</v>
      </c>
      <c r="AS7" s="1679">
        <f t="shared" ref="AS7:AS15" si="16">IF(AM7&gt;0,(AR7-AM7)/AM7,(IF(AR7=0,"N/A",100%)))</f>
        <v>-0.12175102599179215</v>
      </c>
    </row>
    <row r="8" spans="1:45" s="124" customFormat="1" x14ac:dyDescent="0.25">
      <c r="A8" s="1321" t="s">
        <v>1017</v>
      </c>
      <c r="B8" s="1680">
        <f>+'NEW Fall CHP by DISC'!B8/15</f>
        <v>48.466666666666669</v>
      </c>
      <c r="C8" s="1680">
        <f>+'NEW Fall CHP by DISC'!C8/15</f>
        <v>38.133333333333333</v>
      </c>
      <c r="D8" s="1680">
        <f>+'NEW Fall CHP by DISC'!D8/12</f>
        <v>0</v>
      </c>
      <c r="E8" s="1678">
        <f t="shared" si="0"/>
        <v>86.6</v>
      </c>
      <c r="F8" s="1680">
        <f>+'NEW Fall CHP by DISC'!F8/15</f>
        <v>70.599999999999994</v>
      </c>
      <c r="G8" s="1680">
        <f>+'NEW Fall CHP by DISC'!G8/15</f>
        <v>42</v>
      </c>
      <c r="H8" s="1680">
        <f>+'NEW Fall CHP by DISC'!H8/12</f>
        <v>0</v>
      </c>
      <c r="I8" s="1680">
        <f t="shared" si="1"/>
        <v>112.6</v>
      </c>
      <c r="J8" s="505">
        <f t="shared" si="2"/>
        <v>0.30023094688221713</v>
      </c>
      <c r="K8" s="1680">
        <f>+'NEW Fall CHP by DISC'!K8/15</f>
        <v>65.599999999999994</v>
      </c>
      <c r="L8" s="1680">
        <f>+'NEW Fall CHP by DISC'!L8/15</f>
        <v>49.866666666666667</v>
      </c>
      <c r="M8" s="1680">
        <f>+'NEW Fall CHP by DISC'!M8/12</f>
        <v>0</v>
      </c>
      <c r="N8" s="1680">
        <f t="shared" si="3"/>
        <v>115.46666666666667</v>
      </c>
      <c r="O8" s="505">
        <f t="shared" si="4"/>
        <v>2.54588513913559E-2</v>
      </c>
      <c r="P8" s="1680">
        <f>+'NEW Fall CHP by DISC'!P8/15</f>
        <v>64.400000000000006</v>
      </c>
      <c r="Q8" s="1680">
        <f>+'NEW Fall CHP by DISC'!Q8/15</f>
        <v>40.666666666666664</v>
      </c>
      <c r="R8" s="1680">
        <f>+'NEW Fall CHP by DISC'!R8/12</f>
        <v>0</v>
      </c>
      <c r="S8" s="1680">
        <f t="shared" si="5"/>
        <v>105.06666666666666</v>
      </c>
      <c r="T8" s="505">
        <f t="shared" si="6"/>
        <v>-9.0069284064665175E-2</v>
      </c>
      <c r="U8" s="1680">
        <f>+'NEW Fall CHP by DISC'!U8/15</f>
        <v>65.400000000000006</v>
      </c>
      <c r="V8" s="1680">
        <f>+'NEW Fall CHP by DISC'!V8/15</f>
        <v>42.93333333333333</v>
      </c>
      <c r="W8" s="1680">
        <f>+'NEW Fall CHP by DISC'!W8/12</f>
        <v>0</v>
      </c>
      <c r="X8" s="1680">
        <f t="shared" si="7"/>
        <v>108.33333333333334</v>
      </c>
      <c r="Y8" s="505">
        <f t="shared" si="8"/>
        <v>3.1091370558375762E-2</v>
      </c>
      <c r="Z8" s="1680">
        <f>+'NEW Fall CHP by DISC'!Z8/15</f>
        <v>67.400000000000006</v>
      </c>
      <c r="AA8" s="1680">
        <f>+'NEW Fall CHP by DISC'!AA8/15</f>
        <v>46.333333333333336</v>
      </c>
      <c r="AB8" s="1680">
        <f>+'NEW Fall CHP by DISC'!AB8/12</f>
        <v>0</v>
      </c>
      <c r="AC8" s="1680">
        <f t="shared" si="9"/>
        <v>113.73333333333335</v>
      </c>
      <c r="AD8" s="505">
        <f t="shared" si="10"/>
        <v>4.9846153846153894E-2</v>
      </c>
      <c r="AE8" s="1680">
        <f>+'NEW Fall CHP by DISC'!AE8/15</f>
        <v>53.6</v>
      </c>
      <c r="AF8" s="1680">
        <f>+'NEW Fall CHP by DISC'!AF8/15</f>
        <v>47.6</v>
      </c>
      <c r="AG8" s="1680">
        <f>+'NEW Fall CHP by DISC'!AG8/12</f>
        <v>0</v>
      </c>
      <c r="AH8" s="1680">
        <f t="shared" si="11"/>
        <v>101.2</v>
      </c>
      <c r="AI8" s="505">
        <f t="shared" si="12"/>
        <v>-0.11019929660023456</v>
      </c>
      <c r="AJ8" s="1680">
        <f>+'NEW Fall CHP by DISC'!AJ8/15</f>
        <v>60</v>
      </c>
      <c r="AK8" s="1680">
        <f>+'NEW Fall CHP by DISC'!AK8/15</f>
        <v>44.6</v>
      </c>
      <c r="AL8" s="1680">
        <f>+'NEW Fall CHP by DISC'!AL8/12</f>
        <v>0</v>
      </c>
      <c r="AM8" s="1680">
        <f t="shared" si="13"/>
        <v>104.6</v>
      </c>
      <c r="AN8" s="1679">
        <f t="shared" si="14"/>
        <v>3.3596837944663949E-2</v>
      </c>
      <c r="AO8" s="1680">
        <f>+'NEW Fall CHP by DISC'!AO8/15</f>
        <v>61.733333333333334</v>
      </c>
      <c r="AP8" s="1680">
        <f>+'NEW Fall CHP by DISC'!AP8/15</f>
        <v>49.8</v>
      </c>
      <c r="AQ8" s="1680">
        <f>+'NEW Fall CHP by DISC'!AQ8/12</f>
        <v>0</v>
      </c>
      <c r="AR8" s="1680">
        <f t="shared" si="15"/>
        <v>111.53333333333333</v>
      </c>
      <c r="AS8" s="1679">
        <f t="shared" si="16"/>
        <v>6.6284257488846435E-2</v>
      </c>
    </row>
    <row r="9" spans="1:45" x14ac:dyDescent="0.25">
      <c r="A9" s="1319" t="s">
        <v>1018</v>
      </c>
      <c r="B9" s="1680">
        <f>+'NEW Fall CHP by DISC'!B9/15</f>
        <v>1.8</v>
      </c>
      <c r="C9" s="1680">
        <f>+'NEW Fall CHP by DISC'!C9/15</f>
        <v>0</v>
      </c>
      <c r="D9" s="1680">
        <f>+'NEW Fall CHP by DISC'!D9/12</f>
        <v>0</v>
      </c>
      <c r="E9" s="1678">
        <f t="shared" si="0"/>
        <v>1.8</v>
      </c>
      <c r="F9" s="1680">
        <f>+'NEW Fall CHP by DISC'!F9/15</f>
        <v>3</v>
      </c>
      <c r="G9" s="1680">
        <f>+'NEW Fall CHP by DISC'!G9/15</f>
        <v>0</v>
      </c>
      <c r="H9" s="1680">
        <f>+'NEW Fall CHP by DISC'!H9/12</f>
        <v>0</v>
      </c>
      <c r="I9" s="1680">
        <f t="shared" si="1"/>
        <v>3</v>
      </c>
      <c r="J9" s="505">
        <f t="shared" si="2"/>
        <v>0.66666666666666663</v>
      </c>
      <c r="K9" s="1680">
        <f>+'NEW Fall CHP by DISC'!K9/15</f>
        <v>1.6</v>
      </c>
      <c r="L9" s="1680">
        <f>+'NEW Fall CHP by DISC'!L9/15</f>
        <v>0</v>
      </c>
      <c r="M9" s="1680">
        <f>+'NEW Fall CHP by DISC'!M9/12</f>
        <v>0</v>
      </c>
      <c r="N9" s="1680">
        <f t="shared" si="3"/>
        <v>1.6</v>
      </c>
      <c r="O9" s="505">
        <f t="shared" si="4"/>
        <v>-0.46666666666666662</v>
      </c>
      <c r="P9" s="1680">
        <f>+'NEW Fall CHP by DISC'!P9/15</f>
        <v>1.2</v>
      </c>
      <c r="Q9" s="1680">
        <f>+'NEW Fall CHP by DISC'!Q9/15</f>
        <v>0</v>
      </c>
      <c r="R9" s="1680">
        <f>+'NEW Fall CHP by DISC'!R9/12</f>
        <v>0</v>
      </c>
      <c r="S9" s="1680">
        <f t="shared" si="5"/>
        <v>1.2</v>
      </c>
      <c r="T9" s="505">
        <f t="shared" si="6"/>
        <v>-0.25000000000000006</v>
      </c>
      <c r="U9" s="1680">
        <f>+'NEW Fall CHP by DISC'!U9/15</f>
        <v>1.9333333333333333</v>
      </c>
      <c r="V9" s="1680">
        <f>+'NEW Fall CHP by DISC'!V9/15</f>
        <v>0</v>
      </c>
      <c r="W9" s="1680">
        <f>+'NEW Fall CHP by DISC'!W9/12</f>
        <v>0</v>
      </c>
      <c r="X9" s="1680">
        <f t="shared" si="7"/>
        <v>1.9333333333333333</v>
      </c>
      <c r="Y9" s="505">
        <f t="shared" si="8"/>
        <v>0.61111111111111116</v>
      </c>
      <c r="Z9" s="1680">
        <f>+'NEW Fall CHP by DISC'!Z9/15</f>
        <v>1.2</v>
      </c>
      <c r="AA9" s="1680">
        <f>+'NEW Fall CHP by DISC'!AA9/15</f>
        <v>0</v>
      </c>
      <c r="AB9" s="1680">
        <f>+'NEW Fall CHP by DISC'!AB9/12</f>
        <v>0</v>
      </c>
      <c r="AC9" s="1680">
        <f t="shared" si="9"/>
        <v>1.2</v>
      </c>
      <c r="AD9" s="505">
        <f t="shared" si="10"/>
        <v>-0.37931034482758624</v>
      </c>
      <c r="AE9" s="1680">
        <f>+'NEW Fall CHP by DISC'!AE9/15</f>
        <v>0.2</v>
      </c>
      <c r="AF9" s="1680">
        <f>+'NEW Fall CHP by DISC'!AF9/15</f>
        <v>0</v>
      </c>
      <c r="AG9" s="1680">
        <f>+'NEW Fall CHP by DISC'!AG9/12</f>
        <v>0</v>
      </c>
      <c r="AH9" s="1680">
        <f t="shared" si="11"/>
        <v>0.2</v>
      </c>
      <c r="AI9" s="505">
        <f t="shared" si="12"/>
        <v>-0.83333333333333337</v>
      </c>
      <c r="AJ9" s="1680">
        <f>+'NEW Fall CHP by DISC'!AJ9/15</f>
        <v>1.5333333333333334</v>
      </c>
      <c r="AK9" s="1680">
        <f>+'NEW Fall CHP by DISC'!AK9/15</f>
        <v>0</v>
      </c>
      <c r="AL9" s="1680">
        <f>+'NEW Fall CHP by DISC'!AL9/12</f>
        <v>0</v>
      </c>
      <c r="AM9" s="1680">
        <f t="shared" si="13"/>
        <v>1.5333333333333334</v>
      </c>
      <c r="AN9" s="1679">
        <f t="shared" si="14"/>
        <v>6.666666666666667</v>
      </c>
      <c r="AO9" s="1680">
        <f>+'NEW Fall CHP by DISC'!AO9/15</f>
        <v>0.26666666666666666</v>
      </c>
      <c r="AP9" s="1680">
        <f>+'NEW Fall CHP by DISC'!AP9/15</f>
        <v>0</v>
      </c>
      <c r="AQ9" s="1680">
        <f>+'NEW Fall CHP by DISC'!AQ9/12</f>
        <v>0</v>
      </c>
      <c r="AR9" s="1680">
        <f t="shared" si="15"/>
        <v>0.26666666666666666</v>
      </c>
      <c r="AS9" s="1679">
        <f t="shared" si="16"/>
        <v>-0.82608695652173914</v>
      </c>
    </row>
    <row r="10" spans="1:45" x14ac:dyDescent="0.25">
      <c r="A10" s="1319" t="s">
        <v>1019</v>
      </c>
      <c r="B10" s="1680">
        <f>+'NEW Fall CHP by DISC'!B10/15</f>
        <v>49.2</v>
      </c>
      <c r="C10" s="1680">
        <f>+'NEW Fall CHP by DISC'!C10/15</f>
        <v>6.2</v>
      </c>
      <c r="D10" s="1680">
        <f>+'NEW Fall CHP by DISC'!D10/12</f>
        <v>0</v>
      </c>
      <c r="E10" s="1678">
        <f t="shared" si="0"/>
        <v>55.400000000000006</v>
      </c>
      <c r="F10" s="1680">
        <f>+'NEW Fall CHP by DISC'!F10/15</f>
        <v>52.6</v>
      </c>
      <c r="G10" s="1680">
        <f>+'NEW Fall CHP by DISC'!G10/15</f>
        <v>5.6</v>
      </c>
      <c r="H10" s="1680">
        <f>+'NEW Fall CHP by DISC'!H10/12</f>
        <v>0</v>
      </c>
      <c r="I10" s="1680">
        <f t="shared" si="1"/>
        <v>58.2</v>
      </c>
      <c r="J10" s="505">
        <f t="shared" si="2"/>
        <v>5.0541516245487306E-2</v>
      </c>
      <c r="K10" s="1680">
        <f>+'NEW Fall CHP by DISC'!K10/15</f>
        <v>66</v>
      </c>
      <c r="L10" s="1680">
        <f>+'NEW Fall CHP by DISC'!L10/15</f>
        <v>6.6</v>
      </c>
      <c r="M10" s="1680">
        <f>+'NEW Fall CHP by DISC'!M10/12</f>
        <v>0</v>
      </c>
      <c r="N10" s="1680">
        <f t="shared" si="3"/>
        <v>72.599999999999994</v>
      </c>
      <c r="O10" s="505">
        <f t="shared" si="4"/>
        <v>0.24742268041237098</v>
      </c>
      <c r="P10" s="1680">
        <f>+'NEW Fall CHP by DISC'!P10/15</f>
        <v>77</v>
      </c>
      <c r="Q10" s="1680">
        <f>+'NEW Fall CHP by DISC'!Q10/15</f>
        <v>5.4</v>
      </c>
      <c r="R10" s="1680">
        <f>+'NEW Fall CHP by DISC'!R10/12</f>
        <v>0</v>
      </c>
      <c r="S10" s="1680">
        <f t="shared" si="5"/>
        <v>82.4</v>
      </c>
      <c r="T10" s="505">
        <f t="shared" si="6"/>
        <v>0.13498622589531697</v>
      </c>
      <c r="U10" s="1680">
        <f>+'NEW Fall CHP by DISC'!U10/15</f>
        <v>68.400000000000006</v>
      </c>
      <c r="V10" s="1680">
        <f>+'NEW Fall CHP by DISC'!V10/15</f>
        <v>4.8</v>
      </c>
      <c r="W10" s="1680">
        <f>+'NEW Fall CHP by DISC'!W10/12</f>
        <v>0</v>
      </c>
      <c r="X10" s="1680">
        <f t="shared" si="7"/>
        <v>73.2</v>
      </c>
      <c r="Y10" s="505">
        <f t="shared" si="8"/>
        <v>-0.11165048543689324</v>
      </c>
      <c r="Z10" s="1680">
        <f>+'NEW Fall CHP by DISC'!Z10/15</f>
        <v>64.599999999999994</v>
      </c>
      <c r="AA10" s="1680">
        <f>+'NEW Fall CHP by DISC'!AA10/15</f>
        <v>5.2</v>
      </c>
      <c r="AB10" s="1680">
        <f>+'NEW Fall CHP by DISC'!AB10/12</f>
        <v>0</v>
      </c>
      <c r="AC10" s="1680">
        <f t="shared" si="9"/>
        <v>69.8</v>
      </c>
      <c r="AD10" s="505">
        <f t="shared" si="10"/>
        <v>-4.6448087431694061E-2</v>
      </c>
      <c r="AE10" s="1680">
        <f>+'NEW Fall CHP by DISC'!AE10/15</f>
        <v>40.799999999999997</v>
      </c>
      <c r="AF10" s="1680">
        <f>+'NEW Fall CHP by DISC'!AF10/15</f>
        <v>4.8</v>
      </c>
      <c r="AG10" s="1680">
        <f>+'NEW Fall CHP by DISC'!AG10/12</f>
        <v>0</v>
      </c>
      <c r="AH10" s="1680">
        <f t="shared" si="11"/>
        <v>45.599999999999994</v>
      </c>
      <c r="AI10" s="505">
        <f t="shared" si="12"/>
        <v>-0.34670487106017195</v>
      </c>
      <c r="AJ10" s="1680">
        <f>+'NEW Fall CHP by DISC'!AJ10/15</f>
        <v>45</v>
      </c>
      <c r="AK10" s="1680">
        <f>+'NEW Fall CHP by DISC'!AK10/15</f>
        <v>4.5999999999999996</v>
      </c>
      <c r="AL10" s="1680">
        <f>+'NEW Fall CHP by DISC'!AL10/12</f>
        <v>0</v>
      </c>
      <c r="AM10" s="1680">
        <f t="shared" si="13"/>
        <v>49.6</v>
      </c>
      <c r="AN10" s="1679">
        <f t="shared" si="14"/>
        <v>8.7719298245614197E-2</v>
      </c>
      <c r="AO10" s="1680">
        <f>+'NEW Fall CHP by DISC'!AO10/15</f>
        <v>44.8</v>
      </c>
      <c r="AP10" s="1680">
        <f>+'NEW Fall CHP by DISC'!AP10/15</f>
        <v>4.2</v>
      </c>
      <c r="AQ10" s="1680">
        <f>+'NEW Fall CHP by DISC'!AQ10/12</f>
        <v>0</v>
      </c>
      <c r="AR10" s="1680">
        <f t="shared" si="15"/>
        <v>49</v>
      </c>
      <c r="AS10" s="1679">
        <f t="shared" si="16"/>
        <v>-1.2096774193548416E-2</v>
      </c>
    </row>
    <row r="11" spans="1:45" x14ac:dyDescent="0.25">
      <c r="A11" s="1319" t="s">
        <v>1020</v>
      </c>
      <c r="B11" s="1680">
        <f>+'NEW Fall CHP by DISC'!B11/15</f>
        <v>0</v>
      </c>
      <c r="C11" s="1680">
        <f>+'NEW Fall CHP by DISC'!C11/15</f>
        <v>12.8</v>
      </c>
      <c r="D11" s="1680">
        <f>+'NEW Fall CHP by DISC'!D11/12</f>
        <v>0</v>
      </c>
      <c r="E11" s="1678">
        <f t="shared" si="0"/>
        <v>12.8</v>
      </c>
      <c r="F11" s="1680">
        <f>+'NEW Fall CHP by DISC'!F11/15</f>
        <v>4.5999999999999996</v>
      </c>
      <c r="G11" s="1680">
        <f>+'NEW Fall CHP by DISC'!G11/15</f>
        <v>10.4</v>
      </c>
      <c r="H11" s="1680">
        <f>+'NEW Fall CHP by DISC'!H11/12</f>
        <v>0</v>
      </c>
      <c r="I11" s="1680">
        <f t="shared" si="1"/>
        <v>15</v>
      </c>
      <c r="J11" s="505">
        <f t="shared" si="2"/>
        <v>0.17187499999999994</v>
      </c>
      <c r="K11" s="1680">
        <f>+'NEW Fall CHP by DISC'!K11/15</f>
        <v>5.2</v>
      </c>
      <c r="L11" s="1680">
        <f>+'NEW Fall CHP by DISC'!L11/15</f>
        <v>13.8</v>
      </c>
      <c r="M11" s="1680">
        <f>+'NEW Fall CHP by DISC'!M11/12</f>
        <v>0</v>
      </c>
      <c r="N11" s="1680">
        <f t="shared" si="3"/>
        <v>19</v>
      </c>
      <c r="O11" s="505">
        <f t="shared" si="4"/>
        <v>0.26666666666666666</v>
      </c>
      <c r="P11" s="1680">
        <f>+'NEW Fall CHP by DISC'!P11/15</f>
        <v>6</v>
      </c>
      <c r="Q11" s="1680">
        <f>+'NEW Fall CHP by DISC'!Q11/15</f>
        <v>13.8</v>
      </c>
      <c r="R11" s="1680">
        <f>+'NEW Fall CHP by DISC'!R11/12</f>
        <v>0</v>
      </c>
      <c r="S11" s="1680">
        <f t="shared" si="5"/>
        <v>19.8</v>
      </c>
      <c r="T11" s="505">
        <f t="shared" si="6"/>
        <v>4.2105263157894778E-2</v>
      </c>
      <c r="U11" s="1680">
        <f>+'NEW Fall CHP by DISC'!U11/15</f>
        <v>4.8</v>
      </c>
      <c r="V11" s="1680">
        <f>+'NEW Fall CHP by DISC'!V11/15</f>
        <v>16.2</v>
      </c>
      <c r="W11" s="1680">
        <f>+'NEW Fall CHP by DISC'!W11/12</f>
        <v>0</v>
      </c>
      <c r="X11" s="1680">
        <f t="shared" si="7"/>
        <v>21</v>
      </c>
      <c r="Y11" s="505">
        <f t="shared" si="8"/>
        <v>6.0606060606060566E-2</v>
      </c>
      <c r="Z11" s="1680">
        <f>+'NEW Fall CHP by DISC'!Z11/15</f>
        <v>10</v>
      </c>
      <c r="AA11" s="1680">
        <f>+'NEW Fall CHP by DISC'!AA11/15</f>
        <v>13.8</v>
      </c>
      <c r="AB11" s="1680">
        <f>+'NEW Fall CHP by DISC'!AB11/12</f>
        <v>0</v>
      </c>
      <c r="AC11" s="1680">
        <f t="shared" si="9"/>
        <v>23.8</v>
      </c>
      <c r="AD11" s="505">
        <f t="shared" si="10"/>
        <v>0.13333333333333336</v>
      </c>
      <c r="AE11" s="1680">
        <f>+'NEW Fall CHP by DISC'!AE11/15</f>
        <v>16</v>
      </c>
      <c r="AF11" s="1680">
        <f>+'NEW Fall CHP by DISC'!AF11/15</f>
        <v>12.8</v>
      </c>
      <c r="AG11" s="1680">
        <f>+'NEW Fall CHP by DISC'!AG11/12</f>
        <v>0</v>
      </c>
      <c r="AH11" s="1680">
        <f t="shared" si="11"/>
        <v>28.8</v>
      </c>
      <c r="AI11" s="505">
        <f t="shared" si="12"/>
        <v>0.21008403361344538</v>
      </c>
      <c r="AJ11" s="1680">
        <f>+'NEW Fall CHP by DISC'!AJ11/15</f>
        <v>20.6</v>
      </c>
      <c r="AK11" s="1680">
        <f>+'NEW Fall CHP by DISC'!AK11/15</f>
        <v>14.4</v>
      </c>
      <c r="AL11" s="1680">
        <f>+'NEW Fall CHP by DISC'!AL11/12</f>
        <v>0</v>
      </c>
      <c r="AM11" s="1680">
        <f t="shared" si="13"/>
        <v>35</v>
      </c>
      <c r="AN11" s="1679">
        <f t="shared" si="14"/>
        <v>0.21527777777777773</v>
      </c>
      <c r="AO11" s="1680">
        <f>+'NEW Fall CHP by DISC'!AO11/15</f>
        <v>19.8</v>
      </c>
      <c r="AP11" s="1680">
        <f>+'NEW Fall CHP by DISC'!AP11/15</f>
        <v>15.2</v>
      </c>
      <c r="AQ11" s="1680">
        <f>+'NEW Fall CHP by DISC'!AQ11/12</f>
        <v>0</v>
      </c>
      <c r="AR11" s="1680">
        <f t="shared" si="15"/>
        <v>35</v>
      </c>
      <c r="AS11" s="1679">
        <f t="shared" si="16"/>
        <v>0</v>
      </c>
    </row>
    <row r="12" spans="1:45" x14ac:dyDescent="0.25">
      <c r="A12" s="1319" t="s">
        <v>1021</v>
      </c>
      <c r="B12" s="1680">
        <f>+'NEW Fall CHP by DISC'!B12/15</f>
        <v>10.733333333333333</v>
      </c>
      <c r="C12" s="1680">
        <f>+'NEW Fall CHP by DISC'!C12/15</f>
        <v>10.4</v>
      </c>
      <c r="D12" s="1680">
        <f>+'NEW Fall CHP by DISC'!D12/12</f>
        <v>0</v>
      </c>
      <c r="E12" s="1678">
        <f t="shared" si="0"/>
        <v>21.133333333333333</v>
      </c>
      <c r="F12" s="1680">
        <f>+'NEW Fall CHP by DISC'!F12/15</f>
        <v>14.4</v>
      </c>
      <c r="G12" s="1680">
        <f>+'NEW Fall CHP by DISC'!G12/15</f>
        <v>9</v>
      </c>
      <c r="H12" s="1680">
        <f>+'NEW Fall CHP by DISC'!H12/12</f>
        <v>0</v>
      </c>
      <c r="I12" s="1680">
        <f t="shared" si="1"/>
        <v>23.4</v>
      </c>
      <c r="J12" s="505">
        <f t="shared" si="2"/>
        <v>0.10725552050473182</v>
      </c>
      <c r="K12" s="1680">
        <f>+'NEW Fall CHP by DISC'!K12/15</f>
        <v>16.2</v>
      </c>
      <c r="L12" s="1680">
        <f>+'NEW Fall CHP by DISC'!L12/15</f>
        <v>12</v>
      </c>
      <c r="M12" s="1680">
        <f>+'NEW Fall CHP by DISC'!M12/12</f>
        <v>0</v>
      </c>
      <c r="N12" s="1680">
        <f t="shared" si="3"/>
        <v>28.2</v>
      </c>
      <c r="O12" s="505">
        <f t="shared" si="4"/>
        <v>0.20512820512820518</v>
      </c>
      <c r="P12" s="1680">
        <f>+'NEW Fall CHP by DISC'!P12/15</f>
        <v>18.600000000000001</v>
      </c>
      <c r="Q12" s="1680">
        <f>+'NEW Fall CHP by DISC'!Q12/15</f>
        <v>12</v>
      </c>
      <c r="R12" s="1680">
        <f>+'NEW Fall CHP by DISC'!R12/12</f>
        <v>0</v>
      </c>
      <c r="S12" s="1680">
        <f t="shared" si="5"/>
        <v>30.6</v>
      </c>
      <c r="T12" s="505">
        <f t="shared" si="6"/>
        <v>8.5106382978723485E-2</v>
      </c>
      <c r="U12" s="1680">
        <f>+'NEW Fall CHP by DISC'!U12/15</f>
        <v>22.866666666666667</v>
      </c>
      <c r="V12" s="1680">
        <f>+'NEW Fall CHP by DISC'!V12/15</f>
        <v>13.4</v>
      </c>
      <c r="W12" s="1680">
        <f>+'NEW Fall CHP by DISC'!W12/12</f>
        <v>0</v>
      </c>
      <c r="X12" s="1680">
        <f t="shared" si="7"/>
        <v>36.266666666666666</v>
      </c>
      <c r="Y12" s="505">
        <f t="shared" si="8"/>
        <v>0.18518518518518509</v>
      </c>
      <c r="Z12" s="1680">
        <f>+'NEW Fall CHP by DISC'!Z12/15</f>
        <v>21.133333333333333</v>
      </c>
      <c r="AA12" s="1680">
        <f>+'NEW Fall CHP by DISC'!AA12/15</f>
        <v>15.8</v>
      </c>
      <c r="AB12" s="1680">
        <f>+'NEW Fall CHP by DISC'!AB12/12</f>
        <v>0</v>
      </c>
      <c r="AC12" s="1680">
        <f t="shared" si="9"/>
        <v>36.933333333333337</v>
      </c>
      <c r="AD12" s="505">
        <f t="shared" si="10"/>
        <v>1.8382352941176603E-2</v>
      </c>
      <c r="AE12" s="1680">
        <f>+'NEW Fall CHP by DISC'!AE12/15</f>
        <v>19.2</v>
      </c>
      <c r="AF12" s="1680">
        <f>+'NEW Fall CHP by DISC'!AF12/15</f>
        <v>14.466666666666667</v>
      </c>
      <c r="AG12" s="1680">
        <f>+'NEW Fall CHP by DISC'!AG12/12</f>
        <v>0</v>
      </c>
      <c r="AH12" s="1680">
        <f t="shared" si="11"/>
        <v>33.666666666666664</v>
      </c>
      <c r="AI12" s="505">
        <f t="shared" si="12"/>
        <v>-8.8447653429603049E-2</v>
      </c>
      <c r="AJ12" s="1680">
        <f>+'NEW Fall CHP by DISC'!AJ12/15</f>
        <v>22.4</v>
      </c>
      <c r="AK12" s="1680">
        <f>+'NEW Fall CHP by DISC'!AK12/15</f>
        <v>17.2</v>
      </c>
      <c r="AL12" s="1680">
        <f>+'NEW Fall CHP by DISC'!AL12/12</f>
        <v>0</v>
      </c>
      <c r="AM12" s="1680">
        <f t="shared" si="13"/>
        <v>39.599999999999994</v>
      </c>
      <c r="AN12" s="1679">
        <f t="shared" si="14"/>
        <v>0.17623762376237614</v>
      </c>
      <c r="AO12" s="1680">
        <f>+'NEW Fall CHP by DISC'!AO12/15</f>
        <v>20.533333333333335</v>
      </c>
      <c r="AP12" s="1680">
        <f>+'NEW Fall CHP by DISC'!AP12/15</f>
        <v>16.066666666666666</v>
      </c>
      <c r="AQ12" s="1680">
        <f>+'NEW Fall CHP by DISC'!AQ12/12</f>
        <v>0</v>
      </c>
      <c r="AR12" s="1680">
        <f t="shared" si="15"/>
        <v>36.6</v>
      </c>
      <c r="AS12" s="1679">
        <f t="shared" si="16"/>
        <v>-7.5757575757575593E-2</v>
      </c>
    </row>
    <row r="13" spans="1:45" x14ac:dyDescent="0.25">
      <c r="A13" s="1319" t="s">
        <v>1022</v>
      </c>
      <c r="B13" s="1680">
        <f>+'NEW Fall CHP by DISC'!B13/15</f>
        <v>0</v>
      </c>
      <c r="C13" s="1680">
        <f>+'NEW Fall CHP by DISC'!C13/15</f>
        <v>28.4</v>
      </c>
      <c r="D13" s="1680">
        <f>+'NEW Fall CHP by DISC'!D13/12</f>
        <v>0</v>
      </c>
      <c r="E13" s="1678">
        <f t="shared" si="0"/>
        <v>28.4</v>
      </c>
      <c r="F13" s="1680">
        <f>+'NEW Fall CHP by DISC'!F13/15</f>
        <v>0</v>
      </c>
      <c r="G13" s="1680">
        <f>+'NEW Fall CHP by DISC'!G13/15</f>
        <v>28.2</v>
      </c>
      <c r="H13" s="1680">
        <f>+'NEW Fall CHP by DISC'!H13/12</f>
        <v>0</v>
      </c>
      <c r="I13" s="1680">
        <f t="shared" si="1"/>
        <v>28.2</v>
      </c>
      <c r="J13" s="505">
        <f t="shared" si="2"/>
        <v>-7.0422535211267356E-3</v>
      </c>
      <c r="K13" s="1680">
        <f>+'NEW Fall CHP by DISC'!K13/15</f>
        <v>0</v>
      </c>
      <c r="L13" s="1680">
        <f>+'NEW Fall CHP by DISC'!L13/15</f>
        <v>35.200000000000003</v>
      </c>
      <c r="M13" s="1680">
        <f>+'NEW Fall CHP by DISC'!M13/12</f>
        <v>0</v>
      </c>
      <c r="N13" s="1680">
        <f t="shared" si="3"/>
        <v>35.200000000000003</v>
      </c>
      <c r="O13" s="505">
        <f t="shared" si="4"/>
        <v>0.24822695035461007</v>
      </c>
      <c r="P13" s="1680">
        <f>+'NEW Fall CHP by DISC'!P13/15</f>
        <v>0</v>
      </c>
      <c r="Q13" s="1680">
        <f>+'NEW Fall CHP by DISC'!Q13/15</f>
        <v>33.4</v>
      </c>
      <c r="R13" s="1680">
        <f>+'NEW Fall CHP by DISC'!R13/12</f>
        <v>0</v>
      </c>
      <c r="S13" s="1680">
        <f t="shared" si="5"/>
        <v>33.4</v>
      </c>
      <c r="T13" s="505">
        <f t="shared" si="6"/>
        <v>-5.1136363636363751E-2</v>
      </c>
      <c r="U13" s="1680">
        <f>+'NEW Fall CHP by DISC'!U13/15</f>
        <v>0</v>
      </c>
      <c r="V13" s="1680">
        <f>+'NEW Fall CHP by DISC'!V13/15</f>
        <v>37.6</v>
      </c>
      <c r="W13" s="1680">
        <f>+'NEW Fall CHP by DISC'!W13/12</f>
        <v>0</v>
      </c>
      <c r="X13" s="1680">
        <f t="shared" si="7"/>
        <v>37.6</v>
      </c>
      <c r="Y13" s="505">
        <f t="shared" si="8"/>
        <v>0.12574850299401208</v>
      </c>
      <c r="Z13" s="1680">
        <f>+'NEW Fall CHP by DISC'!Z13/15</f>
        <v>0</v>
      </c>
      <c r="AA13" s="1680">
        <f>+'NEW Fall CHP by DISC'!AA13/15</f>
        <v>40.6</v>
      </c>
      <c r="AB13" s="1680">
        <f>+'NEW Fall CHP by DISC'!AB13/12</f>
        <v>0</v>
      </c>
      <c r="AC13" s="1680">
        <f t="shared" si="9"/>
        <v>40.6</v>
      </c>
      <c r="AD13" s="505">
        <f t="shared" si="10"/>
        <v>7.9787234042553182E-2</v>
      </c>
      <c r="AE13" s="1680">
        <f>+'NEW Fall CHP by DISC'!AE13/15</f>
        <v>0</v>
      </c>
      <c r="AF13" s="1680">
        <f>+'NEW Fall CHP by DISC'!AF13/15</f>
        <v>40.200000000000003</v>
      </c>
      <c r="AG13" s="1680">
        <f>+'NEW Fall CHP by DISC'!AG13/12</f>
        <v>0</v>
      </c>
      <c r="AH13" s="1680">
        <f t="shared" si="11"/>
        <v>40.200000000000003</v>
      </c>
      <c r="AI13" s="505">
        <f t="shared" si="12"/>
        <v>-9.8522167487684383E-3</v>
      </c>
      <c r="AJ13" s="1680">
        <f>+'NEW Fall CHP by DISC'!AJ13/15</f>
        <v>0</v>
      </c>
      <c r="AK13" s="1680">
        <f>+'NEW Fall CHP by DISC'!AK13/15</f>
        <v>35</v>
      </c>
      <c r="AL13" s="1680">
        <f>+'NEW Fall CHP by DISC'!AL13/12</f>
        <v>0</v>
      </c>
      <c r="AM13" s="1680">
        <f t="shared" si="13"/>
        <v>35</v>
      </c>
      <c r="AN13" s="1679">
        <f t="shared" si="14"/>
        <v>-0.12935323383084582</v>
      </c>
      <c r="AO13" s="1680">
        <f>+'NEW Fall CHP by DISC'!AO13/15</f>
        <v>0</v>
      </c>
      <c r="AP13" s="1680">
        <f>+'NEW Fall CHP by DISC'!AP13/15</f>
        <v>32.799999999999997</v>
      </c>
      <c r="AQ13" s="1680">
        <f>+'NEW Fall CHP by DISC'!AQ13/12</f>
        <v>0</v>
      </c>
      <c r="AR13" s="1680">
        <f t="shared" si="15"/>
        <v>32.799999999999997</v>
      </c>
      <c r="AS13" s="1679">
        <f t="shared" si="16"/>
        <v>-6.2857142857142945E-2</v>
      </c>
    </row>
    <row r="14" spans="1:45" x14ac:dyDescent="0.25">
      <c r="A14" s="1319" t="s">
        <v>1023</v>
      </c>
      <c r="B14" s="1680">
        <f>+'NEW Fall CHP by DISC'!B14/15</f>
        <v>0</v>
      </c>
      <c r="C14" s="1680">
        <f>+'NEW Fall CHP by DISC'!C14/15</f>
        <v>18.8</v>
      </c>
      <c r="D14" s="1680">
        <f>+'NEW Fall CHP by DISC'!D14/12</f>
        <v>0</v>
      </c>
      <c r="E14" s="1678">
        <f t="shared" si="0"/>
        <v>18.8</v>
      </c>
      <c r="F14" s="1680">
        <f>+'NEW Fall CHP by DISC'!F14/15</f>
        <v>0</v>
      </c>
      <c r="G14" s="1680">
        <f>+'NEW Fall CHP by DISC'!G14/15</f>
        <v>18.399999999999999</v>
      </c>
      <c r="H14" s="1680">
        <f>+'NEW Fall CHP by DISC'!H14/12</f>
        <v>0</v>
      </c>
      <c r="I14" s="1680">
        <f t="shared" si="1"/>
        <v>18.399999999999999</v>
      </c>
      <c r="J14" s="505">
        <f t="shared" si="2"/>
        <v>-2.1276595744680965E-2</v>
      </c>
      <c r="K14" s="1680">
        <f>+'NEW Fall CHP by DISC'!K14/15</f>
        <v>0</v>
      </c>
      <c r="L14" s="1680">
        <f>+'NEW Fall CHP by DISC'!L14/15</f>
        <v>21.6</v>
      </c>
      <c r="M14" s="1680">
        <f>+'NEW Fall CHP by DISC'!M14/12</f>
        <v>0</v>
      </c>
      <c r="N14" s="1680">
        <f t="shared" si="3"/>
        <v>21.6</v>
      </c>
      <c r="O14" s="505">
        <f t="shared" si="4"/>
        <v>0.17391304347826103</v>
      </c>
      <c r="P14" s="1680">
        <f>+'NEW Fall CHP by DISC'!P14/15</f>
        <v>0</v>
      </c>
      <c r="Q14" s="1680">
        <f>+'NEW Fall CHP by DISC'!Q14/15</f>
        <v>20</v>
      </c>
      <c r="R14" s="1680">
        <f>+'NEW Fall CHP by DISC'!R14/12</f>
        <v>0</v>
      </c>
      <c r="S14" s="1680">
        <f t="shared" si="5"/>
        <v>20</v>
      </c>
      <c r="T14" s="505">
        <f t="shared" si="6"/>
        <v>-7.4074074074074139E-2</v>
      </c>
      <c r="U14" s="1680">
        <f>+'NEW Fall CHP by DISC'!U14/15</f>
        <v>0</v>
      </c>
      <c r="V14" s="1680">
        <f>+'NEW Fall CHP by DISC'!V14/15</f>
        <v>33.200000000000003</v>
      </c>
      <c r="W14" s="1680">
        <f>+'NEW Fall CHP by DISC'!W14/12</f>
        <v>0</v>
      </c>
      <c r="X14" s="1680">
        <f t="shared" si="7"/>
        <v>33.200000000000003</v>
      </c>
      <c r="Y14" s="505">
        <f t="shared" si="8"/>
        <v>0.66000000000000014</v>
      </c>
      <c r="Z14" s="1680">
        <f>+'NEW Fall CHP by DISC'!Z14/15</f>
        <v>0</v>
      </c>
      <c r="AA14" s="1680">
        <f>+'NEW Fall CHP by DISC'!AA14/15</f>
        <v>28.6</v>
      </c>
      <c r="AB14" s="1680">
        <f>+'NEW Fall CHP by DISC'!AB14/12</f>
        <v>0</v>
      </c>
      <c r="AC14" s="1680">
        <f t="shared" si="9"/>
        <v>28.6</v>
      </c>
      <c r="AD14" s="505">
        <f t="shared" si="10"/>
        <v>-0.13855421686746991</v>
      </c>
      <c r="AE14" s="1680">
        <f>+'NEW Fall CHP by DISC'!AE14/15</f>
        <v>0</v>
      </c>
      <c r="AF14" s="1680">
        <f>+'NEW Fall CHP by DISC'!AF14/15</f>
        <v>20.2</v>
      </c>
      <c r="AG14" s="1680">
        <f>+'NEW Fall CHP by DISC'!AG14/12</f>
        <v>0</v>
      </c>
      <c r="AH14" s="1680">
        <f t="shared" si="11"/>
        <v>20.2</v>
      </c>
      <c r="AI14" s="505">
        <f t="shared" si="12"/>
        <v>-0.29370629370629375</v>
      </c>
      <c r="AJ14" s="1680">
        <f>+'NEW Fall CHP by DISC'!AJ14/15</f>
        <v>0</v>
      </c>
      <c r="AK14" s="1680">
        <f>+'NEW Fall CHP by DISC'!AK14/15</f>
        <v>22.2</v>
      </c>
      <c r="AL14" s="1680">
        <f>+'NEW Fall CHP by DISC'!AL14/12</f>
        <v>0</v>
      </c>
      <c r="AM14" s="1680">
        <f t="shared" si="13"/>
        <v>22.2</v>
      </c>
      <c r="AN14" s="1679">
        <f t="shared" si="14"/>
        <v>9.9009900990099015E-2</v>
      </c>
      <c r="AO14" s="1680">
        <f>+'NEW Fall CHP by DISC'!AO14/15</f>
        <v>0</v>
      </c>
      <c r="AP14" s="1680">
        <f>+'NEW Fall CHP by DISC'!AP14/15</f>
        <v>26.6</v>
      </c>
      <c r="AQ14" s="1680">
        <f>+'NEW Fall CHP by DISC'!AQ14/12</f>
        <v>0</v>
      </c>
      <c r="AR14" s="1680">
        <f t="shared" si="15"/>
        <v>26.6</v>
      </c>
      <c r="AS14" s="1679">
        <f t="shared" si="16"/>
        <v>0.19819819819819831</v>
      </c>
    </row>
    <row r="15" spans="1:45" s="484" customFormat="1" ht="13.8" x14ac:dyDescent="0.25">
      <c r="A15" s="1322" t="s">
        <v>1015</v>
      </c>
      <c r="B15" s="481">
        <f t="shared" ref="B15:I15" si="17">SUM(B7:B14)</f>
        <v>131</v>
      </c>
      <c r="C15" s="481">
        <f t="shared" si="17"/>
        <v>125.53333333333335</v>
      </c>
      <c r="D15" s="481">
        <f t="shared" si="17"/>
        <v>0</v>
      </c>
      <c r="E15" s="591">
        <f t="shared" si="17"/>
        <v>256.5333333333333</v>
      </c>
      <c r="F15" s="481">
        <f t="shared" si="17"/>
        <v>169</v>
      </c>
      <c r="G15" s="481">
        <f t="shared" si="17"/>
        <v>127.20000000000002</v>
      </c>
      <c r="H15" s="481">
        <f t="shared" si="17"/>
        <v>0</v>
      </c>
      <c r="I15" s="481">
        <f t="shared" si="17"/>
        <v>296.2</v>
      </c>
      <c r="J15" s="585">
        <f t="shared" si="2"/>
        <v>0.15462577962577972</v>
      </c>
      <c r="K15" s="481">
        <f>SUM(K7:K14)</f>
        <v>175.59999999999997</v>
      </c>
      <c r="L15" s="481">
        <f>SUM(L7:L14)</f>
        <v>162.86666666666665</v>
      </c>
      <c r="M15" s="481">
        <f>SUM(M7:M14)</f>
        <v>0</v>
      </c>
      <c r="N15" s="481">
        <f>SUM(N7:N14)</f>
        <v>338.46666666666664</v>
      </c>
      <c r="O15" s="585">
        <f t="shared" si="4"/>
        <v>0.1426963763223047</v>
      </c>
      <c r="P15" s="481">
        <f>SUM(P7:P14)</f>
        <v>193.6</v>
      </c>
      <c r="Q15" s="481">
        <f>SUM(Q7:Q14)</f>
        <v>145.66666666666666</v>
      </c>
      <c r="R15" s="481">
        <f>SUM(R7:R14)</f>
        <v>0</v>
      </c>
      <c r="S15" s="481">
        <f>SUM(S7:S14)</f>
        <v>339.26666666666665</v>
      </c>
      <c r="T15" s="585">
        <f t="shared" si="6"/>
        <v>2.3636005515068289E-3</v>
      </c>
      <c r="U15" s="481">
        <f>SUM(U7:U14)</f>
        <v>191.00000000000003</v>
      </c>
      <c r="V15" s="481">
        <f>SUM(V7:V14)</f>
        <v>167.13333333333333</v>
      </c>
      <c r="W15" s="481">
        <f>SUM(W7:W14)</f>
        <v>0</v>
      </c>
      <c r="X15" s="481">
        <f>SUM(X7:X14)</f>
        <v>358.13333333333333</v>
      </c>
      <c r="Y15" s="585">
        <f t="shared" si="8"/>
        <v>5.5610139516604463E-2</v>
      </c>
      <c r="Z15" s="481">
        <f>SUM(Z7:Z14)</f>
        <v>190.93333333333334</v>
      </c>
      <c r="AA15" s="481">
        <f>SUM(AA7:AA14)</f>
        <v>172.26666666666665</v>
      </c>
      <c r="AB15" s="481">
        <f>SUM(AB7:AB14)</f>
        <v>0</v>
      </c>
      <c r="AC15" s="481">
        <f>SUM(AC7:AC14)</f>
        <v>363.20000000000005</v>
      </c>
      <c r="AD15" s="585">
        <f t="shared" si="10"/>
        <v>1.4147431124348622E-2</v>
      </c>
      <c r="AE15" s="481">
        <f>SUM(AE7:AE14)</f>
        <v>159.39999999999998</v>
      </c>
      <c r="AF15" s="481">
        <f>SUM(AF7:AF14)</f>
        <v>162.46666666666664</v>
      </c>
      <c r="AG15" s="481">
        <f>SUM(AG7:AG14)</f>
        <v>0</v>
      </c>
      <c r="AH15" s="481">
        <f>SUM(AH7:AH14)</f>
        <v>321.86666666666662</v>
      </c>
      <c r="AI15" s="585">
        <f t="shared" si="12"/>
        <v>-0.1138032305433189</v>
      </c>
      <c r="AJ15" s="481">
        <f>SUM(AJ7:AJ14)</f>
        <v>179.93333333333334</v>
      </c>
      <c r="AK15" s="481">
        <f>SUM(AK7:AK14)</f>
        <v>156.33333333333331</v>
      </c>
      <c r="AL15" s="481">
        <f>SUM(AL7:AL14)</f>
        <v>0</v>
      </c>
      <c r="AM15" s="481">
        <f>SUM(AM7:AM14)</f>
        <v>336.26666666666659</v>
      </c>
      <c r="AN15" s="593">
        <f t="shared" si="14"/>
        <v>4.4739022369511119E-2</v>
      </c>
      <c r="AO15" s="481">
        <f>SUM(AO7:AO14)</f>
        <v>174.93333333333334</v>
      </c>
      <c r="AP15" s="481">
        <f>SUM(AP7:AP14)</f>
        <v>159.66666666666666</v>
      </c>
      <c r="AQ15" s="481">
        <f>SUM(AQ7:AQ14)</f>
        <v>0</v>
      </c>
      <c r="AR15" s="481">
        <f>SUM(AR7:AR14)</f>
        <v>334.6</v>
      </c>
      <c r="AS15" s="593">
        <f t="shared" si="16"/>
        <v>-4.9563838223629234E-3</v>
      </c>
    </row>
    <row r="16" spans="1:45" x14ac:dyDescent="0.25">
      <c r="A16" s="1325" t="s">
        <v>432</v>
      </c>
      <c r="B16" s="1876"/>
      <c r="C16" s="1877"/>
      <c r="D16" s="1877"/>
      <c r="E16" s="438"/>
      <c r="F16" s="1876"/>
      <c r="G16" s="1877"/>
      <c r="H16" s="1877"/>
      <c r="I16" s="1877"/>
      <c r="J16" s="438"/>
      <c r="K16" s="1869"/>
      <c r="L16" s="1877"/>
      <c r="M16" s="1877"/>
      <c r="N16" s="1877"/>
      <c r="O16" s="438"/>
      <c r="P16" s="1869"/>
      <c r="Q16" s="1877"/>
      <c r="R16" s="1877"/>
      <c r="S16" s="1877"/>
      <c r="T16" s="438"/>
      <c r="U16" s="1869"/>
      <c r="V16" s="1877"/>
      <c r="W16" s="1877"/>
      <c r="X16" s="1877"/>
      <c r="Y16" s="438"/>
      <c r="Z16" s="1869"/>
      <c r="AA16" s="1877"/>
      <c r="AB16" s="1877"/>
      <c r="AC16" s="1877"/>
      <c r="AD16" s="438"/>
      <c r="AE16" s="1869"/>
      <c r="AF16" s="1877"/>
      <c r="AG16" s="1877"/>
      <c r="AH16" s="1877"/>
      <c r="AI16" s="438"/>
      <c r="AJ16" s="1869"/>
      <c r="AK16" s="1877"/>
      <c r="AL16" s="1877"/>
      <c r="AM16" s="1877"/>
      <c r="AN16" s="438"/>
      <c r="AO16" s="1869"/>
      <c r="AP16" s="1877"/>
      <c r="AQ16" s="1877"/>
      <c r="AR16" s="1877"/>
      <c r="AS16" s="438"/>
    </row>
    <row r="17" spans="1:45" x14ac:dyDescent="0.25">
      <c r="A17" s="1326" t="s">
        <v>1043</v>
      </c>
      <c r="B17" s="1680">
        <f>+'NEW Fall CHP by DISC'!B17/15</f>
        <v>8</v>
      </c>
      <c r="C17" s="1680">
        <f>+'NEW Fall CHP by DISC'!C17/15</f>
        <v>0.8</v>
      </c>
      <c r="D17" s="1680">
        <f>+'NEW Fall CHP by DISC'!D17/12</f>
        <v>0</v>
      </c>
      <c r="E17" s="326">
        <f>SUM(B17:D17)</f>
        <v>8.8000000000000007</v>
      </c>
      <c r="F17" s="1680">
        <f>+'NEW Fall CHP by DISC'!F17/15</f>
        <v>9</v>
      </c>
      <c r="G17" s="1680">
        <f>+'NEW Fall CHP by DISC'!G17/15</f>
        <v>0</v>
      </c>
      <c r="H17" s="1680">
        <f>+'NEW Fall CHP by DISC'!H17/12</f>
        <v>0</v>
      </c>
      <c r="I17" s="1246">
        <f>SUM(F17:H17)</f>
        <v>9</v>
      </c>
      <c r="J17" s="491">
        <f t="shared" ref="J17:J23" si="18">IF(E17&gt;0,(I17-E17)/E17,(IF(I17=0,"N/A",100%)))</f>
        <v>2.2727272727272645E-2</v>
      </c>
      <c r="K17" s="1680">
        <f>+'NEW Fall CHP by DISC'!K17/15</f>
        <v>16.600000000000001</v>
      </c>
      <c r="L17" s="1680">
        <f>+'NEW Fall CHP by DISC'!L17/15</f>
        <v>0</v>
      </c>
      <c r="M17" s="1680">
        <f>+'NEW Fall CHP by DISC'!M17/12</f>
        <v>0</v>
      </c>
      <c r="N17" s="1246">
        <f>SUM(K17:M17)</f>
        <v>16.600000000000001</v>
      </c>
      <c r="O17" s="491">
        <f t="shared" ref="O17:O23" si="19">IF(I17&gt;0,(N17-I17)/I17,(IF(N17=0,"N/A",100%)))</f>
        <v>0.84444444444444455</v>
      </c>
      <c r="P17" s="1680">
        <f>+'NEW Fall CHP by DISC'!P17/15</f>
        <v>15.2</v>
      </c>
      <c r="Q17" s="1680">
        <f>+'NEW Fall CHP by DISC'!Q17/15</f>
        <v>0</v>
      </c>
      <c r="R17" s="1680">
        <f>+'NEW Fall CHP by DISC'!R17/12</f>
        <v>0</v>
      </c>
      <c r="S17" s="1246">
        <f>SUM(P17:R17)</f>
        <v>15.2</v>
      </c>
      <c r="T17" s="491">
        <f t="shared" ref="T17:T23" si="20">IF(N17&gt;0,(S17-N17)/N17,(IF(S17=0,"N/A",100%)))</f>
        <v>-8.433734939759048E-2</v>
      </c>
      <c r="U17" s="1680">
        <f>+'NEW Fall CHP by DISC'!U17/15</f>
        <v>14</v>
      </c>
      <c r="V17" s="1680">
        <f>+'NEW Fall CHP by DISC'!V17/15</f>
        <v>0</v>
      </c>
      <c r="W17" s="1680">
        <f>+'NEW Fall CHP by DISC'!W17/12</f>
        <v>0</v>
      </c>
      <c r="X17" s="1246">
        <f>SUM(U17:W17)</f>
        <v>14</v>
      </c>
      <c r="Y17" s="491">
        <f t="shared" ref="Y17:Y23" si="21">IF(S17&gt;0,(X17-S17)/S17,(IF(X17=0,"N/A",100%)))</f>
        <v>-7.8947368421052586E-2</v>
      </c>
      <c r="Z17" s="1680">
        <f>+'NEW Fall CHP by DISC'!Z17/15</f>
        <v>14.2</v>
      </c>
      <c r="AA17" s="1680">
        <f>+'NEW Fall CHP by DISC'!AA17/15</f>
        <v>0</v>
      </c>
      <c r="AB17" s="1680">
        <f>+'NEW Fall CHP by DISC'!AB17/12</f>
        <v>0</v>
      </c>
      <c r="AC17" s="1246">
        <f>SUM(Z17:AB17)</f>
        <v>14.2</v>
      </c>
      <c r="AD17" s="491">
        <f t="shared" ref="AD17:AD23" si="22">IF(X17&gt;0,(AC17-X17)/X17,(IF(AC17=0,"N/A",100%)))</f>
        <v>1.4285714285714235E-2</v>
      </c>
      <c r="AE17" s="1680">
        <f>+'NEW Fall CHP by DISC'!AE17/15</f>
        <v>20.6</v>
      </c>
      <c r="AF17" s="1680">
        <f>+'NEW Fall CHP by DISC'!AF17/15</f>
        <v>0</v>
      </c>
      <c r="AG17" s="1680">
        <f>+'NEW Fall CHP by DISC'!AG17/12</f>
        <v>0</v>
      </c>
      <c r="AH17" s="1246">
        <f>SUM(AE17:AG17)</f>
        <v>20.6</v>
      </c>
      <c r="AI17" s="491">
        <f t="shared" ref="AI17:AI23" si="23">IF(AC17&gt;0,(AH17-AC17)/AC17,(IF(AH17=0,"N/A",100%)))</f>
        <v>0.45070422535211285</v>
      </c>
      <c r="AJ17" s="1680">
        <f>+'NEW Fall CHP by DISC'!AJ17/15</f>
        <v>20.8</v>
      </c>
      <c r="AK17" s="1680">
        <f>+'NEW Fall CHP by DISC'!AK17/15</f>
        <v>0</v>
      </c>
      <c r="AL17" s="1680">
        <f>+'NEW Fall CHP by DISC'!AL17/12</f>
        <v>0</v>
      </c>
      <c r="AM17" s="1246">
        <f>SUM(AJ17:AL17)</f>
        <v>20.8</v>
      </c>
      <c r="AN17" s="491">
        <f t="shared" ref="AN17:AN23" si="24">IF(AH17&gt;0,(AM17-AH17)/AH17,(IF(AM17=0,"N/A",100%)))</f>
        <v>9.7087378640776344E-3</v>
      </c>
      <c r="AO17" s="1680">
        <f>+'NEW Fall CHP by DISC'!AO17/15</f>
        <v>17</v>
      </c>
      <c r="AP17" s="1680">
        <f>+'NEW Fall CHP by DISC'!AP17/15</f>
        <v>0</v>
      </c>
      <c r="AQ17" s="1680">
        <f>+'NEW Fall CHP by DISC'!AQ17/12</f>
        <v>0</v>
      </c>
      <c r="AR17" s="1246">
        <f>SUM(AO17:AQ17)</f>
        <v>17</v>
      </c>
      <c r="AS17" s="491">
        <f t="shared" ref="AS17:AS23" si="25">IF(AM17&gt;0,(AR17-AM17)/AM17,(IF(AR17=0,"N/A",100%)))</f>
        <v>-0.18269230769230771</v>
      </c>
    </row>
    <row r="18" spans="1:45" x14ac:dyDescent="0.25">
      <c r="A18" s="1326" t="s">
        <v>514</v>
      </c>
      <c r="B18" s="1680">
        <f>+'NEW Fall CHP by DISC'!B18/15</f>
        <v>0</v>
      </c>
      <c r="C18" s="1680">
        <f>+'NEW Fall CHP by DISC'!C18/15</f>
        <v>3</v>
      </c>
      <c r="D18" s="1680">
        <f>+'NEW Fall CHP by DISC'!D18/12</f>
        <v>0</v>
      </c>
      <c r="E18" s="326">
        <f>SUM(B18:D18)</f>
        <v>3</v>
      </c>
      <c r="F18" s="1680">
        <f>+'NEW Fall CHP by DISC'!F18/15</f>
        <v>0</v>
      </c>
      <c r="G18" s="1680">
        <f>+'NEW Fall CHP by DISC'!G18/15</f>
        <v>5.2</v>
      </c>
      <c r="H18" s="1680">
        <f>+'NEW Fall CHP by DISC'!H18/12</f>
        <v>0</v>
      </c>
      <c r="I18" s="1246">
        <f>SUM(F18:H18)</f>
        <v>5.2</v>
      </c>
      <c r="J18" s="491">
        <f t="shared" si="18"/>
        <v>0.73333333333333339</v>
      </c>
      <c r="K18" s="1680">
        <f>+'NEW Fall CHP by DISC'!K18/15</f>
        <v>0</v>
      </c>
      <c r="L18" s="1680">
        <f>+'NEW Fall CHP by DISC'!L18/15</f>
        <v>4.8</v>
      </c>
      <c r="M18" s="1680">
        <f>+'NEW Fall CHP by DISC'!M18/12</f>
        <v>0</v>
      </c>
      <c r="N18" s="1246">
        <f>SUM(K18:M18)</f>
        <v>4.8</v>
      </c>
      <c r="O18" s="491">
        <f t="shared" si="19"/>
        <v>-7.6923076923076983E-2</v>
      </c>
      <c r="P18" s="1680">
        <f>+'NEW Fall CHP by DISC'!P18/15</f>
        <v>0</v>
      </c>
      <c r="Q18" s="1680">
        <f>+'NEW Fall CHP by DISC'!Q18/15</f>
        <v>2.8</v>
      </c>
      <c r="R18" s="1680">
        <f>+'NEW Fall CHP by DISC'!R18/12</f>
        <v>0</v>
      </c>
      <c r="S18" s="1246">
        <f>SUM(P18:R18)</f>
        <v>2.8</v>
      </c>
      <c r="T18" s="491">
        <f t="shared" si="20"/>
        <v>-0.41666666666666669</v>
      </c>
      <c r="U18" s="1680">
        <f>+'NEW Fall CHP by DISC'!U18/15</f>
        <v>0</v>
      </c>
      <c r="V18" s="1680">
        <f>+'NEW Fall CHP by DISC'!V18/15</f>
        <v>3</v>
      </c>
      <c r="W18" s="1680">
        <f>+'NEW Fall CHP by DISC'!W18/12</f>
        <v>0</v>
      </c>
      <c r="X18" s="1246">
        <f>SUM(U18:W18)</f>
        <v>3</v>
      </c>
      <c r="Y18" s="491">
        <f t="shared" si="21"/>
        <v>7.1428571428571494E-2</v>
      </c>
      <c r="Z18" s="1680">
        <f>+'NEW Fall CHP by DISC'!Z18/15</f>
        <v>0</v>
      </c>
      <c r="AA18" s="1680">
        <f>+'NEW Fall CHP by DISC'!AA18/15</f>
        <v>1.2</v>
      </c>
      <c r="AB18" s="1680">
        <f>+'NEW Fall CHP by DISC'!AB18/12</f>
        <v>0</v>
      </c>
      <c r="AC18" s="1246">
        <f>SUM(Z18:AB18)</f>
        <v>1.2</v>
      </c>
      <c r="AD18" s="491">
        <f t="shared" si="22"/>
        <v>-0.6</v>
      </c>
      <c r="AE18" s="1680">
        <f>+'NEW Fall CHP by DISC'!AE18/15</f>
        <v>0</v>
      </c>
      <c r="AF18" s="1680">
        <f>+'NEW Fall CHP by DISC'!AF18/15</f>
        <v>1.6</v>
      </c>
      <c r="AG18" s="1680">
        <f>+'NEW Fall CHP by DISC'!AG18/12</f>
        <v>0</v>
      </c>
      <c r="AH18" s="1246">
        <f>SUM(AE18:AG18)</f>
        <v>1.6</v>
      </c>
      <c r="AI18" s="491">
        <f t="shared" si="23"/>
        <v>0.33333333333333348</v>
      </c>
      <c r="AJ18" s="1680">
        <f>+'NEW Fall CHP by DISC'!AJ18/15</f>
        <v>0</v>
      </c>
      <c r="AK18" s="1680">
        <f>+'NEW Fall CHP by DISC'!AK18/15</f>
        <v>0</v>
      </c>
      <c r="AL18" s="1680">
        <f>+'NEW Fall CHP by DISC'!AL18/12</f>
        <v>0</v>
      </c>
      <c r="AM18" s="1246">
        <f>SUM(AJ18:AL18)</f>
        <v>0</v>
      </c>
      <c r="AN18" s="491">
        <f t="shared" si="24"/>
        <v>-1</v>
      </c>
      <c r="AO18" s="1680">
        <f>+'NEW Fall CHP by DISC'!AO18/15</f>
        <v>0</v>
      </c>
      <c r="AP18" s="1680">
        <f>+'NEW Fall CHP by DISC'!AP18/15</f>
        <v>0</v>
      </c>
      <c r="AQ18" s="1680">
        <f>+'NEW Fall CHP by DISC'!AQ18/12</f>
        <v>0</v>
      </c>
      <c r="AR18" s="1246">
        <f>SUM(AO18:AQ18)</f>
        <v>0</v>
      </c>
      <c r="AS18" s="491" t="str">
        <f t="shared" si="25"/>
        <v>N/A</v>
      </c>
    </row>
    <row r="19" spans="1:45" x14ac:dyDescent="0.25">
      <c r="A19" s="1326" t="s">
        <v>1652</v>
      </c>
      <c r="B19" s="1680">
        <f>+'NEW Fall CHP by DISC'!B19/15</f>
        <v>0</v>
      </c>
      <c r="C19" s="1680">
        <f>+'NEW Fall CHP by DISC'!C19/15</f>
        <v>0</v>
      </c>
      <c r="D19" s="1680">
        <f>+'NEW Fall CHP by DISC'!D19/12</f>
        <v>0</v>
      </c>
      <c r="E19" s="326">
        <f>SUM(B19:D19)</f>
        <v>0</v>
      </c>
      <c r="F19" s="1680">
        <f>+'NEW Fall CHP by DISC'!F19/15</f>
        <v>0</v>
      </c>
      <c r="G19" s="1680">
        <f>+'NEW Fall CHP by DISC'!G19/15</f>
        <v>0</v>
      </c>
      <c r="H19" s="1680">
        <f>+'NEW Fall CHP by DISC'!H19/12</f>
        <v>0</v>
      </c>
      <c r="I19" s="1246">
        <f>SUM(F19:H19)</f>
        <v>0</v>
      </c>
      <c r="J19" s="491" t="str">
        <f>IF(E19&gt;0,(I19-E19)/E19,(IF(I19=0,"N/A",100%)))</f>
        <v>N/A</v>
      </c>
      <c r="K19" s="1680">
        <f>+'NEW Fall CHP by DISC'!K19/15</f>
        <v>0</v>
      </c>
      <c r="L19" s="1680">
        <f>+'NEW Fall CHP by DISC'!L19/15</f>
        <v>0</v>
      </c>
      <c r="M19" s="1680">
        <f>+'NEW Fall CHP by DISC'!M19/12</f>
        <v>0</v>
      </c>
      <c r="N19" s="1246">
        <f>SUM(K19:M19)</f>
        <v>0</v>
      </c>
      <c r="O19" s="491" t="str">
        <f>IF(I19&gt;0,(N19-I19)/I19,(IF(N19=0,"N/A",100%)))</f>
        <v>N/A</v>
      </c>
      <c r="P19" s="1680">
        <f>+'NEW Fall CHP by DISC'!P19/15</f>
        <v>0</v>
      </c>
      <c r="Q19" s="1680">
        <f>+'NEW Fall CHP by DISC'!Q19/15</f>
        <v>0</v>
      </c>
      <c r="R19" s="1680">
        <f>+'NEW Fall CHP by DISC'!R19/12</f>
        <v>0</v>
      </c>
      <c r="S19" s="1246">
        <f>SUM(P19:R19)</f>
        <v>0</v>
      </c>
      <c r="T19" s="491" t="str">
        <f>IF(N19&gt;0,(S19-N19)/N19,(IF(S19=0,"N/A",100%)))</f>
        <v>N/A</v>
      </c>
      <c r="U19" s="1680">
        <f>+'NEW Fall CHP by DISC'!U19/15</f>
        <v>0</v>
      </c>
      <c r="V19" s="1680">
        <f>+'NEW Fall CHP by DISC'!V19/15</f>
        <v>0</v>
      </c>
      <c r="W19" s="1680">
        <f>+'NEW Fall CHP by DISC'!W19/12</f>
        <v>0</v>
      </c>
      <c r="X19" s="1246">
        <f>SUM(U19:W19)</f>
        <v>0</v>
      </c>
      <c r="Y19" s="491" t="str">
        <f>IF(S19&gt;0,(X19-S19)/S19,(IF(X19=0,"N/A",100%)))</f>
        <v>N/A</v>
      </c>
      <c r="Z19" s="1680">
        <f>+'NEW Fall CHP by DISC'!Z19/15</f>
        <v>0</v>
      </c>
      <c r="AA19" s="1680">
        <f>+'NEW Fall CHP by DISC'!AA19/15</f>
        <v>0</v>
      </c>
      <c r="AB19" s="1680">
        <f>+'NEW Fall CHP by DISC'!AB19/12</f>
        <v>0</v>
      </c>
      <c r="AC19" s="1246">
        <f>SUM(Z19:AB19)</f>
        <v>0</v>
      </c>
      <c r="AD19" s="491" t="str">
        <f>IF(X19&gt;0,(AC19-X19)/X19,(IF(AC19=0,"N/A",100%)))</f>
        <v>N/A</v>
      </c>
      <c r="AE19" s="1680">
        <f>+'NEW Fall CHP by DISC'!AE19/15</f>
        <v>0</v>
      </c>
      <c r="AF19" s="1680">
        <f>+'NEW Fall CHP by DISC'!AF19/15</f>
        <v>0</v>
      </c>
      <c r="AG19" s="1680">
        <f>+'NEW Fall CHP by DISC'!AG19/12</f>
        <v>0</v>
      </c>
      <c r="AH19" s="1246">
        <f>SUM(AE19:AG19)</f>
        <v>0</v>
      </c>
      <c r="AI19" s="491" t="str">
        <f>IF(AC19&gt;0,(AH19-AC19)/AC19,(IF(AH19=0,"N/A",100%)))</f>
        <v>N/A</v>
      </c>
      <c r="AJ19" s="1680">
        <f>+'NEW Fall CHP by DISC'!AJ19/15</f>
        <v>0</v>
      </c>
      <c r="AK19" s="1680">
        <f>+'NEW Fall CHP by DISC'!AK19/15</f>
        <v>0</v>
      </c>
      <c r="AL19" s="1680">
        <f>+'NEW Fall CHP by DISC'!AL19/12</f>
        <v>3.25</v>
      </c>
      <c r="AM19" s="1246">
        <f>SUM(AJ19:AL19)</f>
        <v>3.25</v>
      </c>
      <c r="AN19" s="491">
        <f>IF(AH19&gt;0,(AM19-AH19)/AH19,(IF(AM19=0,"N/A",100%)))</f>
        <v>1</v>
      </c>
      <c r="AO19" s="1680">
        <f>+'NEW Fall CHP by DISC'!AO19/15</f>
        <v>0</v>
      </c>
      <c r="AP19" s="1680">
        <f>+'NEW Fall CHP by DISC'!AP19/15</f>
        <v>0</v>
      </c>
      <c r="AQ19" s="1680">
        <f>+'NEW Fall CHP by DISC'!AQ19/12</f>
        <v>2.25</v>
      </c>
      <c r="AR19" s="1246">
        <f>SUM(AO19:AQ19)</f>
        <v>2.25</v>
      </c>
      <c r="AS19" s="491">
        <f t="shared" si="25"/>
        <v>-0.30769230769230771</v>
      </c>
    </row>
    <row r="20" spans="1:45" x14ac:dyDescent="0.25">
      <c r="A20" s="1326" t="s">
        <v>1042</v>
      </c>
      <c r="B20" s="1680">
        <f>+'NEW Fall CHP by DISC'!B20/15</f>
        <v>27.6</v>
      </c>
      <c r="C20" s="1680">
        <f>+'NEW Fall CHP by DISC'!C20/15</f>
        <v>36.4</v>
      </c>
      <c r="D20" s="1680">
        <f>+'NEW Fall CHP by DISC'!D20/12</f>
        <v>0</v>
      </c>
      <c r="E20" s="326">
        <f>SUM(B20:D20)</f>
        <v>64</v>
      </c>
      <c r="F20" s="1680">
        <f>+'NEW Fall CHP by DISC'!F20/15</f>
        <v>30.6</v>
      </c>
      <c r="G20" s="1680">
        <f>+'NEW Fall CHP by DISC'!G20/15</f>
        <v>39.733333333333334</v>
      </c>
      <c r="H20" s="1680">
        <f>+'NEW Fall CHP by DISC'!H20/12</f>
        <v>0</v>
      </c>
      <c r="I20" s="1246">
        <f>SUM(F20:H20)</f>
        <v>70.333333333333343</v>
      </c>
      <c r="J20" s="491">
        <f t="shared" si="18"/>
        <v>9.8958333333333481E-2</v>
      </c>
      <c r="K20" s="1680">
        <f>+'NEW Fall CHP by DISC'!K20/15</f>
        <v>51.8</v>
      </c>
      <c r="L20" s="1680">
        <f>+'NEW Fall CHP by DISC'!L20/15</f>
        <v>26.8</v>
      </c>
      <c r="M20" s="1680">
        <f>+'NEW Fall CHP by DISC'!M20/12</f>
        <v>0</v>
      </c>
      <c r="N20" s="1246">
        <f>SUM(K20:M20)</f>
        <v>78.599999999999994</v>
      </c>
      <c r="O20" s="491">
        <f t="shared" si="19"/>
        <v>0.11753554502369645</v>
      </c>
      <c r="P20" s="1680">
        <f>+'NEW Fall CHP by DISC'!P20/15</f>
        <v>60.2</v>
      </c>
      <c r="Q20" s="1680">
        <f>+'NEW Fall CHP by DISC'!Q20/15</f>
        <v>21.533333333333335</v>
      </c>
      <c r="R20" s="1680">
        <f>+'NEW Fall CHP by DISC'!R20/12</f>
        <v>0</v>
      </c>
      <c r="S20" s="1246">
        <f>SUM(P20:R20)</f>
        <v>81.733333333333334</v>
      </c>
      <c r="T20" s="491">
        <f t="shared" si="20"/>
        <v>3.9864291772688805E-2</v>
      </c>
      <c r="U20" s="1680">
        <f>+'NEW Fall CHP by DISC'!U20/15</f>
        <v>51.2</v>
      </c>
      <c r="V20" s="1680">
        <f>+'NEW Fall CHP by DISC'!V20/15</f>
        <v>15.066666666666666</v>
      </c>
      <c r="W20" s="1680">
        <f>+'NEW Fall CHP by DISC'!W20/12</f>
        <v>0</v>
      </c>
      <c r="X20" s="1246">
        <f>SUM(U20:W20)</f>
        <v>66.266666666666666</v>
      </c>
      <c r="Y20" s="491">
        <f t="shared" si="21"/>
        <v>-0.18923327895595435</v>
      </c>
      <c r="Z20" s="1680">
        <f>+'NEW Fall CHP by DISC'!Z20/15</f>
        <v>53.2</v>
      </c>
      <c r="AA20" s="1680">
        <f>+'NEW Fall CHP by DISC'!AA20/15</f>
        <v>19</v>
      </c>
      <c r="AB20" s="1680">
        <f>+'NEW Fall CHP by DISC'!AB20/12</f>
        <v>0</v>
      </c>
      <c r="AC20" s="1246">
        <f>SUM(Z20:AB20)</f>
        <v>72.2</v>
      </c>
      <c r="AD20" s="491">
        <f t="shared" si="22"/>
        <v>8.9537223340040301E-2</v>
      </c>
      <c r="AE20" s="1680">
        <f>+'NEW Fall CHP by DISC'!AE20/15</f>
        <v>67.400000000000006</v>
      </c>
      <c r="AF20" s="1680">
        <f>+'NEW Fall CHP by DISC'!AF20/15</f>
        <v>19.266666666666666</v>
      </c>
      <c r="AG20" s="1680">
        <f>+'NEW Fall CHP by DISC'!AG20/12</f>
        <v>0</v>
      </c>
      <c r="AH20" s="1246">
        <f>SUM(AE20:AG20)</f>
        <v>86.666666666666671</v>
      </c>
      <c r="AI20" s="491">
        <f t="shared" si="23"/>
        <v>0.20036934441366577</v>
      </c>
      <c r="AJ20" s="1680">
        <f>+'NEW Fall CHP by DISC'!AJ20/15</f>
        <v>58.6</v>
      </c>
      <c r="AK20" s="1680">
        <f>+'NEW Fall CHP by DISC'!AK20/15</f>
        <v>16.266666666666666</v>
      </c>
      <c r="AL20" s="1680">
        <f>+'NEW Fall CHP by DISC'!AL20/12</f>
        <v>0</v>
      </c>
      <c r="AM20" s="1246">
        <f>SUM(AJ20:AL20)</f>
        <v>74.866666666666674</v>
      </c>
      <c r="AN20" s="491">
        <f t="shared" si="24"/>
        <v>-0.13615384615384613</v>
      </c>
      <c r="AO20" s="1680">
        <f>+'NEW Fall CHP by DISC'!AO20/15</f>
        <v>49.6</v>
      </c>
      <c r="AP20" s="1680">
        <f>+'NEW Fall CHP by DISC'!AP20/15</f>
        <v>23.2</v>
      </c>
      <c r="AQ20" s="1680">
        <f>+'NEW Fall CHP by DISC'!AQ20/12</f>
        <v>0</v>
      </c>
      <c r="AR20" s="1246">
        <f>SUM(AO20:AQ20)</f>
        <v>72.8</v>
      </c>
      <c r="AS20" s="491">
        <f t="shared" si="25"/>
        <v>-2.7604630454140831E-2</v>
      </c>
    </row>
    <row r="21" spans="1:45" x14ac:dyDescent="0.25">
      <c r="A21" s="1326" t="s">
        <v>1014</v>
      </c>
      <c r="B21" s="1680">
        <f>+'NEW Fall CHP by DISC'!B21/15</f>
        <v>59.06666666666667</v>
      </c>
      <c r="C21" s="1680">
        <f>+'NEW Fall CHP by DISC'!C21/15</f>
        <v>32</v>
      </c>
      <c r="D21" s="1680">
        <f>+'NEW Fall CHP by DISC'!D21/12</f>
        <v>0</v>
      </c>
      <c r="E21" s="326">
        <f>SUM(B21:D21)</f>
        <v>91.066666666666663</v>
      </c>
      <c r="F21" s="1680">
        <f>+'NEW Fall CHP by DISC'!F21/15</f>
        <v>65.666666666666671</v>
      </c>
      <c r="G21" s="1680">
        <f>+'NEW Fall CHP by DISC'!G21/15</f>
        <v>33.200000000000003</v>
      </c>
      <c r="H21" s="1680">
        <f>+'NEW Fall CHP by DISC'!H21/12</f>
        <v>0</v>
      </c>
      <c r="I21" s="1246">
        <f>SUM(F21:H21)</f>
        <v>98.866666666666674</v>
      </c>
      <c r="J21" s="491">
        <f t="shared" si="18"/>
        <v>8.5651537335285632E-2</v>
      </c>
      <c r="K21" s="1680">
        <f>+'NEW Fall CHP by DISC'!K21/15</f>
        <v>72.2</v>
      </c>
      <c r="L21" s="1680">
        <f>+'NEW Fall CHP by DISC'!L21/15</f>
        <v>21.8</v>
      </c>
      <c r="M21" s="1680">
        <f>+'NEW Fall CHP by DISC'!M21/12</f>
        <v>0</v>
      </c>
      <c r="N21" s="1246">
        <f>SUM(K21:M21)</f>
        <v>94</v>
      </c>
      <c r="O21" s="491">
        <f t="shared" si="19"/>
        <v>-4.9224544841537494E-2</v>
      </c>
      <c r="P21" s="1680">
        <f>+'NEW Fall CHP by DISC'!P21/15</f>
        <v>69.599999999999994</v>
      </c>
      <c r="Q21" s="1680">
        <f>+'NEW Fall CHP by DISC'!Q21/15</f>
        <v>26.4</v>
      </c>
      <c r="R21" s="1680">
        <f>+'NEW Fall CHP by DISC'!R21/12</f>
        <v>0</v>
      </c>
      <c r="S21" s="1246">
        <f>SUM(P21:R21)</f>
        <v>96</v>
      </c>
      <c r="T21" s="491">
        <f t="shared" si="20"/>
        <v>2.1276595744680851E-2</v>
      </c>
      <c r="U21" s="1680">
        <f>+'NEW Fall CHP by DISC'!U21/15</f>
        <v>77.86666666666666</v>
      </c>
      <c r="V21" s="1680">
        <f>+'NEW Fall CHP by DISC'!V21/15</f>
        <v>33.6</v>
      </c>
      <c r="W21" s="1680">
        <f>+'NEW Fall CHP by DISC'!W21/12</f>
        <v>0</v>
      </c>
      <c r="X21" s="1246">
        <f>SUM(U21:W21)</f>
        <v>111.46666666666667</v>
      </c>
      <c r="Y21" s="491">
        <f t="shared" si="21"/>
        <v>0.16111111111111112</v>
      </c>
      <c r="Z21" s="1680">
        <f>+'NEW Fall CHP by DISC'!Z21/15</f>
        <v>74.2</v>
      </c>
      <c r="AA21" s="1680">
        <f>+'NEW Fall CHP by DISC'!AA21/15</f>
        <v>33.4</v>
      </c>
      <c r="AB21" s="1680">
        <f>+'NEW Fall CHP by DISC'!AB21/12</f>
        <v>0</v>
      </c>
      <c r="AC21" s="1246">
        <f>SUM(Z21:AB21)</f>
        <v>107.6</v>
      </c>
      <c r="AD21" s="491">
        <f t="shared" si="22"/>
        <v>-3.4688995215311075E-2</v>
      </c>
      <c r="AE21" s="1680">
        <f>+'NEW Fall CHP by DISC'!AE21/15</f>
        <v>38.533333333333331</v>
      </c>
      <c r="AF21" s="1680">
        <f>+'NEW Fall CHP by DISC'!AF21/15</f>
        <v>26.8</v>
      </c>
      <c r="AG21" s="1680">
        <f>+'NEW Fall CHP by DISC'!AG21/12</f>
        <v>0</v>
      </c>
      <c r="AH21" s="1246">
        <f>SUM(AE21:AG21)</f>
        <v>65.333333333333329</v>
      </c>
      <c r="AI21" s="491">
        <f t="shared" si="23"/>
        <v>-0.39281288723667906</v>
      </c>
      <c r="AJ21" s="1680">
        <f>+'NEW Fall CHP by DISC'!AJ21/15</f>
        <v>38.799999999999997</v>
      </c>
      <c r="AK21" s="1680">
        <f>+'NEW Fall CHP by DISC'!AK21/15</f>
        <v>26.533333333333335</v>
      </c>
      <c r="AL21" s="1680">
        <f>+'NEW Fall CHP by DISC'!AL21/12</f>
        <v>0</v>
      </c>
      <c r="AM21" s="1246">
        <f>SUM(AJ21:AL21)</f>
        <v>65.333333333333329</v>
      </c>
      <c r="AN21" s="491">
        <f t="shared" si="24"/>
        <v>0</v>
      </c>
      <c r="AO21" s="1680">
        <f>+'NEW Fall CHP by DISC'!AO21/15</f>
        <v>44.2</v>
      </c>
      <c r="AP21" s="1680">
        <f>+'NEW Fall CHP by DISC'!AP21/15</f>
        <v>21.2</v>
      </c>
      <c r="AQ21" s="1680">
        <f>+'NEW Fall CHP by DISC'!AQ21/12</f>
        <v>0</v>
      </c>
      <c r="AR21" s="1246">
        <f>SUM(AO21:AQ21)</f>
        <v>65.400000000000006</v>
      </c>
      <c r="AS21" s="491">
        <f t="shared" si="25"/>
        <v>1.0204081632654658E-3</v>
      </c>
    </row>
    <row r="22" spans="1:45" s="484" customFormat="1" ht="13.8" x14ac:dyDescent="0.25">
      <c r="A22" s="1327" t="s">
        <v>1015</v>
      </c>
      <c r="B22" s="1259">
        <f t="shared" ref="B22:I22" si="26">SUM(B17:B21)</f>
        <v>94.666666666666671</v>
      </c>
      <c r="C22" s="1259">
        <f t="shared" si="26"/>
        <v>72.199999999999989</v>
      </c>
      <c r="D22" s="1259">
        <f t="shared" si="26"/>
        <v>0</v>
      </c>
      <c r="E22" s="495">
        <f t="shared" si="26"/>
        <v>166.86666666666667</v>
      </c>
      <c r="F22" s="1259">
        <f t="shared" si="26"/>
        <v>105.26666666666668</v>
      </c>
      <c r="G22" s="1259">
        <f t="shared" si="26"/>
        <v>78.13333333333334</v>
      </c>
      <c r="H22" s="1259">
        <f t="shared" si="26"/>
        <v>0</v>
      </c>
      <c r="I22" s="1259">
        <f t="shared" si="26"/>
        <v>183.40000000000003</v>
      </c>
      <c r="J22" s="496">
        <f t="shared" si="18"/>
        <v>9.9081102676788005E-2</v>
      </c>
      <c r="K22" s="1732">
        <f>SUM(K17:K21)</f>
        <v>140.60000000000002</v>
      </c>
      <c r="L22" s="1259">
        <f>SUM(L17:L21)</f>
        <v>53.400000000000006</v>
      </c>
      <c r="M22" s="1259">
        <f>SUM(M17:M21)</f>
        <v>0</v>
      </c>
      <c r="N22" s="1259">
        <f>SUM(N17:N21)</f>
        <v>194</v>
      </c>
      <c r="O22" s="496">
        <f t="shared" si="19"/>
        <v>5.7797164667393479E-2</v>
      </c>
      <c r="P22" s="1732">
        <f>SUM(P17:P21)</f>
        <v>145</v>
      </c>
      <c r="Q22" s="1259">
        <f>SUM(Q17:Q21)</f>
        <v>50.733333333333334</v>
      </c>
      <c r="R22" s="1259">
        <f>SUM(R17:R21)</f>
        <v>0</v>
      </c>
      <c r="S22" s="1259">
        <f>SUM(S17:S21)</f>
        <v>195.73333333333335</v>
      </c>
      <c r="T22" s="496">
        <f t="shared" si="20"/>
        <v>8.9347079037801463E-3</v>
      </c>
      <c r="U22" s="1732">
        <f>SUM(U17:U21)</f>
        <v>143.06666666666666</v>
      </c>
      <c r="V22" s="1259">
        <f>SUM(V17:V21)</f>
        <v>51.666666666666671</v>
      </c>
      <c r="W22" s="1259">
        <f>SUM(W17:W21)</f>
        <v>0</v>
      </c>
      <c r="X22" s="1259">
        <f>SUM(X17:X21)</f>
        <v>194.73333333333335</v>
      </c>
      <c r="Y22" s="496">
        <f t="shared" si="21"/>
        <v>-5.108991825613079E-3</v>
      </c>
      <c r="Z22" s="1732">
        <f>SUM(Z17:Z21)</f>
        <v>141.60000000000002</v>
      </c>
      <c r="AA22" s="1259">
        <f>SUM(AA17:AA21)</f>
        <v>53.599999999999994</v>
      </c>
      <c r="AB22" s="1259">
        <f>SUM(AB17:AB21)</f>
        <v>0</v>
      </c>
      <c r="AC22" s="1259">
        <f>SUM(AC17:AC21)</f>
        <v>195.2</v>
      </c>
      <c r="AD22" s="496">
        <f t="shared" si="22"/>
        <v>2.3964395754877102E-3</v>
      </c>
      <c r="AE22" s="1732">
        <f>SUM(AE17:AE21)</f>
        <v>126.53333333333333</v>
      </c>
      <c r="AF22" s="1259">
        <f>SUM(AF17:AF21)</f>
        <v>47.666666666666671</v>
      </c>
      <c r="AG22" s="1259">
        <f>SUM(AG17:AG21)</f>
        <v>0</v>
      </c>
      <c r="AH22" s="1259">
        <f>SUM(AH17:AH21)</f>
        <v>174.2</v>
      </c>
      <c r="AI22" s="496">
        <f t="shared" si="23"/>
        <v>-0.10758196721311476</v>
      </c>
      <c r="AJ22" s="1732">
        <f>SUM(AJ17:AJ21)</f>
        <v>118.2</v>
      </c>
      <c r="AK22" s="1259">
        <f>SUM(AK17:AK21)</f>
        <v>42.8</v>
      </c>
      <c r="AL22" s="1259">
        <f>SUM(AL17:AL21)</f>
        <v>3.25</v>
      </c>
      <c r="AM22" s="1259">
        <f>SUM(AM17:AM21)</f>
        <v>164.25</v>
      </c>
      <c r="AN22" s="496">
        <f t="shared" si="24"/>
        <v>-5.7118254879448847E-2</v>
      </c>
      <c r="AO22" s="1732">
        <f>SUM(AO17:AO21)</f>
        <v>110.8</v>
      </c>
      <c r="AP22" s="1259">
        <f>SUM(AP17:AP21)</f>
        <v>44.4</v>
      </c>
      <c r="AQ22" s="1259">
        <f>SUM(AQ17:AQ21)</f>
        <v>2.25</v>
      </c>
      <c r="AR22" s="1259">
        <f>SUM(AR17:AR21)</f>
        <v>157.44999999999999</v>
      </c>
      <c r="AS22" s="496">
        <f t="shared" si="25"/>
        <v>-4.1400304414003115E-2</v>
      </c>
    </row>
    <row r="23" spans="1:45" s="502" customFormat="1" ht="16.2" thickBot="1" x14ac:dyDescent="0.35">
      <c r="A23" s="1328" t="s">
        <v>433</v>
      </c>
      <c r="B23" s="974">
        <f t="shared" ref="B23:I23" si="27">+B22+B15</f>
        <v>225.66666666666669</v>
      </c>
      <c r="C23" s="974">
        <f t="shared" si="27"/>
        <v>197.73333333333335</v>
      </c>
      <c r="D23" s="974">
        <f t="shared" si="27"/>
        <v>0</v>
      </c>
      <c r="E23" s="989">
        <f t="shared" si="27"/>
        <v>423.4</v>
      </c>
      <c r="F23" s="974">
        <f t="shared" si="27"/>
        <v>274.26666666666665</v>
      </c>
      <c r="G23" s="974">
        <f t="shared" si="27"/>
        <v>205.33333333333337</v>
      </c>
      <c r="H23" s="974">
        <f t="shared" si="27"/>
        <v>0</v>
      </c>
      <c r="I23" s="974">
        <f t="shared" si="27"/>
        <v>479.6</v>
      </c>
      <c r="J23" s="975">
        <f t="shared" si="18"/>
        <v>0.13273500236183289</v>
      </c>
      <c r="K23" s="988">
        <f>+K22+K15</f>
        <v>316.2</v>
      </c>
      <c r="L23" s="974">
        <f>+L22+L15</f>
        <v>216.26666666666665</v>
      </c>
      <c r="M23" s="974">
        <f>+M22+M15</f>
        <v>0</v>
      </c>
      <c r="N23" s="974">
        <f>+N22+N15</f>
        <v>532.4666666666667</v>
      </c>
      <c r="O23" s="975">
        <f t="shared" si="19"/>
        <v>0.11023074784542676</v>
      </c>
      <c r="P23" s="988">
        <f>+P22+P15</f>
        <v>338.6</v>
      </c>
      <c r="Q23" s="974">
        <f>+Q22+Q15</f>
        <v>196.39999999999998</v>
      </c>
      <c r="R23" s="974">
        <f>+R22+R15</f>
        <v>0</v>
      </c>
      <c r="S23" s="974">
        <f>+S22+S15</f>
        <v>535</v>
      </c>
      <c r="T23" s="975">
        <f t="shared" si="20"/>
        <v>4.7577313133841921E-3</v>
      </c>
      <c r="U23" s="988">
        <f>+U22+U15</f>
        <v>334.06666666666672</v>
      </c>
      <c r="V23" s="974">
        <f>+V22+V15</f>
        <v>218.8</v>
      </c>
      <c r="W23" s="974">
        <f>+W22+W15</f>
        <v>0</v>
      </c>
      <c r="X23" s="974">
        <f>+X22+X15</f>
        <v>552.86666666666667</v>
      </c>
      <c r="Y23" s="975">
        <f t="shared" si="21"/>
        <v>3.3395638629283506E-2</v>
      </c>
      <c r="Z23" s="988">
        <f>+Z22+Z15</f>
        <v>332.53333333333336</v>
      </c>
      <c r="AA23" s="974">
        <f>+AA22+AA15</f>
        <v>225.86666666666665</v>
      </c>
      <c r="AB23" s="974">
        <f>+AB22+AB15</f>
        <v>0</v>
      </c>
      <c r="AC23" s="974">
        <f>+AC22+AC15</f>
        <v>558.40000000000009</v>
      </c>
      <c r="AD23" s="975">
        <f t="shared" si="22"/>
        <v>1.0008440853732214E-2</v>
      </c>
      <c r="AE23" s="988">
        <f>+AE22+AE15</f>
        <v>285.93333333333328</v>
      </c>
      <c r="AF23" s="974">
        <f>+AF22+AF15</f>
        <v>210.13333333333333</v>
      </c>
      <c r="AG23" s="974">
        <f>+AG22+AG15</f>
        <v>0</v>
      </c>
      <c r="AH23" s="974">
        <f>+AH22+AH15</f>
        <v>496.06666666666661</v>
      </c>
      <c r="AI23" s="975">
        <f t="shared" si="23"/>
        <v>-0.11162846227316167</v>
      </c>
      <c r="AJ23" s="988">
        <f>+AJ22+AJ15</f>
        <v>298.13333333333333</v>
      </c>
      <c r="AK23" s="974">
        <f>+AK22+AK15</f>
        <v>199.13333333333333</v>
      </c>
      <c r="AL23" s="974">
        <f>+AL22+AL15</f>
        <v>3.25</v>
      </c>
      <c r="AM23" s="974">
        <f>+AM22+AM15</f>
        <v>500.51666666666659</v>
      </c>
      <c r="AN23" s="975">
        <f t="shared" si="24"/>
        <v>8.9705684719795509E-3</v>
      </c>
      <c r="AO23" s="988">
        <f>+AO22+AO15</f>
        <v>285.73333333333335</v>
      </c>
      <c r="AP23" s="974">
        <f>+AP22+AP15</f>
        <v>204.06666666666666</v>
      </c>
      <c r="AQ23" s="974">
        <f>+AQ22+AQ15</f>
        <v>2.25</v>
      </c>
      <c r="AR23" s="974">
        <f>+AR22+AR15</f>
        <v>492.05</v>
      </c>
      <c r="AS23" s="975">
        <f t="shared" si="25"/>
        <v>-1.6915853617927978E-2</v>
      </c>
    </row>
    <row r="24" spans="1:45" x14ac:dyDescent="0.25">
      <c r="A24" s="503"/>
      <c r="B24" s="286"/>
      <c r="C24" s="286"/>
      <c r="D24" s="286"/>
      <c r="E24" s="286"/>
      <c r="F24" s="286"/>
      <c r="G24" s="286"/>
      <c r="H24" s="286"/>
      <c r="I24" s="286"/>
      <c r="J24" s="504"/>
      <c r="K24" s="280"/>
      <c r="L24" s="280"/>
      <c r="M24" s="280"/>
      <c r="N24" s="280"/>
      <c r="O24" s="280"/>
      <c r="P24" s="280"/>
      <c r="Q24" s="280"/>
      <c r="R24" s="280"/>
      <c r="S24" s="280"/>
      <c r="T24" s="280"/>
      <c r="U24" s="280"/>
      <c r="V24" s="280"/>
      <c r="W24" s="280"/>
      <c r="X24" s="280"/>
      <c r="Y24" s="280"/>
      <c r="Z24" s="280"/>
      <c r="AA24" s="280"/>
      <c r="AB24" s="280"/>
      <c r="AC24" s="280"/>
      <c r="AD24" s="280"/>
      <c r="AE24" s="280"/>
      <c r="AF24" s="280"/>
      <c r="AG24" s="280"/>
      <c r="AH24" s="280"/>
      <c r="AI24" s="280"/>
      <c r="AJ24" s="280"/>
      <c r="AK24" s="280"/>
      <c r="AL24" s="280"/>
    </row>
    <row r="25" spans="1:45" ht="13.8" thickBot="1" x14ac:dyDescent="0.3">
      <c r="A25" s="503"/>
      <c r="B25" s="286"/>
      <c r="C25" s="286"/>
      <c r="D25" s="286"/>
      <c r="E25" s="286"/>
      <c r="F25" s="286"/>
      <c r="G25" s="286"/>
      <c r="H25" s="286"/>
      <c r="I25" s="286"/>
      <c r="J25" s="504"/>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0"/>
      <c r="AL25" s="280"/>
    </row>
    <row r="26" spans="1:45" customFormat="1" ht="18" thickBot="1" x14ac:dyDescent="0.35">
      <c r="A26" s="2134" t="s">
        <v>424</v>
      </c>
      <c r="B26" s="2135"/>
      <c r="C26" s="2135"/>
      <c r="D26" s="2135"/>
      <c r="E26" s="2135"/>
      <c r="F26" s="2135"/>
      <c r="G26" s="2135"/>
      <c r="H26" s="2135"/>
      <c r="I26" s="2135"/>
      <c r="J26" s="2135"/>
      <c r="K26" s="2135"/>
      <c r="L26" s="2135"/>
      <c r="M26" s="2135"/>
      <c r="N26" s="2135"/>
      <c r="O26" s="2135"/>
      <c r="P26" s="2135"/>
      <c r="Q26" s="2135"/>
      <c r="R26" s="2135"/>
      <c r="S26" s="2135"/>
      <c r="T26" s="2135"/>
      <c r="U26" s="2135"/>
      <c r="V26" s="2135"/>
      <c r="W26" s="2135"/>
      <c r="X26" s="2135"/>
      <c r="Y26" s="2135"/>
      <c r="Z26" s="2135"/>
      <c r="AA26" s="2135"/>
      <c r="AB26" s="2135"/>
      <c r="AC26" s="2135"/>
      <c r="AD26" s="2135"/>
      <c r="AE26" s="2135"/>
      <c r="AF26" s="2135"/>
      <c r="AG26" s="2135"/>
      <c r="AH26" s="2135"/>
      <c r="AI26" s="2135"/>
      <c r="AJ26" s="2135"/>
      <c r="AK26" s="2135"/>
      <c r="AL26" s="2135"/>
      <c r="AM26" s="2135"/>
      <c r="AN26" s="2145"/>
      <c r="AO26" s="2135"/>
      <c r="AP26" s="2135"/>
      <c r="AQ26" s="2135"/>
      <c r="AR26" s="2135"/>
      <c r="AS26" s="2136"/>
    </row>
    <row r="27" spans="1:45" ht="26.4" x14ac:dyDescent="0.25">
      <c r="A27" s="2142" t="s">
        <v>1006</v>
      </c>
      <c r="B27" s="1711" t="s">
        <v>1008</v>
      </c>
      <c r="C27" s="1711" t="s">
        <v>1009</v>
      </c>
      <c r="D27" s="1711" t="s">
        <v>1010</v>
      </c>
      <c r="E27" s="680" t="s">
        <v>1069</v>
      </c>
      <c r="F27" s="1711" t="s">
        <v>1008</v>
      </c>
      <c r="G27" s="1711" t="s">
        <v>1009</v>
      </c>
      <c r="H27" s="1711" t="s">
        <v>1010</v>
      </c>
      <c r="I27" s="1712" t="s">
        <v>1069</v>
      </c>
      <c r="J27" s="680" t="s">
        <v>1071</v>
      </c>
      <c r="K27" s="1711" t="s">
        <v>1008</v>
      </c>
      <c r="L27" s="1711" t="s">
        <v>1009</v>
      </c>
      <c r="M27" s="1711" t="s">
        <v>1010</v>
      </c>
      <c r="N27" s="1712" t="s">
        <v>1069</v>
      </c>
      <c r="O27" s="680" t="s">
        <v>1071</v>
      </c>
      <c r="P27" s="1711" t="s">
        <v>1008</v>
      </c>
      <c r="Q27" s="1711" t="s">
        <v>1009</v>
      </c>
      <c r="R27" s="1711" t="s">
        <v>1010</v>
      </c>
      <c r="S27" s="1712" t="s">
        <v>1069</v>
      </c>
      <c r="T27" s="680" t="s">
        <v>1071</v>
      </c>
      <c r="U27" s="1711" t="s">
        <v>1008</v>
      </c>
      <c r="V27" s="1711" t="s">
        <v>1009</v>
      </c>
      <c r="W27" s="1711" t="s">
        <v>1010</v>
      </c>
      <c r="X27" s="1712" t="s">
        <v>1069</v>
      </c>
      <c r="Y27" s="680" t="s">
        <v>1071</v>
      </c>
      <c r="Z27" s="1711" t="s">
        <v>1008</v>
      </c>
      <c r="AA27" s="1711" t="s">
        <v>1009</v>
      </c>
      <c r="AB27" s="1711" t="s">
        <v>1010</v>
      </c>
      <c r="AC27" s="1712" t="s">
        <v>1069</v>
      </c>
      <c r="AD27" s="680" t="s">
        <v>1071</v>
      </c>
      <c r="AE27" s="1711" t="s">
        <v>1008</v>
      </c>
      <c r="AF27" s="1711" t="s">
        <v>1009</v>
      </c>
      <c r="AG27" s="1711" t="s">
        <v>1010</v>
      </c>
      <c r="AH27" s="1712" t="s">
        <v>1069</v>
      </c>
      <c r="AI27" s="680" t="s">
        <v>1071</v>
      </c>
      <c r="AJ27" s="1711" t="s">
        <v>1008</v>
      </c>
      <c r="AK27" s="1711" t="s">
        <v>1009</v>
      </c>
      <c r="AL27" s="1711" t="s">
        <v>1010</v>
      </c>
      <c r="AM27" s="1712" t="s">
        <v>1069</v>
      </c>
      <c r="AN27" s="1862" t="s">
        <v>1071</v>
      </c>
      <c r="AO27" s="1711" t="s">
        <v>1008</v>
      </c>
      <c r="AP27" s="1711" t="s">
        <v>1009</v>
      </c>
      <c r="AQ27" s="1711" t="s">
        <v>1010</v>
      </c>
      <c r="AR27" s="1712" t="s">
        <v>1069</v>
      </c>
      <c r="AS27" s="1763" t="s">
        <v>1071</v>
      </c>
    </row>
    <row r="28" spans="1:45" x14ac:dyDescent="0.25">
      <c r="A28" s="2143"/>
      <c r="B28" s="1257" t="s">
        <v>1500</v>
      </c>
      <c r="C28" s="1711"/>
      <c r="D28" s="1711"/>
      <c r="E28" s="584"/>
      <c r="F28" s="1257" t="s">
        <v>1499</v>
      </c>
      <c r="G28" s="1711"/>
      <c r="H28" s="1711"/>
      <c r="I28" s="1711"/>
      <c r="J28" s="679"/>
      <c r="K28" s="2138" t="s">
        <v>1448</v>
      </c>
      <c r="L28" s="2139"/>
      <c r="M28" s="2139"/>
      <c r="N28" s="2139"/>
      <c r="O28" s="2140"/>
      <c r="P28" s="1868" t="s">
        <v>1449</v>
      </c>
      <c r="Q28" s="1711"/>
      <c r="R28" s="1711"/>
      <c r="S28" s="1711"/>
      <c r="T28" s="679"/>
      <c r="U28" s="1868" t="s">
        <v>1450</v>
      </c>
      <c r="V28" s="1711"/>
      <c r="W28" s="1711"/>
      <c r="X28" s="1711"/>
      <c r="Y28" s="679"/>
      <c r="Z28" s="1868" t="s">
        <v>1551</v>
      </c>
      <c r="AA28" s="1711"/>
      <c r="AB28" s="1711"/>
      <c r="AC28" s="1711"/>
      <c r="AD28" s="679"/>
      <c r="AE28" s="1868" t="str">
        <f>+AE5</f>
        <v>Fall 2013</v>
      </c>
      <c r="AF28" s="1711"/>
      <c r="AG28" s="1711"/>
      <c r="AH28" s="1711"/>
      <c r="AI28" s="679"/>
      <c r="AJ28" s="1868" t="str">
        <f>+AJ5</f>
        <v>Fall 2014</v>
      </c>
      <c r="AK28" s="1711"/>
      <c r="AL28" s="1711"/>
      <c r="AM28" s="1711"/>
      <c r="AN28" s="679"/>
      <c r="AO28" s="1868" t="str">
        <f>+AO5</f>
        <v>Fall 2015</v>
      </c>
      <c r="AP28" s="1711"/>
      <c r="AQ28" s="1711"/>
      <c r="AR28" s="1711"/>
      <c r="AS28" s="679"/>
    </row>
    <row r="29" spans="1:45" x14ac:dyDescent="0.25">
      <c r="A29" s="1325" t="s">
        <v>434</v>
      </c>
      <c r="B29" s="1873"/>
      <c r="C29" s="1874"/>
      <c r="D29" s="1874"/>
      <c r="E29" s="1875"/>
      <c r="F29" s="1873"/>
      <c r="G29" s="1874"/>
      <c r="H29" s="1874"/>
      <c r="I29" s="1874"/>
      <c r="J29" s="438"/>
      <c r="K29" s="1873"/>
      <c r="L29" s="1874"/>
      <c r="M29" s="1874"/>
      <c r="N29" s="1874"/>
      <c r="O29" s="438"/>
      <c r="P29" s="1873"/>
      <c r="Q29" s="1874"/>
      <c r="R29" s="1874"/>
      <c r="S29" s="1874"/>
      <c r="T29" s="438"/>
      <c r="U29" s="1873"/>
      <c r="V29" s="1874"/>
      <c r="W29" s="1874"/>
      <c r="X29" s="1874"/>
      <c r="Y29" s="438"/>
      <c r="Z29" s="1873"/>
      <c r="AA29" s="1874"/>
      <c r="AB29" s="1874"/>
      <c r="AC29" s="1874"/>
      <c r="AD29" s="438"/>
      <c r="AE29" s="1873"/>
      <c r="AF29" s="1874"/>
      <c r="AG29" s="1874"/>
      <c r="AH29" s="1874"/>
      <c r="AI29" s="438"/>
      <c r="AJ29" s="1873"/>
      <c r="AK29" s="1874"/>
      <c r="AL29" s="1874"/>
      <c r="AM29" s="1874"/>
      <c r="AN29" s="438"/>
      <c r="AO29" s="1873"/>
      <c r="AP29" s="1874"/>
      <c r="AQ29" s="1874"/>
      <c r="AR29" s="1874"/>
      <c r="AS29" s="438"/>
    </row>
    <row r="30" spans="1:45" x14ac:dyDescent="0.25">
      <c r="A30" s="1319" t="s">
        <v>1624</v>
      </c>
      <c r="B30" s="1680">
        <f>+'NEW Fall CHP by DISC'!B30/15</f>
        <v>0</v>
      </c>
      <c r="C30" s="1680">
        <f>+'NEW Fall CHP by DISC'!C30/15</f>
        <v>0</v>
      </c>
      <c r="D30" s="1680">
        <f>+'NEW Fall CHP by DISC'!D30/12</f>
        <v>0</v>
      </c>
      <c r="E30" s="1678">
        <f>SUM(B30:D30)</f>
        <v>0</v>
      </c>
      <c r="F30" s="1680">
        <f>+'NEW Fall CHP by DISC'!F30/15</f>
        <v>0</v>
      </c>
      <c r="G30" s="1680">
        <f>+'NEW Fall CHP by DISC'!G30/15</f>
        <v>0</v>
      </c>
      <c r="H30" s="1680">
        <f>+'NEW Fall CHP by DISC'!H30/12</f>
        <v>0</v>
      </c>
      <c r="I30" s="1680">
        <f>SUM(F30:H30)</f>
        <v>0</v>
      </c>
      <c r="J30" s="505" t="str">
        <f>IF(E30&gt;0,(I30-E30)/E30,(IF(I30=0,"N/A",100%)))</f>
        <v>N/A</v>
      </c>
      <c r="K30" s="1680">
        <f>+'NEW Fall CHP by DISC'!K30/15</f>
        <v>0</v>
      </c>
      <c r="L30" s="1680">
        <f>+'NEW Fall CHP by DISC'!L30/15</f>
        <v>0</v>
      </c>
      <c r="M30" s="1680">
        <f>+'NEW Fall CHP by DISC'!M30/12</f>
        <v>0</v>
      </c>
      <c r="N30" s="1680">
        <f>SUM(K30:M30)</f>
        <v>0</v>
      </c>
      <c r="O30" s="505" t="str">
        <f>IF(I30&gt;0,(N30-I30)/I30,(IF(N30=0,"N/A",100%)))</f>
        <v>N/A</v>
      </c>
      <c r="P30" s="1680">
        <f>+'NEW Fall CHP by DISC'!P30/15</f>
        <v>0</v>
      </c>
      <c r="Q30" s="1680">
        <f>+'NEW Fall CHP by DISC'!Q30/15</f>
        <v>0</v>
      </c>
      <c r="R30" s="1680">
        <f>+'NEW Fall CHP by DISC'!R30/12</f>
        <v>0</v>
      </c>
      <c r="S30" s="1680">
        <f>SUM(P30:R30)</f>
        <v>0</v>
      </c>
      <c r="T30" s="505" t="str">
        <f>IF(N30&gt;0,(S30-N30)/N30,(IF(S30=0,"N/A",100%)))</f>
        <v>N/A</v>
      </c>
      <c r="U30" s="1680">
        <f>+'NEW Fall CHP by DISC'!U30/15</f>
        <v>0</v>
      </c>
      <c r="V30" s="1680">
        <f>+'NEW Fall CHP by DISC'!V30/15</f>
        <v>0</v>
      </c>
      <c r="W30" s="1680">
        <f>+'NEW Fall CHP by DISC'!W30/12</f>
        <v>0</v>
      </c>
      <c r="X30" s="1680">
        <f>SUM(U30:W30)</f>
        <v>0</v>
      </c>
      <c r="Y30" s="505" t="str">
        <f>IF(S30&gt;0,(X30-S30)/S30,(IF(X30=0,"N/A",100%)))</f>
        <v>N/A</v>
      </c>
      <c r="Z30" s="1680">
        <f>+'NEW Fall CHP by DISC'!Z30/15</f>
        <v>0</v>
      </c>
      <c r="AA30" s="1680">
        <f>+'NEW Fall CHP by DISC'!AA30/15</f>
        <v>0</v>
      </c>
      <c r="AB30" s="1680">
        <f>+'NEW Fall CHP by DISC'!AB30/12</f>
        <v>0</v>
      </c>
      <c r="AC30" s="1680">
        <f>SUM(Z30:AB30)</f>
        <v>0</v>
      </c>
      <c r="AD30" s="505" t="str">
        <f>IF(X30&gt;0,(AC30-X30)/X30,(IF(AC30=0,"N/A",100%)))</f>
        <v>N/A</v>
      </c>
      <c r="AE30" s="1680">
        <f>+'NEW Fall CHP by DISC'!AE30/15</f>
        <v>0.4</v>
      </c>
      <c r="AF30" s="1680">
        <f>+'NEW Fall CHP by DISC'!AF30/15</f>
        <v>0</v>
      </c>
      <c r="AG30" s="1680">
        <f>+'NEW Fall CHP by DISC'!AG30/12</f>
        <v>0</v>
      </c>
      <c r="AH30" s="1680">
        <f>SUM(AE30:AG30)</f>
        <v>0.4</v>
      </c>
      <c r="AI30" s="505">
        <f>IF(AC30&gt;0,(AH30-AC30)/AC30,(IF(AH30=0,"N/A",100%)))</f>
        <v>1</v>
      </c>
      <c r="AJ30" s="1680">
        <f>+'NEW Fall CHP by DISC'!AJ30/15</f>
        <v>0.66666666666666663</v>
      </c>
      <c r="AK30" s="1680">
        <f>+'NEW Fall CHP by DISC'!AK30/15</f>
        <v>0</v>
      </c>
      <c r="AL30" s="1680">
        <f>+'NEW Fall CHP by DISC'!AL30/12</f>
        <v>0</v>
      </c>
      <c r="AM30" s="1680">
        <f t="shared" ref="AM30:AM38" si="28">SUM(AJ30:AL30)</f>
        <v>0.66666666666666663</v>
      </c>
      <c r="AN30" s="491">
        <f t="shared" ref="AN30:AN39" si="29">IF(AH30&gt;0,(AM30-AH30)/AH30,(IF(AM30=0,"N/A",100%)))</f>
        <v>0.66666666666666652</v>
      </c>
      <c r="AO30" s="1680">
        <f>+'NEW Fall CHP by DISC'!AO30/15</f>
        <v>0.26666666666666666</v>
      </c>
      <c r="AP30" s="1680">
        <f>+'NEW Fall CHP by DISC'!AP30/15</f>
        <v>0.26666666666666666</v>
      </c>
      <c r="AQ30" s="1680">
        <f>+'NEW Fall CHP by DISC'!AQ30/12</f>
        <v>0</v>
      </c>
      <c r="AR30" s="1680">
        <f t="shared" ref="AR30:AR38" si="30">SUM(AO30:AQ30)</f>
        <v>0.53333333333333333</v>
      </c>
      <c r="AS30" s="505">
        <f t="shared" ref="AS30:AS39" si="31">IF(AM30&gt;0,(AR30-AM30)/AM30,(IF(AR30=0,"N/A",100%)))</f>
        <v>-0.19999999999999996</v>
      </c>
    </row>
    <row r="31" spans="1:45" x14ac:dyDescent="0.25">
      <c r="A31" s="1319" t="s">
        <v>1025</v>
      </c>
      <c r="B31" s="1680">
        <f>+'NEW Fall CHP by DISC'!B31/15</f>
        <v>9.4</v>
      </c>
      <c r="C31" s="1680">
        <f>+'NEW Fall CHP by DISC'!C31/15</f>
        <v>20.666666666666668</v>
      </c>
      <c r="D31" s="1680">
        <f>+'NEW Fall CHP by DISC'!D31/12</f>
        <v>0</v>
      </c>
      <c r="E31" s="1678">
        <f t="shared" ref="E31:E38" si="32">SUM(B31:D31)</f>
        <v>30.06666666666667</v>
      </c>
      <c r="F31" s="1680">
        <f>+'NEW Fall CHP by DISC'!F31/15</f>
        <v>9</v>
      </c>
      <c r="G31" s="1680">
        <f>+'NEW Fall CHP by DISC'!G31/15</f>
        <v>23.2</v>
      </c>
      <c r="H31" s="1680">
        <f>+'NEW Fall CHP by DISC'!H31/12</f>
        <v>0</v>
      </c>
      <c r="I31" s="1680">
        <f t="shared" ref="I31:I38" si="33">SUM(F31:H31)</f>
        <v>32.200000000000003</v>
      </c>
      <c r="J31" s="505">
        <f t="shared" ref="J31:J39" si="34">IF(E31&gt;0,(I31-E31)/E31,(IF(I31=0,"N/A",100%)))</f>
        <v>7.0953436807095316E-2</v>
      </c>
      <c r="K31" s="1680">
        <f>+'NEW Fall CHP by DISC'!K31/15</f>
        <v>9.4</v>
      </c>
      <c r="L31" s="1680">
        <f>+'NEW Fall CHP by DISC'!L31/15</f>
        <v>27.2</v>
      </c>
      <c r="M31" s="1680">
        <f>+'NEW Fall CHP by DISC'!M31/12</f>
        <v>0</v>
      </c>
      <c r="N31" s="1680">
        <f t="shared" ref="N31:N38" si="35">SUM(K31:M31)</f>
        <v>36.6</v>
      </c>
      <c r="O31" s="505">
        <f t="shared" ref="O31:O39" si="36">IF(I31&gt;0,(N31-I31)/I31,(IF(N31=0,"N/A",100%)))</f>
        <v>0.13664596273291921</v>
      </c>
      <c r="P31" s="1680">
        <f>+'NEW Fall CHP by DISC'!P31/15</f>
        <v>8.4</v>
      </c>
      <c r="Q31" s="1680">
        <f>+'NEW Fall CHP by DISC'!Q31/15</f>
        <v>16.8</v>
      </c>
      <c r="R31" s="1680">
        <f>+'NEW Fall CHP by DISC'!R31/12</f>
        <v>0</v>
      </c>
      <c r="S31" s="1680">
        <f t="shared" ref="S31:S38" si="37">SUM(P31:R31)</f>
        <v>25.200000000000003</v>
      </c>
      <c r="T31" s="505">
        <f t="shared" ref="T31:T39" si="38">IF(N31&gt;0,(S31-N31)/N31,(IF(S31=0,"N/A",100%)))</f>
        <v>-0.31147540983606553</v>
      </c>
      <c r="U31" s="1680">
        <f>+'NEW Fall CHP by DISC'!U31/15</f>
        <v>7.4</v>
      </c>
      <c r="V31" s="1680">
        <f>+'NEW Fall CHP by DISC'!V31/15</f>
        <v>17.466666666666665</v>
      </c>
      <c r="W31" s="1680">
        <f>+'NEW Fall CHP by DISC'!W31/12</f>
        <v>0</v>
      </c>
      <c r="X31" s="1680">
        <f t="shared" ref="X31:X38" si="39">SUM(U31:W31)</f>
        <v>24.866666666666667</v>
      </c>
      <c r="Y31" s="505">
        <f t="shared" ref="Y31:Y39" si="40">IF(S31&gt;0,(X31-S31)/S31,(IF(X31=0,"N/A",100%)))</f>
        <v>-1.322751322751332E-2</v>
      </c>
      <c r="Z31" s="1680">
        <f>+'NEW Fall CHP by DISC'!Z31/15</f>
        <v>10.4</v>
      </c>
      <c r="AA31" s="1680">
        <f>+'NEW Fall CHP by DISC'!AA31/15</f>
        <v>20.066666666666666</v>
      </c>
      <c r="AB31" s="1680">
        <f>+'NEW Fall CHP by DISC'!AB31/12</f>
        <v>0</v>
      </c>
      <c r="AC31" s="1680">
        <f t="shared" ref="AC31:AC38" si="41">SUM(Z31:AB31)</f>
        <v>30.466666666666669</v>
      </c>
      <c r="AD31" s="505">
        <f t="shared" ref="AD31:AD39" si="42">IF(X31&gt;0,(AC31-X31)/X31,(IF(AC31=0,"N/A",100%)))</f>
        <v>0.22520107238605902</v>
      </c>
      <c r="AE31" s="1680">
        <f>+'NEW Fall CHP by DISC'!AE31/15</f>
        <v>10</v>
      </c>
      <c r="AF31" s="1680">
        <f>+'NEW Fall CHP by DISC'!AF31/15</f>
        <v>20.8</v>
      </c>
      <c r="AG31" s="1680">
        <f>+'NEW Fall CHP by DISC'!AG31/12</f>
        <v>0</v>
      </c>
      <c r="AH31" s="1680">
        <f t="shared" ref="AH31:AH38" si="43">SUM(AE31:AG31)</f>
        <v>30.8</v>
      </c>
      <c r="AI31" s="505">
        <f t="shared" ref="AI31:AI39" si="44">IF(AC31&gt;0,(AH31-AC31)/AC31,(IF(AH31=0,"N/A",100%)))</f>
        <v>1.0940919037199084E-2</v>
      </c>
      <c r="AJ31" s="1680">
        <f>+'NEW Fall CHP by DISC'!AJ31/15</f>
        <v>10.6</v>
      </c>
      <c r="AK31" s="1680">
        <f>+'NEW Fall CHP by DISC'!AK31/15</f>
        <v>21.333333333333332</v>
      </c>
      <c r="AL31" s="1680">
        <f>+'NEW Fall CHP by DISC'!AL31/12</f>
        <v>0</v>
      </c>
      <c r="AM31" s="1680">
        <f t="shared" si="28"/>
        <v>31.93333333333333</v>
      </c>
      <c r="AN31" s="491">
        <f t="shared" si="29"/>
        <v>3.6796536796536668E-2</v>
      </c>
      <c r="AO31" s="1680">
        <f>+'NEW Fall CHP by DISC'!AO31/15</f>
        <v>10.199999999999999</v>
      </c>
      <c r="AP31" s="1680">
        <f>+'NEW Fall CHP by DISC'!AP31/15</f>
        <v>28.466666666666665</v>
      </c>
      <c r="AQ31" s="1680">
        <f>+'NEW Fall CHP by DISC'!AQ31/12</f>
        <v>0</v>
      </c>
      <c r="AR31" s="1680">
        <f t="shared" si="30"/>
        <v>38.666666666666664</v>
      </c>
      <c r="AS31" s="505">
        <f t="shared" si="31"/>
        <v>0.21085594989561593</v>
      </c>
    </row>
    <row r="32" spans="1:45" x14ac:dyDescent="0.25">
      <c r="A32" s="1319" t="s">
        <v>1026</v>
      </c>
      <c r="B32" s="1680">
        <f>+'NEW Fall CHP by DISC'!B32/15</f>
        <v>54.833333333333336</v>
      </c>
      <c r="C32" s="1680">
        <f>+'NEW Fall CHP by DISC'!C32/15</f>
        <v>58.43333333333333</v>
      </c>
      <c r="D32" s="1680">
        <f>+'NEW Fall CHP by DISC'!D32/12</f>
        <v>14.25</v>
      </c>
      <c r="E32" s="326">
        <f t="shared" si="32"/>
        <v>127.51666666666667</v>
      </c>
      <c r="F32" s="1680">
        <f>+'NEW Fall CHP by DISC'!F32/15</f>
        <v>53</v>
      </c>
      <c r="G32" s="1680">
        <f>+'NEW Fall CHP by DISC'!G32/15</f>
        <v>56.733333333333334</v>
      </c>
      <c r="H32" s="1680">
        <f>+'NEW Fall CHP by DISC'!H32/12</f>
        <v>17.5</v>
      </c>
      <c r="I32" s="1680">
        <f t="shared" si="33"/>
        <v>127.23333333333333</v>
      </c>
      <c r="J32" s="505">
        <f t="shared" si="34"/>
        <v>-2.2219317736243481E-3</v>
      </c>
      <c r="K32" s="1680">
        <f>+'NEW Fall CHP by DISC'!K32/15</f>
        <v>57.366666666666667</v>
      </c>
      <c r="L32" s="1680">
        <f>+'NEW Fall CHP by DISC'!L32/15</f>
        <v>58.9</v>
      </c>
      <c r="M32" s="1680">
        <f>+'NEW Fall CHP by DISC'!M32/12</f>
        <v>7.25</v>
      </c>
      <c r="N32" s="1680">
        <f t="shared" si="35"/>
        <v>123.51666666666667</v>
      </c>
      <c r="O32" s="505">
        <f t="shared" si="36"/>
        <v>-2.9211422583180522E-2</v>
      </c>
      <c r="P32" s="1680">
        <f>+'NEW Fall CHP by DISC'!P32/15</f>
        <v>68.13333333333334</v>
      </c>
      <c r="Q32" s="1680">
        <f>+'NEW Fall CHP by DISC'!Q32/15</f>
        <v>59.2</v>
      </c>
      <c r="R32" s="1680">
        <f>+'NEW Fall CHP by DISC'!R32/12</f>
        <v>8.5</v>
      </c>
      <c r="S32" s="1680">
        <f t="shared" si="37"/>
        <v>135.83333333333334</v>
      </c>
      <c r="T32" s="505">
        <f t="shared" si="38"/>
        <v>9.971663743084612E-2</v>
      </c>
      <c r="U32" s="1680">
        <f>+'NEW Fall CHP by DISC'!U32/15</f>
        <v>69.599999999999994</v>
      </c>
      <c r="V32" s="1680">
        <f>+'NEW Fall CHP by DISC'!V32/15</f>
        <v>57.866666666666667</v>
      </c>
      <c r="W32" s="1680">
        <f>+'NEW Fall CHP by DISC'!W32/12</f>
        <v>6</v>
      </c>
      <c r="X32" s="1680">
        <f t="shared" si="39"/>
        <v>133.46666666666667</v>
      </c>
      <c r="Y32" s="505">
        <f t="shared" si="40"/>
        <v>-1.7423312883435637E-2</v>
      </c>
      <c r="Z32" s="1680">
        <f>+'NEW Fall CHP by DISC'!Z32/15</f>
        <v>54.733333333333334</v>
      </c>
      <c r="AA32" s="1680">
        <f>+'NEW Fall CHP by DISC'!AA32/15</f>
        <v>60</v>
      </c>
      <c r="AB32" s="1680">
        <f>+'NEW Fall CHP by DISC'!AB32/12</f>
        <v>13.5</v>
      </c>
      <c r="AC32" s="1680">
        <f t="shared" si="41"/>
        <v>128.23333333333335</v>
      </c>
      <c r="AD32" s="505">
        <f t="shared" si="42"/>
        <v>-3.9210789210789111E-2</v>
      </c>
      <c r="AE32" s="1680">
        <f>+'NEW Fall CHP by DISC'!AE32/15</f>
        <v>62.166666666666664</v>
      </c>
      <c r="AF32" s="1680">
        <f>+'NEW Fall CHP by DISC'!AF32/15</f>
        <v>56.133333333333333</v>
      </c>
      <c r="AG32" s="1680">
        <f>+'NEW Fall CHP by DISC'!AG32/12</f>
        <v>12.75</v>
      </c>
      <c r="AH32" s="1680">
        <f t="shared" si="43"/>
        <v>131.05000000000001</v>
      </c>
      <c r="AI32" s="505">
        <f t="shared" si="44"/>
        <v>2.1965167663114082E-2</v>
      </c>
      <c r="AJ32" s="1680">
        <f>+'NEW Fall CHP by DISC'!AJ32/15</f>
        <v>58.366666666666667</v>
      </c>
      <c r="AK32" s="1680">
        <f>+'NEW Fall CHP by DISC'!AK32/15</f>
        <v>46.2</v>
      </c>
      <c r="AL32" s="1680">
        <f>+'NEW Fall CHP by DISC'!AL32/12</f>
        <v>12</v>
      </c>
      <c r="AM32" s="1680">
        <f t="shared" si="28"/>
        <v>116.56666666666666</v>
      </c>
      <c r="AN32" s="491">
        <f t="shared" si="29"/>
        <v>-0.11051761414218503</v>
      </c>
      <c r="AO32" s="1680">
        <f>+'NEW Fall CHP by DISC'!AO32/15</f>
        <v>61.3</v>
      </c>
      <c r="AP32" s="1680">
        <f>+'NEW Fall CHP by DISC'!AP32/15</f>
        <v>41</v>
      </c>
      <c r="AQ32" s="1680">
        <f>+'NEW Fall CHP by DISC'!AQ32/12</f>
        <v>7.75</v>
      </c>
      <c r="AR32" s="1680">
        <f t="shared" si="30"/>
        <v>110.05</v>
      </c>
      <c r="AS32" s="505">
        <f t="shared" si="31"/>
        <v>-5.5905061481269655E-2</v>
      </c>
    </row>
    <row r="33" spans="1:45" x14ac:dyDescent="0.25">
      <c r="A33" s="1319" t="s">
        <v>1027</v>
      </c>
      <c r="B33" s="1680">
        <f>+'NEW Fall CHP by DISC'!B33/15</f>
        <v>0</v>
      </c>
      <c r="C33" s="1680">
        <f>+'NEW Fall CHP by DISC'!C33/15</f>
        <v>0</v>
      </c>
      <c r="D33" s="1680">
        <f>+'NEW Fall CHP by DISC'!D33/12</f>
        <v>0</v>
      </c>
      <c r="E33" s="326">
        <f t="shared" si="32"/>
        <v>0</v>
      </c>
      <c r="F33" s="1680">
        <f>+'NEW Fall CHP by DISC'!F33/15</f>
        <v>0</v>
      </c>
      <c r="G33" s="1680">
        <f>+'NEW Fall CHP by DISC'!G33/15</f>
        <v>0</v>
      </c>
      <c r="H33" s="1680">
        <f>+'NEW Fall CHP by DISC'!H33/12</f>
        <v>0</v>
      </c>
      <c r="I33" s="1680">
        <f t="shared" si="33"/>
        <v>0</v>
      </c>
      <c r="J33" s="505" t="str">
        <f t="shared" si="34"/>
        <v>N/A</v>
      </c>
      <c r="K33" s="1680">
        <f>+'NEW Fall CHP by DISC'!K33/15</f>
        <v>0</v>
      </c>
      <c r="L33" s="1680">
        <f>+'NEW Fall CHP by DISC'!L33/15</f>
        <v>0</v>
      </c>
      <c r="M33" s="1680">
        <f>+'NEW Fall CHP by DISC'!M33/12</f>
        <v>0</v>
      </c>
      <c r="N33" s="1680">
        <f t="shared" si="35"/>
        <v>0</v>
      </c>
      <c r="O33" s="505" t="str">
        <f t="shared" si="36"/>
        <v>N/A</v>
      </c>
      <c r="P33" s="1680">
        <f>+'NEW Fall CHP by DISC'!P33/15</f>
        <v>0</v>
      </c>
      <c r="Q33" s="1680">
        <f>+'NEW Fall CHP by DISC'!Q33/15</f>
        <v>0</v>
      </c>
      <c r="R33" s="1680">
        <f>+'NEW Fall CHP by DISC'!R33/12</f>
        <v>0</v>
      </c>
      <c r="S33" s="1680">
        <f t="shared" si="37"/>
        <v>0</v>
      </c>
      <c r="T33" s="505" t="str">
        <f t="shared" si="38"/>
        <v>N/A</v>
      </c>
      <c r="U33" s="1680">
        <f>+'NEW Fall CHP by DISC'!U33/15</f>
        <v>0</v>
      </c>
      <c r="V33" s="1680">
        <f>+'NEW Fall CHP by DISC'!V33/15</f>
        <v>0</v>
      </c>
      <c r="W33" s="1680">
        <f>+'NEW Fall CHP by DISC'!W33/12</f>
        <v>0</v>
      </c>
      <c r="X33" s="1680">
        <f t="shared" si="39"/>
        <v>0</v>
      </c>
      <c r="Y33" s="505" t="str">
        <f t="shared" si="40"/>
        <v>N/A</v>
      </c>
      <c r="Z33" s="1680">
        <f>+'NEW Fall CHP by DISC'!Z33/15</f>
        <v>0</v>
      </c>
      <c r="AA33" s="1680">
        <f>+'NEW Fall CHP by DISC'!AA33/15</f>
        <v>0</v>
      </c>
      <c r="AB33" s="1680">
        <f>+'NEW Fall CHP by DISC'!AB33/12</f>
        <v>2.75</v>
      </c>
      <c r="AC33" s="1680">
        <f t="shared" si="41"/>
        <v>2.75</v>
      </c>
      <c r="AD33" s="505">
        <f t="shared" si="42"/>
        <v>1</v>
      </c>
      <c r="AE33" s="1680">
        <f>+'NEW Fall CHP by DISC'!AE33/15</f>
        <v>0</v>
      </c>
      <c r="AF33" s="1680">
        <f>+'NEW Fall CHP by DISC'!AF33/15</f>
        <v>0</v>
      </c>
      <c r="AG33" s="1680">
        <f>+'NEW Fall CHP by DISC'!AG33/12</f>
        <v>0</v>
      </c>
      <c r="AH33" s="1680">
        <f t="shared" si="43"/>
        <v>0</v>
      </c>
      <c r="AI33" s="505">
        <f t="shared" si="44"/>
        <v>-1</v>
      </c>
      <c r="AJ33" s="1680">
        <f>+'NEW Fall CHP by DISC'!AJ33/15</f>
        <v>0</v>
      </c>
      <c r="AK33" s="1680">
        <f>+'NEW Fall CHP by DISC'!AK33/15</f>
        <v>0</v>
      </c>
      <c r="AL33" s="1680">
        <f>+'NEW Fall CHP by DISC'!AL33/12</f>
        <v>0</v>
      </c>
      <c r="AM33" s="1680">
        <f t="shared" si="28"/>
        <v>0</v>
      </c>
      <c r="AN33" s="491" t="str">
        <f t="shared" si="29"/>
        <v>N/A</v>
      </c>
      <c r="AO33" s="1680">
        <f>+'NEW Fall CHP by DISC'!AO33/15</f>
        <v>0</v>
      </c>
      <c r="AP33" s="1680">
        <f>+'NEW Fall CHP by DISC'!AP33/15</f>
        <v>0</v>
      </c>
      <c r="AQ33" s="1680">
        <f>+'NEW Fall CHP by DISC'!AQ33/12</f>
        <v>0</v>
      </c>
      <c r="AR33" s="1680">
        <f t="shared" si="30"/>
        <v>0</v>
      </c>
      <c r="AS33" s="505" t="str">
        <f t="shared" si="31"/>
        <v>N/A</v>
      </c>
    </row>
    <row r="34" spans="1:45" x14ac:dyDescent="0.25">
      <c r="A34" s="1334" t="s">
        <v>1463</v>
      </c>
      <c r="B34" s="1680">
        <f>+'NEW Fall CHP by DISC'!B34/15</f>
        <v>0</v>
      </c>
      <c r="C34" s="1680">
        <f>+'NEW Fall CHP by DISC'!C34/15</f>
        <v>0</v>
      </c>
      <c r="D34" s="1680">
        <f>+'NEW Fall CHP by DISC'!D34/12</f>
        <v>0</v>
      </c>
      <c r="E34" s="326">
        <f t="shared" si="32"/>
        <v>0</v>
      </c>
      <c r="F34" s="1680">
        <f>+'NEW Fall CHP by DISC'!F34/15</f>
        <v>0</v>
      </c>
      <c r="G34" s="1680">
        <f>+'NEW Fall CHP by DISC'!G34/15</f>
        <v>0</v>
      </c>
      <c r="H34" s="1680">
        <f>+'NEW Fall CHP by DISC'!H34/12</f>
        <v>0</v>
      </c>
      <c r="I34" s="1680">
        <f>SUM(F34:H34)</f>
        <v>0</v>
      </c>
      <c r="J34" s="505" t="str">
        <f>IF(E34&gt;0,(I34-E34)/E34,(IF(I34=0,"N/A",100%)))</f>
        <v>N/A</v>
      </c>
      <c r="K34" s="1680">
        <f>+'NEW Fall CHP by DISC'!K34/15</f>
        <v>0</v>
      </c>
      <c r="L34" s="1680">
        <f>+'NEW Fall CHP by DISC'!L34/15</f>
        <v>0</v>
      </c>
      <c r="M34" s="1680">
        <f>+'NEW Fall CHP by DISC'!M34/12</f>
        <v>0</v>
      </c>
      <c r="N34" s="1680">
        <f>SUM(K34:M34)</f>
        <v>0</v>
      </c>
      <c r="O34" s="505" t="str">
        <f>IF(I34&gt;0,(N34-I34)/I34,(IF(N34=0,"N/A",100%)))</f>
        <v>N/A</v>
      </c>
      <c r="P34" s="1680">
        <f>+'NEW Fall CHP by DISC'!P34/15</f>
        <v>0</v>
      </c>
      <c r="Q34" s="1680">
        <f>+'NEW Fall CHP by DISC'!Q34/15</f>
        <v>0</v>
      </c>
      <c r="R34" s="1680">
        <f>+'NEW Fall CHP by DISC'!R34/12</f>
        <v>0</v>
      </c>
      <c r="S34" s="1680">
        <f t="shared" si="37"/>
        <v>0</v>
      </c>
      <c r="T34" s="505" t="str">
        <f t="shared" si="38"/>
        <v>N/A</v>
      </c>
      <c r="U34" s="1680">
        <f>+'NEW Fall CHP by DISC'!U34/15</f>
        <v>0</v>
      </c>
      <c r="V34" s="1680">
        <f>+'NEW Fall CHP by DISC'!V34/15</f>
        <v>0</v>
      </c>
      <c r="W34" s="1680">
        <f>+'NEW Fall CHP by DISC'!W34/12</f>
        <v>0</v>
      </c>
      <c r="X34" s="1680">
        <f t="shared" si="39"/>
        <v>0</v>
      </c>
      <c r="Y34" s="505" t="str">
        <f t="shared" si="40"/>
        <v>N/A</v>
      </c>
      <c r="Z34" s="1680">
        <f>+'NEW Fall CHP by DISC'!Z34/15</f>
        <v>0</v>
      </c>
      <c r="AA34" s="1680">
        <f>+'NEW Fall CHP by DISC'!AA34/15</f>
        <v>0</v>
      </c>
      <c r="AB34" s="1680">
        <f>+'NEW Fall CHP by DISC'!AB34/12</f>
        <v>0</v>
      </c>
      <c r="AC34" s="1680">
        <f t="shared" si="41"/>
        <v>0</v>
      </c>
      <c r="AD34" s="505" t="str">
        <f t="shared" si="42"/>
        <v>N/A</v>
      </c>
      <c r="AE34" s="1680">
        <f>+'NEW Fall CHP by DISC'!AE34/15</f>
        <v>0</v>
      </c>
      <c r="AF34" s="1680">
        <f>+'NEW Fall CHP by DISC'!AF34/15</f>
        <v>0</v>
      </c>
      <c r="AG34" s="1680">
        <f>+'NEW Fall CHP by DISC'!AG34/12</f>
        <v>0</v>
      </c>
      <c r="AH34" s="1680">
        <f t="shared" si="43"/>
        <v>0</v>
      </c>
      <c r="AI34" s="505" t="str">
        <f t="shared" si="44"/>
        <v>N/A</v>
      </c>
      <c r="AJ34" s="1680">
        <f>+'NEW Fall CHP by DISC'!AJ34/15</f>
        <v>0</v>
      </c>
      <c r="AK34" s="1680">
        <f>+'NEW Fall CHP by DISC'!AK34/15</f>
        <v>0</v>
      </c>
      <c r="AL34" s="1680">
        <f>+'NEW Fall CHP by DISC'!AL34/12</f>
        <v>0</v>
      </c>
      <c r="AM34" s="1680">
        <f t="shared" si="28"/>
        <v>0</v>
      </c>
      <c r="AN34" s="491" t="str">
        <f t="shared" si="29"/>
        <v>N/A</v>
      </c>
      <c r="AO34" s="1680">
        <f>+'NEW Fall CHP by DISC'!AO34/15</f>
        <v>0</v>
      </c>
      <c r="AP34" s="1680">
        <f>+'NEW Fall CHP by DISC'!AP34/15</f>
        <v>0</v>
      </c>
      <c r="AQ34" s="1680">
        <f>+'NEW Fall CHP by DISC'!AQ34/12</f>
        <v>0</v>
      </c>
      <c r="AR34" s="1680">
        <f t="shared" si="30"/>
        <v>0</v>
      </c>
      <c r="AS34" s="505" t="str">
        <f t="shared" si="31"/>
        <v>N/A</v>
      </c>
    </row>
    <row r="35" spans="1:45" x14ac:dyDescent="0.25">
      <c r="A35" s="1334" t="s">
        <v>1464</v>
      </c>
      <c r="B35" s="1680">
        <f>+'NEW Fall CHP by DISC'!B35/15</f>
        <v>0</v>
      </c>
      <c r="C35" s="1680">
        <f>+'NEW Fall CHP by DISC'!C35/15</f>
        <v>0</v>
      </c>
      <c r="D35" s="1680">
        <f>+'NEW Fall CHP by DISC'!D35/12</f>
        <v>0</v>
      </c>
      <c r="E35" s="326">
        <f t="shared" si="32"/>
        <v>0</v>
      </c>
      <c r="F35" s="1680">
        <f>+'NEW Fall CHP by DISC'!F35/15</f>
        <v>0</v>
      </c>
      <c r="G35" s="1680">
        <f>+'NEW Fall CHP by DISC'!G35/15</f>
        <v>0</v>
      </c>
      <c r="H35" s="1680">
        <f>+'NEW Fall CHP by DISC'!H35/12</f>
        <v>0</v>
      </c>
      <c r="I35" s="1680">
        <f>SUM(F35:H35)</f>
        <v>0</v>
      </c>
      <c r="J35" s="505" t="str">
        <f>IF(E35&gt;0,(I35-E35)/E35,(IF(I35=0,"N/A",100%)))</f>
        <v>N/A</v>
      </c>
      <c r="K35" s="1680">
        <f>+'NEW Fall CHP by DISC'!K35/15</f>
        <v>0</v>
      </c>
      <c r="L35" s="1680">
        <f>+'NEW Fall CHP by DISC'!L35/15</f>
        <v>0</v>
      </c>
      <c r="M35" s="1680">
        <f>+'NEW Fall CHP by DISC'!M35/12</f>
        <v>0</v>
      </c>
      <c r="N35" s="1680">
        <f>SUM(K35:M35)</f>
        <v>0</v>
      </c>
      <c r="O35" s="505" t="str">
        <f>IF(I35&gt;0,(N35-I35)/I35,(IF(N35=0,"N/A",100%)))</f>
        <v>N/A</v>
      </c>
      <c r="P35" s="1680">
        <f>+'NEW Fall CHP by DISC'!P35/15</f>
        <v>0</v>
      </c>
      <c r="Q35" s="1680">
        <f>+'NEW Fall CHP by DISC'!Q35/15</f>
        <v>0</v>
      </c>
      <c r="R35" s="1680">
        <f>+'NEW Fall CHP by DISC'!R35/12</f>
        <v>0</v>
      </c>
      <c r="S35" s="1680">
        <f t="shared" si="37"/>
        <v>0</v>
      </c>
      <c r="T35" s="505" t="str">
        <f t="shared" si="38"/>
        <v>N/A</v>
      </c>
      <c r="U35" s="1680">
        <f>+'NEW Fall CHP by DISC'!U35/15</f>
        <v>0</v>
      </c>
      <c r="V35" s="1680">
        <f>+'NEW Fall CHP by DISC'!V35/15</f>
        <v>0</v>
      </c>
      <c r="W35" s="1680">
        <f>+'NEW Fall CHP by DISC'!W35/12</f>
        <v>0</v>
      </c>
      <c r="X35" s="1680">
        <f t="shared" si="39"/>
        <v>0</v>
      </c>
      <c r="Y35" s="505" t="str">
        <f t="shared" si="40"/>
        <v>N/A</v>
      </c>
      <c r="Z35" s="1680">
        <f>+'NEW Fall CHP by DISC'!Z35/15</f>
        <v>0</v>
      </c>
      <c r="AA35" s="1680">
        <f>+'NEW Fall CHP by DISC'!AA35/15</f>
        <v>0</v>
      </c>
      <c r="AB35" s="1680">
        <f>+'NEW Fall CHP by DISC'!AB35/12</f>
        <v>0</v>
      </c>
      <c r="AC35" s="1680">
        <f t="shared" si="41"/>
        <v>0</v>
      </c>
      <c r="AD35" s="505" t="str">
        <f t="shared" si="42"/>
        <v>N/A</v>
      </c>
      <c r="AE35" s="1680">
        <f>+'NEW Fall CHP by DISC'!AE35/15</f>
        <v>0</v>
      </c>
      <c r="AF35" s="1680">
        <f>+'NEW Fall CHP by DISC'!AF35/15</f>
        <v>0</v>
      </c>
      <c r="AG35" s="1680">
        <f>+'NEW Fall CHP by DISC'!AG35/12</f>
        <v>0</v>
      </c>
      <c r="AH35" s="1680">
        <f t="shared" si="43"/>
        <v>0</v>
      </c>
      <c r="AI35" s="505" t="str">
        <f t="shared" si="44"/>
        <v>N/A</v>
      </c>
      <c r="AJ35" s="1680">
        <f>+'NEW Fall CHP by DISC'!AJ35/15</f>
        <v>0</v>
      </c>
      <c r="AK35" s="1680">
        <f>+'NEW Fall CHP by DISC'!AK35/15</f>
        <v>0</v>
      </c>
      <c r="AL35" s="1680">
        <f>+'NEW Fall CHP by DISC'!AL35/12</f>
        <v>0</v>
      </c>
      <c r="AM35" s="1680">
        <f t="shared" si="28"/>
        <v>0</v>
      </c>
      <c r="AN35" s="491" t="str">
        <f t="shared" si="29"/>
        <v>N/A</v>
      </c>
      <c r="AO35" s="1680">
        <f>+'NEW Fall CHP by DISC'!AO35/15</f>
        <v>0</v>
      </c>
      <c r="AP35" s="1680">
        <f>+'NEW Fall CHP by DISC'!AP35/15</f>
        <v>0</v>
      </c>
      <c r="AQ35" s="1680">
        <f>+'NEW Fall CHP by DISC'!AQ35/12</f>
        <v>0</v>
      </c>
      <c r="AR35" s="1680">
        <f t="shared" si="30"/>
        <v>0</v>
      </c>
      <c r="AS35" s="505" t="str">
        <f t="shared" si="31"/>
        <v>N/A</v>
      </c>
    </row>
    <row r="36" spans="1:45" x14ac:dyDescent="0.25">
      <c r="A36" s="1334" t="s">
        <v>1149</v>
      </c>
      <c r="B36" s="1680">
        <f>+'NEW Fall CHP by DISC'!B36/15</f>
        <v>0</v>
      </c>
      <c r="C36" s="1680">
        <f>+'NEW Fall CHP by DISC'!C36/15</f>
        <v>0</v>
      </c>
      <c r="D36" s="1680">
        <f>+'NEW Fall CHP by DISC'!D36/12</f>
        <v>0</v>
      </c>
      <c r="E36" s="326">
        <f t="shared" si="32"/>
        <v>0</v>
      </c>
      <c r="F36" s="1680">
        <f>+'NEW Fall CHP by DISC'!F36/15</f>
        <v>0</v>
      </c>
      <c r="G36" s="1680">
        <f>+'NEW Fall CHP by DISC'!G36/15</f>
        <v>4.8</v>
      </c>
      <c r="H36" s="1680">
        <f>+'NEW Fall CHP by DISC'!H36/12</f>
        <v>6</v>
      </c>
      <c r="I36" s="1680">
        <f t="shared" si="33"/>
        <v>10.8</v>
      </c>
      <c r="J36" s="505">
        <f>IF(E36&gt;0,(I36-E36)/E36,(IF(I36=0,"N/A",100%)))</f>
        <v>1</v>
      </c>
      <c r="K36" s="1680">
        <f>+'NEW Fall CHP by DISC'!K36/15</f>
        <v>0</v>
      </c>
      <c r="L36" s="1680">
        <f>+'NEW Fall CHP by DISC'!L36/15</f>
        <v>3</v>
      </c>
      <c r="M36" s="1680">
        <f>+'NEW Fall CHP by DISC'!M36/12</f>
        <v>6.5</v>
      </c>
      <c r="N36" s="1680">
        <f t="shared" si="35"/>
        <v>9.5</v>
      </c>
      <c r="O36" s="505">
        <f>IF(I36&gt;0,(N36-I36)/I36,(IF(N36=0,"N/A",100%)))</f>
        <v>-0.12037037037037043</v>
      </c>
      <c r="P36" s="1680">
        <f>+'NEW Fall CHP by DISC'!P36/15</f>
        <v>0</v>
      </c>
      <c r="Q36" s="1680">
        <f>+'NEW Fall CHP by DISC'!Q36/15</f>
        <v>1.8</v>
      </c>
      <c r="R36" s="1680">
        <f>+'NEW Fall CHP by DISC'!R36/12</f>
        <v>16</v>
      </c>
      <c r="S36" s="1680">
        <f t="shared" si="37"/>
        <v>17.8</v>
      </c>
      <c r="T36" s="505">
        <f t="shared" si="38"/>
        <v>0.87368421052631584</v>
      </c>
      <c r="U36" s="1680">
        <f>+'NEW Fall CHP by DISC'!U36/15</f>
        <v>0</v>
      </c>
      <c r="V36" s="1680">
        <f>+'NEW Fall CHP by DISC'!V36/15</f>
        <v>1.8</v>
      </c>
      <c r="W36" s="1680">
        <f>+'NEW Fall CHP by DISC'!W36/12</f>
        <v>3.25</v>
      </c>
      <c r="X36" s="1680">
        <f t="shared" si="39"/>
        <v>5.05</v>
      </c>
      <c r="Y36" s="505">
        <f t="shared" si="40"/>
        <v>-0.71629213483146059</v>
      </c>
      <c r="Z36" s="1680">
        <f>+'NEW Fall CHP by DISC'!Z36/15</f>
        <v>0</v>
      </c>
      <c r="AA36" s="1680">
        <f>+'NEW Fall CHP by DISC'!AA36/15</f>
        <v>3.4</v>
      </c>
      <c r="AB36" s="1680">
        <f>+'NEW Fall CHP by DISC'!AB36/12</f>
        <v>8.5</v>
      </c>
      <c r="AC36" s="1680">
        <f t="shared" si="41"/>
        <v>11.9</v>
      </c>
      <c r="AD36" s="505">
        <f t="shared" si="42"/>
        <v>1.3564356435643565</v>
      </c>
      <c r="AE36" s="1680">
        <f>+'NEW Fall CHP by DISC'!AE36/15</f>
        <v>0</v>
      </c>
      <c r="AF36" s="1680">
        <f>+'NEW Fall CHP by DISC'!AF36/15</f>
        <v>1.4</v>
      </c>
      <c r="AG36" s="1680">
        <f>+'NEW Fall CHP by DISC'!AG36/12</f>
        <v>14.25</v>
      </c>
      <c r="AH36" s="1680">
        <f t="shared" si="43"/>
        <v>15.65</v>
      </c>
      <c r="AI36" s="505">
        <f t="shared" si="44"/>
        <v>0.31512605042016806</v>
      </c>
      <c r="AJ36" s="1680">
        <f>+'NEW Fall CHP by DISC'!AJ36/15</f>
        <v>0</v>
      </c>
      <c r="AK36" s="1680">
        <f>+'NEW Fall CHP by DISC'!AK36/15</f>
        <v>0.2</v>
      </c>
      <c r="AL36" s="1680">
        <f>+'NEW Fall CHP by DISC'!AL36/12</f>
        <v>9.75</v>
      </c>
      <c r="AM36" s="1680">
        <f t="shared" si="28"/>
        <v>9.9499999999999993</v>
      </c>
      <c r="AN36" s="491">
        <f t="shared" si="29"/>
        <v>-0.3642172523961662</v>
      </c>
      <c r="AO36" s="1680">
        <f>+'NEW Fall CHP by DISC'!AO36/15</f>
        <v>0</v>
      </c>
      <c r="AP36" s="1680">
        <f>+'NEW Fall CHP by DISC'!AP36/15</f>
        <v>3.6</v>
      </c>
      <c r="AQ36" s="1680">
        <f>+'NEW Fall CHP by DISC'!AQ36/12</f>
        <v>2.75</v>
      </c>
      <c r="AR36" s="1680">
        <f t="shared" si="30"/>
        <v>6.35</v>
      </c>
      <c r="AS36" s="505">
        <f t="shared" si="31"/>
        <v>-0.36180904522613067</v>
      </c>
    </row>
    <row r="37" spans="1:45" x14ac:dyDescent="0.25">
      <c r="A37" s="1319" t="s">
        <v>1028</v>
      </c>
      <c r="B37" s="1680">
        <f>+'NEW Fall CHP by DISC'!B37/15</f>
        <v>10.8</v>
      </c>
      <c r="C37" s="1680">
        <f>+'NEW Fall CHP by DISC'!C37/15</f>
        <v>6.0666666666666664</v>
      </c>
      <c r="D37" s="1680">
        <f>+'NEW Fall CHP by DISC'!D37/12</f>
        <v>0</v>
      </c>
      <c r="E37" s="326">
        <f t="shared" si="32"/>
        <v>16.866666666666667</v>
      </c>
      <c r="F37" s="1680">
        <f>+'NEW Fall CHP by DISC'!F37/15</f>
        <v>11.2</v>
      </c>
      <c r="G37" s="1680">
        <f>+'NEW Fall CHP by DISC'!G37/15</f>
        <v>10.933333333333334</v>
      </c>
      <c r="H37" s="1680">
        <f>+'NEW Fall CHP by DISC'!H37/12</f>
        <v>0</v>
      </c>
      <c r="I37" s="1680">
        <f t="shared" si="33"/>
        <v>22.133333333333333</v>
      </c>
      <c r="J37" s="505">
        <f t="shared" si="34"/>
        <v>0.31225296442687739</v>
      </c>
      <c r="K37" s="1680">
        <f>+'NEW Fall CHP by DISC'!K37/15</f>
        <v>17</v>
      </c>
      <c r="L37" s="1680">
        <f>+'NEW Fall CHP by DISC'!L37/15</f>
        <v>5.8666666666666663</v>
      </c>
      <c r="M37" s="1680">
        <f>+'NEW Fall CHP by DISC'!M37/12</f>
        <v>0</v>
      </c>
      <c r="N37" s="1680">
        <f t="shared" si="35"/>
        <v>22.866666666666667</v>
      </c>
      <c r="O37" s="505">
        <f t="shared" si="36"/>
        <v>3.3132530120481972E-2</v>
      </c>
      <c r="P37" s="1680">
        <f>+'NEW Fall CHP by DISC'!P37/15</f>
        <v>20</v>
      </c>
      <c r="Q37" s="1680">
        <f>+'NEW Fall CHP by DISC'!Q37/15</f>
        <v>7.6</v>
      </c>
      <c r="R37" s="1680">
        <f>+'NEW Fall CHP by DISC'!R37/12</f>
        <v>0</v>
      </c>
      <c r="S37" s="1680">
        <f t="shared" si="37"/>
        <v>27.6</v>
      </c>
      <c r="T37" s="505">
        <f t="shared" si="38"/>
        <v>0.206997084548105</v>
      </c>
      <c r="U37" s="1680">
        <f>+'NEW Fall CHP by DISC'!U37/15</f>
        <v>20</v>
      </c>
      <c r="V37" s="1680">
        <f>+'NEW Fall CHP by DISC'!V37/15</f>
        <v>10.933333333333334</v>
      </c>
      <c r="W37" s="1680">
        <f>+'NEW Fall CHP by DISC'!W37/12</f>
        <v>0</v>
      </c>
      <c r="X37" s="1680">
        <f t="shared" si="39"/>
        <v>30.933333333333334</v>
      </c>
      <c r="Y37" s="505">
        <f t="shared" si="40"/>
        <v>0.12077294685990334</v>
      </c>
      <c r="Z37" s="1680">
        <f>+'NEW Fall CHP by DISC'!Z37/15</f>
        <v>16.399999999999999</v>
      </c>
      <c r="AA37" s="1680">
        <f>+'NEW Fall CHP by DISC'!AA37/15</f>
        <v>7.7333333333333334</v>
      </c>
      <c r="AB37" s="1680">
        <f>+'NEW Fall CHP by DISC'!AB37/12</f>
        <v>0</v>
      </c>
      <c r="AC37" s="1680">
        <f t="shared" si="41"/>
        <v>24.133333333333333</v>
      </c>
      <c r="AD37" s="505">
        <f t="shared" si="42"/>
        <v>-0.21982758620689657</v>
      </c>
      <c r="AE37" s="1680">
        <f>+'NEW Fall CHP by DISC'!AE37/15</f>
        <v>17.2</v>
      </c>
      <c r="AF37" s="1680">
        <f>+'NEW Fall CHP by DISC'!AF37/15</f>
        <v>12.333333333333334</v>
      </c>
      <c r="AG37" s="1680">
        <f>+'NEW Fall CHP by DISC'!AG37/12</f>
        <v>0</v>
      </c>
      <c r="AH37" s="1680">
        <f t="shared" si="43"/>
        <v>29.533333333333331</v>
      </c>
      <c r="AI37" s="505">
        <f t="shared" si="44"/>
        <v>0.22375690607734802</v>
      </c>
      <c r="AJ37" s="1680">
        <f>+'NEW Fall CHP by DISC'!AJ37/15</f>
        <v>18.399999999999999</v>
      </c>
      <c r="AK37" s="1680">
        <f>+'NEW Fall CHP by DISC'!AK37/15</f>
        <v>10.933333333333334</v>
      </c>
      <c r="AL37" s="1680">
        <f>+'NEW Fall CHP by DISC'!AL37/12</f>
        <v>0</v>
      </c>
      <c r="AM37" s="1680">
        <f t="shared" si="28"/>
        <v>29.333333333333332</v>
      </c>
      <c r="AN37" s="491">
        <f t="shared" si="29"/>
        <v>-6.7720090293453489E-3</v>
      </c>
      <c r="AO37" s="1680">
        <f>+'NEW Fall CHP by DISC'!AO37/15</f>
        <v>17.8</v>
      </c>
      <c r="AP37" s="1680">
        <f>+'NEW Fall CHP by DISC'!AP37/15</f>
        <v>14.333333333333334</v>
      </c>
      <c r="AQ37" s="1680">
        <f>+'NEW Fall CHP by DISC'!AQ37/12</f>
        <v>0</v>
      </c>
      <c r="AR37" s="1680">
        <f t="shared" si="30"/>
        <v>32.133333333333333</v>
      </c>
      <c r="AS37" s="505">
        <f t="shared" si="31"/>
        <v>9.5454545454545486E-2</v>
      </c>
    </row>
    <row r="38" spans="1:45" x14ac:dyDescent="0.25">
      <c r="A38" s="1319" t="s">
        <v>1029</v>
      </c>
      <c r="B38" s="1680">
        <f>+'NEW Fall CHP by DISC'!B38/15</f>
        <v>0.6</v>
      </c>
      <c r="C38" s="1680">
        <f>+'NEW Fall CHP by DISC'!C38/15</f>
        <v>0</v>
      </c>
      <c r="D38" s="1680">
        <f>+'NEW Fall CHP by DISC'!D38/12</f>
        <v>0</v>
      </c>
      <c r="E38" s="326">
        <f t="shared" si="32"/>
        <v>0.6</v>
      </c>
      <c r="F38" s="1680">
        <f>+'NEW Fall CHP by DISC'!F38/15</f>
        <v>1.2666666666666666</v>
      </c>
      <c r="G38" s="1680">
        <f>+'NEW Fall CHP by DISC'!G38/15</f>
        <v>1.4666666666666666</v>
      </c>
      <c r="H38" s="1680">
        <f>+'NEW Fall CHP by DISC'!H38/12</f>
        <v>0</v>
      </c>
      <c r="I38" s="1680">
        <f t="shared" si="33"/>
        <v>2.7333333333333334</v>
      </c>
      <c r="J38" s="505">
        <f t="shared" si="34"/>
        <v>3.5555555555555558</v>
      </c>
      <c r="K38" s="1680">
        <f>+'NEW Fall CHP by DISC'!K38/15</f>
        <v>0.6</v>
      </c>
      <c r="L38" s="1680">
        <f>+'NEW Fall CHP by DISC'!L38/15</f>
        <v>1.1333333333333333</v>
      </c>
      <c r="M38" s="1680">
        <f>+'NEW Fall CHP by DISC'!M38/12</f>
        <v>0</v>
      </c>
      <c r="N38" s="1680">
        <f t="shared" si="35"/>
        <v>1.7333333333333334</v>
      </c>
      <c r="O38" s="505">
        <f t="shared" si="36"/>
        <v>-0.36585365853658536</v>
      </c>
      <c r="P38" s="1680">
        <f>+'NEW Fall CHP by DISC'!P38/15</f>
        <v>1</v>
      </c>
      <c r="Q38" s="1680">
        <f>+'NEW Fall CHP by DISC'!Q38/15</f>
        <v>0.93333333333333335</v>
      </c>
      <c r="R38" s="1680">
        <f>+'NEW Fall CHP by DISC'!R38/12</f>
        <v>0</v>
      </c>
      <c r="S38" s="1680">
        <f t="shared" si="37"/>
        <v>1.9333333333333333</v>
      </c>
      <c r="T38" s="505">
        <f t="shared" si="38"/>
        <v>0.11538461538461535</v>
      </c>
      <c r="U38" s="1680">
        <f>+'NEW Fall CHP by DISC'!U38/15</f>
        <v>1.3333333333333333</v>
      </c>
      <c r="V38" s="1680">
        <f>+'NEW Fall CHP by DISC'!V38/15</f>
        <v>0.8666666666666667</v>
      </c>
      <c r="W38" s="1680">
        <f>+'NEW Fall CHP by DISC'!W38/12</f>
        <v>0</v>
      </c>
      <c r="X38" s="1680">
        <f t="shared" si="39"/>
        <v>2.2000000000000002</v>
      </c>
      <c r="Y38" s="505">
        <f t="shared" si="40"/>
        <v>0.1379310344827587</v>
      </c>
      <c r="Z38" s="1680">
        <f>+'NEW Fall CHP by DISC'!Z38/15</f>
        <v>1.4666666666666666</v>
      </c>
      <c r="AA38" s="1680">
        <f>+'NEW Fall CHP by DISC'!AA38/15</f>
        <v>1</v>
      </c>
      <c r="AB38" s="1680">
        <f>+'NEW Fall CHP by DISC'!AB38/12</f>
        <v>0</v>
      </c>
      <c r="AC38" s="1680">
        <f t="shared" si="41"/>
        <v>2.4666666666666668</v>
      </c>
      <c r="AD38" s="505">
        <f t="shared" si="42"/>
        <v>0.12121212121212117</v>
      </c>
      <c r="AE38" s="1680">
        <f>+'NEW Fall CHP by DISC'!AE38/15</f>
        <v>1.7333333333333334</v>
      </c>
      <c r="AF38" s="1680">
        <f>+'NEW Fall CHP by DISC'!AF38/15</f>
        <v>1.2</v>
      </c>
      <c r="AG38" s="1680">
        <f>+'NEW Fall CHP by DISC'!AG38/12</f>
        <v>0</v>
      </c>
      <c r="AH38" s="1680">
        <f t="shared" si="43"/>
        <v>2.9333333333333336</v>
      </c>
      <c r="AI38" s="505">
        <f t="shared" si="44"/>
        <v>0.18918918918918923</v>
      </c>
      <c r="AJ38" s="1680">
        <f>+'NEW Fall CHP by DISC'!AJ38/15</f>
        <v>2</v>
      </c>
      <c r="AK38" s="1680">
        <f>+'NEW Fall CHP by DISC'!AK38/15</f>
        <v>1.6</v>
      </c>
      <c r="AL38" s="1680">
        <f>+'NEW Fall CHP by DISC'!AL38/12</f>
        <v>0</v>
      </c>
      <c r="AM38" s="1680">
        <f t="shared" si="28"/>
        <v>3.6</v>
      </c>
      <c r="AN38" s="491">
        <f t="shared" si="29"/>
        <v>0.22727272727272721</v>
      </c>
      <c r="AO38" s="1680">
        <f>+'NEW Fall CHP by DISC'!AO38/15</f>
        <v>2.5333333333333332</v>
      </c>
      <c r="AP38" s="1680">
        <f>+'NEW Fall CHP by DISC'!AP38/15</f>
        <v>1.3333333333333333</v>
      </c>
      <c r="AQ38" s="1680">
        <f>+'NEW Fall CHP by DISC'!AQ38/12</f>
        <v>0</v>
      </c>
      <c r="AR38" s="1680">
        <f t="shared" si="30"/>
        <v>3.8666666666666663</v>
      </c>
      <c r="AS38" s="505">
        <f t="shared" si="31"/>
        <v>7.4074074074073931E-2</v>
      </c>
    </row>
    <row r="39" spans="1:45" s="484" customFormat="1" ht="13.8" x14ac:dyDescent="0.25">
      <c r="A39" s="1335" t="s">
        <v>1015</v>
      </c>
      <c r="B39" s="1732">
        <f t="shared" ref="B39:I39" si="45">SUM(B30:B38)</f>
        <v>75.633333333333326</v>
      </c>
      <c r="C39" s="1732">
        <f t="shared" si="45"/>
        <v>85.166666666666657</v>
      </c>
      <c r="D39" s="1732">
        <f t="shared" si="45"/>
        <v>14.25</v>
      </c>
      <c r="E39" s="495">
        <f t="shared" si="45"/>
        <v>175.05</v>
      </c>
      <c r="F39" s="1732">
        <f t="shared" si="45"/>
        <v>74.466666666666669</v>
      </c>
      <c r="G39" s="1732">
        <f t="shared" si="45"/>
        <v>97.13333333333334</v>
      </c>
      <c r="H39" s="1732">
        <f t="shared" si="45"/>
        <v>23.5</v>
      </c>
      <c r="I39" s="1259">
        <f t="shared" si="45"/>
        <v>195.1</v>
      </c>
      <c r="J39" s="496">
        <f t="shared" si="34"/>
        <v>0.11453870322764914</v>
      </c>
      <c r="K39" s="1732">
        <f>SUM(K30:K38)</f>
        <v>84.36666666666666</v>
      </c>
      <c r="L39" s="1732">
        <f>SUM(L30:L38)</f>
        <v>96.1</v>
      </c>
      <c r="M39" s="1732">
        <f>SUM(M30:M38)</f>
        <v>13.75</v>
      </c>
      <c r="N39" s="1259">
        <f>SUM(N30:N38)</f>
        <v>194.21666666666667</v>
      </c>
      <c r="O39" s="496">
        <f t="shared" si="36"/>
        <v>-4.52759268751064E-3</v>
      </c>
      <c r="P39" s="1732">
        <f>SUM(P30:P38)</f>
        <v>97.533333333333346</v>
      </c>
      <c r="Q39" s="1732">
        <f>SUM(Q30:Q38)</f>
        <v>86.333333333333329</v>
      </c>
      <c r="R39" s="1732">
        <f>SUM(R30:R38)</f>
        <v>24.5</v>
      </c>
      <c r="S39" s="1259">
        <f>SUM(S30:S38)</f>
        <v>208.3666666666667</v>
      </c>
      <c r="T39" s="496">
        <f t="shared" si="38"/>
        <v>7.2856775079378877E-2</v>
      </c>
      <c r="U39" s="1732">
        <f>SUM(U30:U38)</f>
        <v>98.333333333333329</v>
      </c>
      <c r="V39" s="1732">
        <f>SUM(V30:V38)</f>
        <v>88.933333333333323</v>
      </c>
      <c r="W39" s="1732">
        <f>SUM(W30:W38)</f>
        <v>9.25</v>
      </c>
      <c r="X39" s="1259">
        <f>SUM(X30:X38)</f>
        <v>196.51666666666668</v>
      </c>
      <c r="Y39" s="496">
        <f t="shared" si="40"/>
        <v>-5.6870900655895153E-2</v>
      </c>
      <c r="Z39" s="1732">
        <f>SUM(Z30:Z38)</f>
        <v>83</v>
      </c>
      <c r="AA39" s="1732">
        <f>SUM(AA30:AA38)</f>
        <v>92.2</v>
      </c>
      <c r="AB39" s="1732">
        <f>SUM(AB30:AB38)</f>
        <v>24.75</v>
      </c>
      <c r="AC39" s="1259">
        <f>SUM(AC30:AC38)</f>
        <v>199.95000000000002</v>
      </c>
      <c r="AD39" s="496">
        <f t="shared" si="42"/>
        <v>1.7470952421338327E-2</v>
      </c>
      <c r="AE39" s="1732">
        <f>SUM(AE30:AE38)</f>
        <v>91.5</v>
      </c>
      <c r="AF39" s="1732">
        <f>SUM(AF30:AF38)</f>
        <v>91.866666666666674</v>
      </c>
      <c r="AG39" s="1732">
        <f>SUM(AG30:AG38)</f>
        <v>27</v>
      </c>
      <c r="AH39" s="1259">
        <f>SUM(AH30:AH38)</f>
        <v>210.36666666666667</v>
      </c>
      <c r="AI39" s="496">
        <f t="shared" si="44"/>
        <v>5.2096357422688956E-2</v>
      </c>
      <c r="AJ39" s="1732">
        <f>SUM(AJ30:AJ38)</f>
        <v>90.033333333333331</v>
      </c>
      <c r="AK39" s="1732">
        <f>SUM(AK30:AK38)</f>
        <v>80.266666666666666</v>
      </c>
      <c r="AL39" s="1732">
        <f>SUM(AL30:AL38)</f>
        <v>21.75</v>
      </c>
      <c r="AM39" s="1259">
        <f>SUM(AM30:AM38)</f>
        <v>192.04999999999998</v>
      </c>
      <c r="AN39" s="496">
        <f t="shared" si="29"/>
        <v>-8.7070194897797604E-2</v>
      </c>
      <c r="AO39" s="1732">
        <f>SUM(AO30:AO38)</f>
        <v>92.1</v>
      </c>
      <c r="AP39" s="1732">
        <f>SUM(AP30:AP38)</f>
        <v>88.999999999999986</v>
      </c>
      <c r="AQ39" s="1732">
        <f>SUM(AQ30:AQ38)</f>
        <v>10.5</v>
      </c>
      <c r="AR39" s="1259">
        <f>SUM(AR30:AR38)</f>
        <v>191.6</v>
      </c>
      <c r="AS39" s="496">
        <f t="shared" si="31"/>
        <v>-2.3431398073417791E-3</v>
      </c>
    </row>
    <row r="40" spans="1:45" x14ac:dyDescent="0.25">
      <c r="A40" s="1325" t="s">
        <v>435</v>
      </c>
      <c r="B40" s="1869"/>
      <c r="C40" s="1877"/>
      <c r="D40" s="1877"/>
      <c r="E40" s="438"/>
      <c r="F40" s="1869"/>
      <c r="G40" s="1877"/>
      <c r="H40" s="1877"/>
      <c r="I40" s="1877"/>
      <c r="J40" s="438"/>
      <c r="K40" s="1869"/>
      <c r="L40" s="1877"/>
      <c r="M40" s="1877"/>
      <c r="N40" s="1877"/>
      <c r="O40" s="438"/>
      <c r="P40" s="1869"/>
      <c r="Q40" s="1877"/>
      <c r="R40" s="1877"/>
      <c r="S40" s="1877"/>
      <c r="T40" s="438"/>
      <c r="U40" s="1869"/>
      <c r="V40" s="1877"/>
      <c r="W40" s="1877"/>
      <c r="X40" s="1877"/>
      <c r="Y40" s="438"/>
      <c r="Z40" s="1869"/>
      <c r="AA40" s="1877"/>
      <c r="AB40" s="1877"/>
      <c r="AC40" s="1877"/>
      <c r="AD40" s="438"/>
      <c r="AE40" s="1869"/>
      <c r="AF40" s="1877"/>
      <c r="AG40" s="1877"/>
      <c r="AH40" s="1877"/>
      <c r="AI40" s="438"/>
      <c r="AJ40" s="1869"/>
      <c r="AK40" s="1877"/>
      <c r="AL40" s="1877"/>
      <c r="AM40" s="1877"/>
      <c r="AN40" s="438"/>
      <c r="AO40" s="1869"/>
      <c r="AP40" s="1877"/>
      <c r="AQ40" s="1877"/>
      <c r="AR40" s="1877"/>
      <c r="AS40" s="438"/>
    </row>
    <row r="41" spans="1:45" x14ac:dyDescent="0.25">
      <c r="A41" s="1336" t="s">
        <v>1059</v>
      </c>
      <c r="B41" s="1680">
        <f>+'NEW Fall CHP by DISC'!B41/15</f>
        <v>95.4</v>
      </c>
      <c r="C41" s="1680">
        <f>+'NEW Fall CHP by DISC'!C41/15</f>
        <v>37.799999999999997</v>
      </c>
      <c r="D41" s="1680">
        <f>+'NEW Fall CHP by DISC'!D41/12</f>
        <v>0</v>
      </c>
      <c r="E41" s="326">
        <f>SUM(B41:D41)</f>
        <v>133.19999999999999</v>
      </c>
      <c r="F41" s="1680">
        <f>+'NEW Fall CHP by DISC'!F41/15</f>
        <v>103.26666666666667</v>
      </c>
      <c r="G41" s="1680">
        <f>+'NEW Fall CHP by DISC'!G41/15</f>
        <v>44</v>
      </c>
      <c r="H41" s="1680">
        <f>+'NEW Fall CHP by DISC'!H41/12</f>
        <v>0</v>
      </c>
      <c r="I41" s="1246">
        <f>SUM(F41:H41)</f>
        <v>147.26666666666665</v>
      </c>
      <c r="J41" s="491">
        <f>IF(E41&gt;0,(I41-E41)/E41,(IF(I41=0,"N/A",100%)))</f>
        <v>0.10560560560560558</v>
      </c>
      <c r="K41" s="1680">
        <f>+'NEW Fall CHP by DISC'!K41/15</f>
        <v>145.06666666666666</v>
      </c>
      <c r="L41" s="1680">
        <f>+'NEW Fall CHP by DISC'!L41/15</f>
        <v>43.333333333333336</v>
      </c>
      <c r="M41" s="1680">
        <f>+'NEW Fall CHP by DISC'!M41/12</f>
        <v>0</v>
      </c>
      <c r="N41" s="1246">
        <f>SUM(K41:M41)</f>
        <v>188.4</v>
      </c>
      <c r="O41" s="491">
        <f>IF(I41&gt;0,(N41-I41)/I41,(IF(N41=0,"N/A",100%)))</f>
        <v>0.27931190583974669</v>
      </c>
      <c r="P41" s="1680">
        <f>+'NEW Fall CHP by DISC'!P41/15</f>
        <v>125.4</v>
      </c>
      <c r="Q41" s="1680">
        <f>+'NEW Fall CHP by DISC'!Q41/15</f>
        <v>56</v>
      </c>
      <c r="R41" s="1680">
        <f>+'NEW Fall CHP by DISC'!R41/12</f>
        <v>0</v>
      </c>
      <c r="S41" s="1246">
        <f>SUM(P41:R41)</f>
        <v>181.4</v>
      </c>
      <c r="T41" s="491">
        <f>IF(N41&gt;0,(S41-N41)/N41,(IF(S41=0,"N/A",100%)))</f>
        <v>-3.7154989384288746E-2</v>
      </c>
      <c r="U41" s="1680">
        <f>+'NEW Fall CHP by DISC'!U41/15</f>
        <v>124.2</v>
      </c>
      <c r="V41" s="1680">
        <f>+'NEW Fall CHP by DISC'!V41/15</f>
        <v>59.666666666666664</v>
      </c>
      <c r="W41" s="1680">
        <f>+'NEW Fall CHP by DISC'!W41/12</f>
        <v>0</v>
      </c>
      <c r="X41" s="1246">
        <f>SUM(U41:W41)</f>
        <v>183.86666666666667</v>
      </c>
      <c r="Y41" s="491">
        <f>IF(S41&gt;0,(X41-S41)/S41,(IF(X41=0,"N/A",100%)))</f>
        <v>1.3597941933112836E-2</v>
      </c>
      <c r="Z41" s="1680">
        <f>+'NEW Fall CHP by DISC'!Z41/15</f>
        <v>122.2</v>
      </c>
      <c r="AA41" s="1680">
        <f>+'NEW Fall CHP by DISC'!AA41/15</f>
        <v>64.2</v>
      </c>
      <c r="AB41" s="1680">
        <f>+'NEW Fall CHP by DISC'!AB41/12</f>
        <v>0.5</v>
      </c>
      <c r="AC41" s="1246">
        <f>SUM(Z41:AB41)</f>
        <v>186.9</v>
      </c>
      <c r="AD41" s="491">
        <f>IF(X41&gt;0,(AC41-X41)/X41,(IF(AC41=0,"N/A",100%)))</f>
        <v>1.6497461928934001E-2</v>
      </c>
      <c r="AE41" s="1680">
        <f>+'NEW Fall CHP by DISC'!AE41/15</f>
        <v>131.53333333333333</v>
      </c>
      <c r="AF41" s="1680">
        <f>+'NEW Fall CHP by DISC'!AF41/15</f>
        <v>76.933333333333337</v>
      </c>
      <c r="AG41" s="1680">
        <f>+'NEW Fall CHP by DISC'!AG41/12</f>
        <v>0</v>
      </c>
      <c r="AH41" s="1246">
        <f>SUM(AE41:AG41)</f>
        <v>208.46666666666667</v>
      </c>
      <c r="AI41" s="491">
        <f>IF(AC41&gt;0,(AH41-AC41)/AC41,(IF(AH41=0,"N/A",100%)))</f>
        <v>0.11539147494203672</v>
      </c>
      <c r="AJ41" s="1680">
        <f>+'NEW Fall CHP by DISC'!AJ41/15</f>
        <v>97.8</v>
      </c>
      <c r="AK41" s="1680">
        <f>+'NEW Fall CHP by DISC'!AK41/15</f>
        <v>66.86666666666666</v>
      </c>
      <c r="AL41" s="1680">
        <f>+'NEW Fall CHP by DISC'!AL41/12</f>
        <v>0.25</v>
      </c>
      <c r="AM41" s="1246">
        <f>SUM(AJ41:AL41)</f>
        <v>164.91666666666666</v>
      </c>
      <c r="AN41" s="491">
        <f>IF(AH41&gt;0,(AM41-AH41)/AH41,(IF(AM41=0,"N/A",100%)))</f>
        <v>-0.20890629996802051</v>
      </c>
      <c r="AO41" s="1680">
        <f>+'NEW Fall CHP by DISC'!AO41/15</f>
        <v>108.06666666666666</v>
      </c>
      <c r="AP41" s="1680">
        <f>+'NEW Fall CHP by DISC'!AP41/15</f>
        <v>57.4</v>
      </c>
      <c r="AQ41" s="1680">
        <f>+'NEW Fall CHP by DISC'!AQ41/12</f>
        <v>0</v>
      </c>
      <c r="AR41" s="1246">
        <f>SUM(AO41:AQ41)</f>
        <v>165.46666666666667</v>
      </c>
      <c r="AS41" s="491">
        <f>IF(AM41&gt;0,(AR41-AM41)/AM41,(IF(AR41=0,"N/A",100%)))</f>
        <v>3.3350176856999174E-3</v>
      </c>
    </row>
    <row r="42" spans="1:45" x14ac:dyDescent="0.25">
      <c r="A42" s="1325" t="s">
        <v>426</v>
      </c>
      <c r="B42" s="1869"/>
      <c r="C42" s="1877"/>
      <c r="D42" s="1877"/>
      <c r="E42" s="438"/>
      <c r="F42" s="1869"/>
      <c r="G42" s="1877"/>
      <c r="H42" s="1877"/>
      <c r="I42" s="1877"/>
      <c r="J42" s="438"/>
      <c r="K42" s="1869"/>
      <c r="L42" s="1877"/>
      <c r="M42" s="1877"/>
      <c r="N42" s="1877"/>
      <c r="O42" s="438"/>
      <c r="P42" s="1869"/>
      <c r="Q42" s="1877"/>
      <c r="R42" s="1877"/>
      <c r="S42" s="1877"/>
      <c r="T42" s="438"/>
      <c r="U42" s="1869"/>
      <c r="V42" s="1877"/>
      <c r="W42" s="1877"/>
      <c r="X42" s="1877"/>
      <c r="Y42" s="438"/>
      <c r="Z42" s="1869"/>
      <c r="AA42" s="1877"/>
      <c r="AB42" s="1877"/>
      <c r="AC42" s="1877"/>
      <c r="AD42" s="438"/>
      <c r="AE42" s="1869"/>
      <c r="AF42" s="1877"/>
      <c r="AG42" s="1877"/>
      <c r="AH42" s="1877"/>
      <c r="AI42" s="438"/>
      <c r="AJ42" s="1869"/>
      <c r="AK42" s="1877"/>
      <c r="AL42" s="1877"/>
      <c r="AM42" s="1877"/>
      <c r="AN42" s="438"/>
      <c r="AO42" s="1869"/>
      <c r="AP42" s="1877"/>
      <c r="AQ42" s="1877"/>
      <c r="AR42" s="1877"/>
      <c r="AS42" s="438"/>
    </row>
    <row r="43" spans="1:45" x14ac:dyDescent="0.25">
      <c r="A43" s="1319" t="s">
        <v>1013</v>
      </c>
      <c r="B43" s="1680">
        <f>+'NEW Fall CHP by DISC'!B43/15</f>
        <v>79.86666666666666</v>
      </c>
      <c r="C43" s="1680">
        <f>+'NEW Fall CHP by DISC'!C43/15</f>
        <v>52.06666666666667</v>
      </c>
      <c r="D43" s="1680">
        <f>+'NEW Fall CHP by DISC'!D43/12</f>
        <v>0</v>
      </c>
      <c r="E43" s="326">
        <f>SUM(B43:D43)</f>
        <v>131.93333333333334</v>
      </c>
      <c r="F43" s="1680">
        <f>+'NEW Fall CHP by DISC'!F43/15</f>
        <v>77.066666666666663</v>
      </c>
      <c r="G43" s="1680">
        <f>+'NEW Fall CHP by DISC'!G43/15</f>
        <v>34.200000000000003</v>
      </c>
      <c r="H43" s="1680">
        <f>+'NEW Fall CHP by DISC'!H43/12</f>
        <v>0</v>
      </c>
      <c r="I43" s="1246">
        <f>SUM(F43:H43)</f>
        <v>111.26666666666667</v>
      </c>
      <c r="J43" s="491">
        <f>IF(E43&gt;0,(I43-E43)/E43,(IF(I43=0,"N/A",100%)))</f>
        <v>-0.156644770085902</v>
      </c>
      <c r="K43" s="1680">
        <f>+'NEW Fall CHP by DISC'!K43/15</f>
        <v>81.933333333333337</v>
      </c>
      <c r="L43" s="1680">
        <f>+'NEW Fall CHP by DISC'!L43/15</f>
        <v>37.733333333333334</v>
      </c>
      <c r="M43" s="1680">
        <f>+'NEW Fall CHP by DISC'!M43/12</f>
        <v>0</v>
      </c>
      <c r="N43" s="1246">
        <f>SUM(K43:M43)</f>
        <v>119.66666666666667</v>
      </c>
      <c r="O43" s="491">
        <f>IF(I43&gt;0,(N43-I43)/I43,(IF(N43=0,"N/A",100%)))</f>
        <v>7.5494307968843669E-2</v>
      </c>
      <c r="P43" s="1680">
        <f>+'NEW Fall CHP by DISC'!P43/15</f>
        <v>110.33333333333333</v>
      </c>
      <c r="Q43" s="1680">
        <f>+'NEW Fall CHP by DISC'!Q43/15</f>
        <v>34.466666666666669</v>
      </c>
      <c r="R43" s="1680">
        <f>+'NEW Fall CHP by DISC'!R43/12</f>
        <v>0</v>
      </c>
      <c r="S43" s="1246">
        <f>SUM(P43:R43)</f>
        <v>144.80000000000001</v>
      </c>
      <c r="T43" s="491">
        <f>IF(N43&gt;0,(S43-N43)/N43,(IF(S43=0,"N/A",100%)))</f>
        <v>0.21002785515320338</v>
      </c>
      <c r="U43" s="1680">
        <f>+'NEW Fall CHP by DISC'!U43/15</f>
        <v>114.93333333333334</v>
      </c>
      <c r="V43" s="1680">
        <f>+'NEW Fall CHP by DISC'!V43/15</f>
        <v>46.06666666666667</v>
      </c>
      <c r="W43" s="1680">
        <f>+'NEW Fall CHP by DISC'!W43/12</f>
        <v>0</v>
      </c>
      <c r="X43" s="1246">
        <f>SUM(U43:W43)</f>
        <v>161</v>
      </c>
      <c r="Y43" s="491">
        <f>IF(S43&gt;0,(X43-S43)/S43,(IF(X43=0,"N/A",100%)))</f>
        <v>0.11187845303867394</v>
      </c>
      <c r="Z43" s="1680">
        <f>+'NEW Fall CHP by DISC'!Z43/15</f>
        <v>89.6</v>
      </c>
      <c r="AA43" s="1680">
        <f>+'NEW Fall CHP by DISC'!AA43/15</f>
        <v>45.8</v>
      </c>
      <c r="AB43" s="1680">
        <f>+'NEW Fall CHP by DISC'!AB43/12</f>
        <v>0</v>
      </c>
      <c r="AC43" s="1246">
        <f>SUM(Z43:AB43)</f>
        <v>135.39999999999998</v>
      </c>
      <c r="AD43" s="491">
        <f>IF(X43&gt;0,(AC43-X43)/X43,(IF(AC43=0,"N/A",100%)))</f>
        <v>-0.15900621118012437</v>
      </c>
      <c r="AE43" s="1680">
        <f>+'NEW Fall CHP by DISC'!AE43/15</f>
        <v>89.4</v>
      </c>
      <c r="AF43" s="1680">
        <f>+'NEW Fall CHP by DISC'!AF43/15</f>
        <v>53.4</v>
      </c>
      <c r="AG43" s="1680">
        <f>+'NEW Fall CHP by DISC'!AG43/12</f>
        <v>0</v>
      </c>
      <c r="AH43" s="1246">
        <f>SUM(AE43:AG43)</f>
        <v>142.80000000000001</v>
      </c>
      <c r="AI43" s="491">
        <f>IF(AC43&gt;0,(AH43-AC43)/AC43,(IF(AH43=0,"N/A",100%)))</f>
        <v>5.4652880354505433E-2</v>
      </c>
      <c r="AJ43" s="1680">
        <f>+'NEW Fall CHP by DISC'!AJ43/15</f>
        <v>76.266666666666666</v>
      </c>
      <c r="AK43" s="1680">
        <f>+'NEW Fall CHP by DISC'!AK43/15</f>
        <v>59.6</v>
      </c>
      <c r="AL43" s="1680">
        <f>+'NEW Fall CHP by DISC'!AL43/12</f>
        <v>0</v>
      </c>
      <c r="AM43" s="1246">
        <f>SUM(AJ43:AL43)</f>
        <v>135.86666666666667</v>
      </c>
      <c r="AN43" s="491">
        <f>IF(AH43&gt;0,(AM43-AH43)/AH43,(IF(AM43=0,"N/A",100%)))</f>
        <v>-4.8552754435107398E-2</v>
      </c>
      <c r="AO43" s="1680">
        <f>+'NEW Fall CHP by DISC'!AO43/15</f>
        <v>76.599999999999994</v>
      </c>
      <c r="AP43" s="1680">
        <f>+'NEW Fall CHP by DISC'!AP43/15</f>
        <v>49.866666666666667</v>
      </c>
      <c r="AQ43" s="1680">
        <f>+'NEW Fall CHP by DISC'!AQ43/12</f>
        <v>0</v>
      </c>
      <c r="AR43" s="1246">
        <f>SUM(AO43:AQ43)</f>
        <v>126.46666666666667</v>
      </c>
      <c r="AS43" s="491">
        <f>IF(AM43&gt;0,(AR43-AM43)/AM43,(IF(AR43=0,"N/A",100%)))</f>
        <v>-6.9185475956820452E-2</v>
      </c>
    </row>
    <row r="44" spans="1:45" s="502" customFormat="1" ht="16.2" thickBot="1" x14ac:dyDescent="0.35">
      <c r="A44" s="1328" t="s">
        <v>427</v>
      </c>
      <c r="B44" s="988">
        <f t="shared" ref="B44:I44" si="46">B43+B41+B39</f>
        <v>250.89999999999998</v>
      </c>
      <c r="C44" s="988">
        <f t="shared" si="46"/>
        <v>175.03333333333333</v>
      </c>
      <c r="D44" s="988">
        <f t="shared" si="46"/>
        <v>14.25</v>
      </c>
      <c r="E44" s="1337">
        <f t="shared" si="46"/>
        <v>440.18333333333334</v>
      </c>
      <c r="F44" s="988">
        <f t="shared" si="46"/>
        <v>254.79999999999998</v>
      </c>
      <c r="G44" s="988">
        <f t="shared" si="46"/>
        <v>175.33333333333334</v>
      </c>
      <c r="H44" s="988">
        <f t="shared" si="46"/>
        <v>23.5</v>
      </c>
      <c r="I44" s="988">
        <f t="shared" si="46"/>
        <v>453.63333333333333</v>
      </c>
      <c r="J44" s="975">
        <f>IF(E44&gt;0,(I44-E44)/E44,(IF(I44=0,"N/A",100%)))</f>
        <v>3.0555450380523239E-2</v>
      </c>
      <c r="K44" s="988">
        <f>K43+K41+K39</f>
        <v>311.36666666666667</v>
      </c>
      <c r="L44" s="988">
        <f>L43+L41+L39</f>
        <v>177.16666666666666</v>
      </c>
      <c r="M44" s="988">
        <f>M43+M41+M39</f>
        <v>13.75</v>
      </c>
      <c r="N44" s="988">
        <f>N43+N41+N39</f>
        <v>502.2833333333333</v>
      </c>
      <c r="O44" s="975">
        <f>IF(I44&gt;0,(N44-I44)/I44,(IF(N44=0,"N/A",100%)))</f>
        <v>0.1072452053787934</v>
      </c>
      <c r="P44" s="988">
        <f>P43+P41+P39</f>
        <v>333.26666666666671</v>
      </c>
      <c r="Q44" s="988">
        <f>Q43+Q41+Q39</f>
        <v>176.8</v>
      </c>
      <c r="R44" s="988">
        <f>R43+R41+R39</f>
        <v>24.5</v>
      </c>
      <c r="S44" s="988">
        <f>S43+S41+S39</f>
        <v>534.56666666666672</v>
      </c>
      <c r="T44" s="975">
        <f>IF(N44&gt;0,(S44-N44)/N44,(IF(S44=0,"N/A",100%)))</f>
        <v>6.4273152603112629E-2</v>
      </c>
      <c r="U44" s="988">
        <f>U43+U41+U39</f>
        <v>337.46666666666664</v>
      </c>
      <c r="V44" s="988">
        <f>V43+V41+V39</f>
        <v>194.66666666666666</v>
      </c>
      <c r="W44" s="988">
        <f>W43+W41+W39</f>
        <v>9.25</v>
      </c>
      <c r="X44" s="988">
        <f>X43+X41+X39</f>
        <v>541.38333333333333</v>
      </c>
      <c r="Y44" s="975">
        <f>IF(S44&gt;0,(X44-S44)/S44,(IF(X44=0,"N/A",100%)))</f>
        <v>1.2751761551412244E-2</v>
      </c>
      <c r="Z44" s="988">
        <f>Z43+Z41+Z39</f>
        <v>294.8</v>
      </c>
      <c r="AA44" s="988">
        <f>AA43+AA41+AA39</f>
        <v>202.2</v>
      </c>
      <c r="AB44" s="988">
        <f>AB43+AB41+AB39</f>
        <v>25.25</v>
      </c>
      <c r="AC44" s="988">
        <f>AC43+AC41+AC39</f>
        <v>522.25</v>
      </c>
      <c r="AD44" s="975">
        <f>IF(X44&gt;0,(AC44-X44)/X44,(IF(AC44=0,"N/A",100%)))</f>
        <v>-3.5341563279253752E-2</v>
      </c>
      <c r="AE44" s="988">
        <f>AE43+AE41+AE39</f>
        <v>312.43333333333334</v>
      </c>
      <c r="AF44" s="988">
        <f>AF43+AF41+AF39</f>
        <v>222.20000000000002</v>
      </c>
      <c r="AG44" s="988">
        <f>AG43+AG41+AG39</f>
        <v>27</v>
      </c>
      <c r="AH44" s="988">
        <f>AH43+AH41+AH39</f>
        <v>561.63333333333333</v>
      </c>
      <c r="AI44" s="975">
        <f>IF(AC44&gt;0,(AH44-AC44)/AC44,(IF(AH44=0,"N/A",100%)))</f>
        <v>7.5410882399872328E-2</v>
      </c>
      <c r="AJ44" s="988">
        <f>AJ43+AJ41+AJ39</f>
        <v>264.10000000000002</v>
      </c>
      <c r="AK44" s="988">
        <f>AK43+AK41+AK39</f>
        <v>206.73333333333335</v>
      </c>
      <c r="AL44" s="988">
        <f>AL43+AL41+AL39</f>
        <v>22</v>
      </c>
      <c r="AM44" s="988">
        <f>AM43+AM41+AM39</f>
        <v>492.83333333333326</v>
      </c>
      <c r="AN44" s="975">
        <f>IF(AH44&gt;0,(AM44-AH44)/AH44,(IF(AM44=0,"N/A",100%)))</f>
        <v>-0.12249985162324185</v>
      </c>
      <c r="AO44" s="988">
        <f>AO43+AO41+AO39</f>
        <v>276.76666666666665</v>
      </c>
      <c r="AP44" s="988">
        <f>AP43+AP41+AP39</f>
        <v>196.26666666666665</v>
      </c>
      <c r="AQ44" s="988">
        <f>AQ43+AQ41+AQ39</f>
        <v>10.5</v>
      </c>
      <c r="AR44" s="988">
        <f>AR43+AR41+AR39</f>
        <v>483.5333333333333</v>
      </c>
      <c r="AS44" s="975">
        <f>IF(AM44&gt;0,(AR44-AM44)/AM44,(IF(AR44=0,"N/A",100%)))</f>
        <v>-1.8870476834629602E-2</v>
      </c>
    </row>
    <row r="45" spans="1:45" ht="14.25" customHeight="1" x14ac:dyDescent="0.25">
      <c r="A45" s="507"/>
      <c r="B45" s="286"/>
      <c r="C45" s="286"/>
      <c r="D45" s="286"/>
      <c r="E45" s="286"/>
      <c r="F45" s="286"/>
      <c r="G45" s="286"/>
      <c r="H45" s="286"/>
      <c r="I45" s="286"/>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0"/>
    </row>
    <row r="46" spans="1:45" ht="14.25" customHeight="1" thickBot="1" x14ac:dyDescent="0.3">
      <c r="A46" s="507"/>
      <c r="B46" s="286"/>
      <c r="C46" s="286"/>
      <c r="D46" s="286"/>
      <c r="E46" s="286"/>
      <c r="F46" s="286"/>
      <c r="G46" s="286"/>
      <c r="H46" s="286"/>
      <c r="I46" s="286"/>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row>
    <row r="47" spans="1:45" customFormat="1" ht="18" thickBot="1" x14ac:dyDescent="0.35">
      <c r="A47" s="2134" t="s">
        <v>416</v>
      </c>
      <c r="B47" s="2135"/>
      <c r="C47" s="2135"/>
      <c r="D47" s="2135"/>
      <c r="E47" s="2135"/>
      <c r="F47" s="2135"/>
      <c r="G47" s="2135"/>
      <c r="H47" s="2135"/>
      <c r="I47" s="2135"/>
      <c r="J47" s="2135"/>
      <c r="K47" s="2135"/>
      <c r="L47" s="2135"/>
      <c r="M47" s="2135"/>
      <c r="N47" s="2135"/>
      <c r="O47" s="2135"/>
      <c r="P47" s="2135"/>
      <c r="Q47" s="2135"/>
      <c r="R47" s="2135"/>
      <c r="S47" s="2135"/>
      <c r="T47" s="2135"/>
      <c r="U47" s="2135"/>
      <c r="V47" s="2135"/>
      <c r="W47" s="2135"/>
      <c r="X47" s="2135"/>
      <c r="Y47" s="2135"/>
      <c r="Z47" s="2135"/>
      <c r="AA47" s="2135"/>
      <c r="AB47" s="2135"/>
      <c r="AC47" s="2135"/>
      <c r="AD47" s="2135"/>
      <c r="AE47" s="2135"/>
      <c r="AF47" s="2135"/>
      <c r="AG47" s="2135"/>
      <c r="AH47" s="2135"/>
      <c r="AI47" s="2135"/>
      <c r="AJ47" s="2135"/>
      <c r="AK47" s="2135"/>
      <c r="AL47" s="2135"/>
      <c r="AM47" s="2135"/>
      <c r="AN47" s="2145"/>
      <c r="AO47" s="2135"/>
      <c r="AP47" s="2135"/>
      <c r="AQ47" s="2135"/>
      <c r="AR47" s="2135"/>
      <c r="AS47" s="2136"/>
    </row>
    <row r="48" spans="1:45" ht="26.4" x14ac:dyDescent="0.25">
      <c r="A48" s="2142" t="s">
        <v>1006</v>
      </c>
      <c r="B48" s="1711" t="s">
        <v>1008</v>
      </c>
      <c r="C48" s="1711" t="s">
        <v>1009</v>
      </c>
      <c r="D48" s="1711" t="s">
        <v>1010</v>
      </c>
      <c r="E48" s="680" t="s">
        <v>1069</v>
      </c>
      <c r="F48" s="1711" t="s">
        <v>1008</v>
      </c>
      <c r="G48" s="1711" t="s">
        <v>1009</v>
      </c>
      <c r="H48" s="1711" t="s">
        <v>1010</v>
      </c>
      <c r="I48" s="1712" t="s">
        <v>1069</v>
      </c>
      <c r="J48" s="680" t="s">
        <v>1071</v>
      </c>
      <c r="K48" s="1711" t="s">
        <v>1008</v>
      </c>
      <c r="L48" s="1711" t="s">
        <v>1009</v>
      </c>
      <c r="M48" s="1711" t="s">
        <v>1010</v>
      </c>
      <c r="N48" s="1712" t="s">
        <v>1069</v>
      </c>
      <c r="O48" s="680" t="s">
        <v>1071</v>
      </c>
      <c r="P48" s="1711" t="s">
        <v>1008</v>
      </c>
      <c r="Q48" s="1711" t="s">
        <v>1009</v>
      </c>
      <c r="R48" s="1711" t="s">
        <v>1010</v>
      </c>
      <c r="S48" s="1712" t="s">
        <v>1069</v>
      </c>
      <c r="T48" s="680" t="s">
        <v>1071</v>
      </c>
      <c r="U48" s="1711" t="s">
        <v>1008</v>
      </c>
      <c r="V48" s="1711" t="s">
        <v>1009</v>
      </c>
      <c r="W48" s="1711" t="s">
        <v>1010</v>
      </c>
      <c r="X48" s="1712" t="s">
        <v>1069</v>
      </c>
      <c r="Y48" s="680" t="s">
        <v>1071</v>
      </c>
      <c r="Z48" s="1711" t="s">
        <v>1008</v>
      </c>
      <c r="AA48" s="1711" t="s">
        <v>1009</v>
      </c>
      <c r="AB48" s="1711" t="s">
        <v>1010</v>
      </c>
      <c r="AC48" s="1712" t="s">
        <v>1069</v>
      </c>
      <c r="AD48" s="680" t="s">
        <v>1071</v>
      </c>
      <c r="AE48" s="1711" t="s">
        <v>1008</v>
      </c>
      <c r="AF48" s="1711" t="s">
        <v>1009</v>
      </c>
      <c r="AG48" s="1711" t="s">
        <v>1010</v>
      </c>
      <c r="AH48" s="1712" t="s">
        <v>1069</v>
      </c>
      <c r="AI48" s="680" t="s">
        <v>1071</v>
      </c>
      <c r="AJ48" s="1711" t="s">
        <v>1008</v>
      </c>
      <c r="AK48" s="1711" t="s">
        <v>1009</v>
      </c>
      <c r="AL48" s="1711" t="s">
        <v>1010</v>
      </c>
      <c r="AM48" s="1712" t="s">
        <v>1069</v>
      </c>
      <c r="AN48" s="1862" t="s">
        <v>1071</v>
      </c>
      <c r="AO48" s="1711" t="s">
        <v>1008</v>
      </c>
      <c r="AP48" s="1711" t="s">
        <v>1009</v>
      </c>
      <c r="AQ48" s="1711" t="s">
        <v>1010</v>
      </c>
      <c r="AR48" s="1712" t="s">
        <v>1069</v>
      </c>
      <c r="AS48" s="1763" t="s">
        <v>1071</v>
      </c>
    </row>
    <row r="49" spans="1:256" x14ac:dyDescent="0.25">
      <c r="A49" s="2143"/>
      <c r="B49" s="1257" t="s">
        <v>1500</v>
      </c>
      <c r="C49" s="1711"/>
      <c r="D49" s="1711"/>
      <c r="E49" s="584"/>
      <c r="F49" s="1257" t="s">
        <v>1499</v>
      </c>
      <c r="G49" s="1711"/>
      <c r="H49" s="1711"/>
      <c r="I49" s="1711"/>
      <c r="J49" s="679"/>
      <c r="K49" s="2138" t="s">
        <v>1448</v>
      </c>
      <c r="L49" s="2139"/>
      <c r="M49" s="2139"/>
      <c r="N49" s="2139"/>
      <c r="O49" s="2140"/>
      <c r="P49" s="1868" t="s">
        <v>1449</v>
      </c>
      <c r="Q49" s="1711"/>
      <c r="R49" s="1711"/>
      <c r="S49" s="1711"/>
      <c r="T49" s="679"/>
      <c r="U49" s="1868" t="s">
        <v>1450</v>
      </c>
      <c r="V49" s="1711"/>
      <c r="W49" s="1711"/>
      <c r="X49" s="1711"/>
      <c r="Y49" s="679"/>
      <c r="Z49" s="1868" t="s">
        <v>1551</v>
      </c>
      <c r="AA49" s="1711"/>
      <c r="AB49" s="1711"/>
      <c r="AC49" s="1711"/>
      <c r="AD49" s="679"/>
      <c r="AE49" s="1868" t="str">
        <f>+AE28</f>
        <v>Fall 2013</v>
      </c>
      <c r="AF49" s="1711"/>
      <c r="AG49" s="1711"/>
      <c r="AH49" s="1711"/>
      <c r="AI49" s="679"/>
      <c r="AJ49" s="1868" t="str">
        <f>+AJ28</f>
        <v>Fall 2014</v>
      </c>
      <c r="AK49" s="1711"/>
      <c r="AL49" s="1711"/>
      <c r="AM49" s="1711"/>
      <c r="AN49" s="679"/>
      <c r="AO49" s="1868" t="str">
        <f>+AO28</f>
        <v>Fall 2015</v>
      </c>
      <c r="AP49" s="1711"/>
      <c r="AQ49" s="1711"/>
      <c r="AR49" s="1711"/>
      <c r="AS49" s="679"/>
      <c r="AT49" s="280"/>
      <c r="AU49" s="280"/>
      <c r="AV49" s="280"/>
      <c r="AW49" s="280"/>
      <c r="AX49" s="280"/>
      <c r="AY49" s="280"/>
      <c r="AZ49" s="280"/>
      <c r="BA49" s="280"/>
      <c r="BB49" s="280"/>
      <c r="BC49" s="280"/>
      <c r="BD49" s="280"/>
      <c r="BE49" s="280"/>
      <c r="BF49" s="280"/>
      <c r="BG49" s="280"/>
      <c r="BH49" s="280"/>
      <c r="BI49" s="280"/>
      <c r="BJ49" s="280"/>
      <c r="BK49" s="280"/>
      <c r="BL49" s="280"/>
      <c r="BM49" s="280"/>
      <c r="BN49" s="280"/>
      <c r="BO49" s="280"/>
      <c r="BP49" s="280"/>
      <c r="BQ49" s="280"/>
      <c r="BR49" s="280"/>
      <c r="BS49" s="280"/>
      <c r="BT49" s="280"/>
      <c r="BU49" s="280"/>
      <c r="BV49" s="280"/>
      <c r="BW49" s="280"/>
      <c r="BX49" s="280"/>
      <c r="BY49" s="280"/>
      <c r="BZ49" s="280"/>
      <c r="CA49" s="280"/>
      <c r="CB49" s="280"/>
      <c r="CC49" s="280"/>
      <c r="CD49" s="280"/>
      <c r="CE49" s="280"/>
      <c r="CF49" s="280"/>
      <c r="CG49" s="280"/>
      <c r="CH49" s="280"/>
      <c r="CI49" s="280"/>
      <c r="CJ49" s="280"/>
      <c r="CK49" s="280"/>
      <c r="CL49" s="280"/>
      <c r="CM49" s="280"/>
      <c r="CN49" s="280"/>
      <c r="CO49" s="280"/>
      <c r="CP49" s="280"/>
      <c r="CQ49" s="280"/>
      <c r="CR49" s="280"/>
      <c r="CS49" s="280"/>
      <c r="CT49" s="280"/>
      <c r="CU49" s="280"/>
      <c r="CV49" s="280"/>
      <c r="CW49" s="280"/>
      <c r="CX49" s="280"/>
      <c r="CY49" s="280"/>
      <c r="CZ49" s="280"/>
      <c r="DA49" s="280"/>
      <c r="DB49" s="280"/>
      <c r="DC49" s="280"/>
      <c r="DD49" s="280"/>
      <c r="DE49" s="280"/>
      <c r="DF49" s="280"/>
      <c r="DG49" s="280"/>
      <c r="DH49" s="280"/>
      <c r="DI49" s="280"/>
      <c r="DJ49" s="280"/>
      <c r="DK49" s="280"/>
      <c r="DL49" s="280"/>
      <c r="DM49" s="280"/>
      <c r="DN49" s="280"/>
      <c r="DO49" s="280"/>
      <c r="DP49" s="280"/>
      <c r="DQ49" s="280"/>
      <c r="DR49" s="280"/>
      <c r="DS49" s="280"/>
      <c r="DT49" s="280"/>
      <c r="DU49" s="280"/>
      <c r="DV49" s="280"/>
      <c r="DW49" s="280"/>
      <c r="DX49" s="280"/>
      <c r="DY49" s="280"/>
      <c r="DZ49" s="280"/>
      <c r="EA49" s="280"/>
      <c r="EB49" s="280"/>
      <c r="EC49" s="280"/>
      <c r="ED49" s="280"/>
      <c r="EE49" s="280"/>
      <c r="EF49" s="280"/>
      <c r="EG49" s="280"/>
      <c r="EH49" s="280"/>
      <c r="EI49" s="280"/>
      <c r="EJ49" s="280"/>
      <c r="EK49" s="280"/>
      <c r="EL49" s="280"/>
      <c r="EM49" s="280"/>
      <c r="EN49" s="280"/>
      <c r="EO49" s="280"/>
      <c r="EP49" s="280"/>
      <c r="EQ49" s="280"/>
      <c r="ER49" s="280"/>
      <c r="ES49" s="280"/>
      <c r="ET49" s="280"/>
      <c r="EU49" s="280"/>
      <c r="EV49" s="280"/>
      <c r="EW49" s="280"/>
      <c r="EX49" s="280"/>
      <c r="EY49" s="280"/>
      <c r="EZ49" s="280"/>
      <c r="FA49" s="280"/>
      <c r="FB49" s="280"/>
      <c r="FC49" s="280"/>
      <c r="FD49" s="280"/>
      <c r="FE49" s="280"/>
      <c r="FF49" s="280"/>
      <c r="FG49" s="280"/>
      <c r="FH49" s="280"/>
      <c r="FI49" s="280"/>
      <c r="FJ49" s="280"/>
      <c r="FK49" s="280"/>
      <c r="FL49" s="280"/>
      <c r="FM49" s="280"/>
      <c r="FN49" s="280"/>
      <c r="FO49" s="280"/>
      <c r="FP49" s="280"/>
      <c r="FQ49" s="280"/>
      <c r="FR49" s="280"/>
      <c r="FS49" s="280"/>
      <c r="FT49" s="280"/>
      <c r="FU49" s="280"/>
      <c r="FV49" s="280"/>
      <c r="FW49" s="280"/>
      <c r="FX49" s="280"/>
      <c r="FY49" s="280"/>
      <c r="FZ49" s="280"/>
      <c r="GA49" s="280"/>
      <c r="GB49" s="280"/>
      <c r="GC49" s="280"/>
      <c r="GD49" s="280"/>
      <c r="GE49" s="280"/>
      <c r="GF49" s="280"/>
      <c r="GG49" s="280"/>
      <c r="GH49" s="280"/>
      <c r="GI49" s="280"/>
      <c r="GJ49" s="280"/>
      <c r="GK49" s="280"/>
      <c r="GL49" s="280"/>
      <c r="GM49" s="280"/>
      <c r="GN49" s="280"/>
      <c r="GO49" s="280"/>
      <c r="GP49" s="280"/>
      <c r="GQ49" s="280"/>
      <c r="GR49" s="280"/>
      <c r="GS49" s="280"/>
      <c r="GT49" s="280"/>
      <c r="GU49" s="280"/>
      <c r="GV49" s="280"/>
      <c r="GW49" s="280"/>
      <c r="GX49" s="280"/>
      <c r="GY49" s="280"/>
      <c r="GZ49" s="280"/>
      <c r="HA49" s="280"/>
      <c r="HB49" s="280"/>
      <c r="HC49" s="280"/>
      <c r="HD49" s="280"/>
      <c r="HE49" s="280"/>
      <c r="HF49" s="280"/>
      <c r="HG49" s="280"/>
      <c r="HH49" s="280"/>
      <c r="HI49" s="280"/>
      <c r="HJ49" s="280"/>
      <c r="HK49" s="280"/>
      <c r="HL49" s="280"/>
      <c r="HM49" s="280"/>
      <c r="HN49" s="280"/>
      <c r="HO49" s="280"/>
      <c r="HP49" s="280"/>
      <c r="HQ49" s="280"/>
      <c r="HR49" s="280"/>
      <c r="HS49" s="280"/>
      <c r="HT49" s="280"/>
      <c r="HU49" s="280"/>
      <c r="HV49" s="280"/>
      <c r="HW49" s="280"/>
      <c r="HX49" s="280"/>
      <c r="HY49" s="280"/>
      <c r="HZ49" s="280"/>
      <c r="IA49" s="280"/>
      <c r="IB49" s="280"/>
      <c r="IC49" s="280"/>
      <c r="ID49" s="280"/>
      <c r="IE49" s="280"/>
      <c r="IF49" s="280"/>
      <c r="IG49" s="280"/>
      <c r="IH49" s="280"/>
      <c r="II49" s="280"/>
      <c r="IJ49" s="280"/>
      <c r="IK49" s="280"/>
      <c r="IL49" s="280"/>
      <c r="IM49" s="280"/>
      <c r="IN49" s="280"/>
      <c r="IO49" s="280"/>
      <c r="IP49" s="280"/>
      <c r="IQ49" s="280"/>
      <c r="IR49" s="280"/>
      <c r="IS49" s="280"/>
      <c r="IT49" s="280"/>
      <c r="IU49" s="280"/>
      <c r="IV49" s="280"/>
    </row>
    <row r="50" spans="1:256" s="511" customFormat="1" x14ac:dyDescent="0.25">
      <c r="A50" s="1325" t="s">
        <v>417</v>
      </c>
      <c r="B50" s="1869"/>
      <c r="C50" s="1870"/>
      <c r="D50" s="1870"/>
      <c r="E50" s="1871"/>
      <c r="F50" s="1869"/>
      <c r="G50" s="1870"/>
      <c r="H50" s="1870"/>
      <c r="I50" s="1870"/>
      <c r="J50" s="438"/>
      <c r="K50" s="1869"/>
      <c r="L50" s="1870"/>
      <c r="M50" s="1870"/>
      <c r="N50" s="1870"/>
      <c r="O50" s="438"/>
      <c r="P50" s="1869"/>
      <c r="Q50" s="1870"/>
      <c r="R50" s="1870"/>
      <c r="S50" s="1870"/>
      <c r="T50" s="438"/>
      <c r="U50" s="1869"/>
      <c r="V50" s="1870"/>
      <c r="W50" s="1870"/>
      <c r="X50" s="1870"/>
      <c r="Y50" s="438"/>
      <c r="Z50" s="1869"/>
      <c r="AA50" s="1870"/>
      <c r="AB50" s="1870"/>
      <c r="AC50" s="1870"/>
      <c r="AD50" s="438"/>
      <c r="AE50" s="1869"/>
      <c r="AF50" s="1870"/>
      <c r="AG50" s="1870"/>
      <c r="AH50" s="1870"/>
      <c r="AI50" s="438"/>
      <c r="AJ50" s="1869"/>
      <c r="AK50" s="1870"/>
      <c r="AL50" s="1870"/>
      <c r="AM50" s="1870"/>
      <c r="AN50" s="438"/>
      <c r="AO50" s="1869"/>
      <c r="AP50" s="1870"/>
      <c r="AQ50" s="1870"/>
      <c r="AR50" s="1870"/>
      <c r="AS50" s="1871"/>
      <c r="AT50" s="280"/>
      <c r="AU50" s="280"/>
      <c r="AV50" s="280"/>
      <c r="AW50" s="280"/>
      <c r="AX50" s="280"/>
      <c r="AY50" s="280"/>
      <c r="AZ50" s="280"/>
      <c r="BA50" s="280"/>
      <c r="BB50" s="280"/>
      <c r="BC50" s="280"/>
      <c r="BD50" s="280"/>
      <c r="BE50" s="280"/>
      <c r="BF50" s="280"/>
      <c r="BG50" s="280"/>
      <c r="BH50" s="280"/>
      <c r="BI50" s="280"/>
      <c r="BJ50" s="280"/>
      <c r="BK50" s="280"/>
      <c r="BL50" s="280"/>
      <c r="BM50" s="280"/>
      <c r="BN50" s="280"/>
      <c r="BO50" s="280"/>
      <c r="BP50" s="280"/>
      <c r="BQ50" s="280"/>
      <c r="BR50" s="280"/>
      <c r="BS50" s="280"/>
      <c r="BT50" s="280"/>
      <c r="BU50" s="280"/>
      <c r="BV50" s="280"/>
      <c r="BW50" s="280"/>
      <c r="BX50" s="280"/>
      <c r="BY50" s="280"/>
      <c r="BZ50" s="280"/>
      <c r="CA50" s="280"/>
      <c r="CB50" s="280"/>
      <c r="CC50" s="280"/>
      <c r="CD50" s="280"/>
      <c r="CE50" s="280"/>
      <c r="CF50" s="280"/>
      <c r="CG50" s="280"/>
      <c r="CH50" s="280"/>
      <c r="CI50" s="280"/>
      <c r="CJ50" s="280"/>
      <c r="CK50" s="280"/>
      <c r="CL50" s="280"/>
      <c r="CM50" s="280"/>
      <c r="CN50" s="280"/>
      <c r="CO50" s="280"/>
      <c r="CP50" s="280"/>
      <c r="CQ50" s="280"/>
      <c r="CR50" s="280"/>
      <c r="CS50" s="280"/>
      <c r="CT50" s="280"/>
      <c r="CU50" s="280"/>
      <c r="CV50" s="280"/>
      <c r="CW50" s="280"/>
      <c r="CX50" s="280"/>
      <c r="CY50" s="280"/>
      <c r="CZ50" s="280"/>
      <c r="DA50" s="280"/>
      <c r="DB50" s="280"/>
      <c r="DC50" s="280"/>
      <c r="DD50" s="280"/>
      <c r="DE50" s="280"/>
      <c r="DF50" s="280"/>
      <c r="DG50" s="280"/>
      <c r="DH50" s="280"/>
      <c r="DI50" s="280"/>
      <c r="DJ50" s="280"/>
      <c r="DK50" s="280"/>
      <c r="DL50" s="280"/>
      <c r="DM50" s="280"/>
      <c r="DN50" s="280"/>
      <c r="DO50" s="280"/>
      <c r="DP50" s="280"/>
      <c r="DQ50" s="280"/>
      <c r="DR50" s="280"/>
      <c r="DS50" s="280"/>
      <c r="DT50" s="280"/>
      <c r="DU50" s="280"/>
      <c r="DV50" s="280"/>
      <c r="DW50" s="280"/>
      <c r="DX50" s="280"/>
      <c r="DY50" s="280"/>
      <c r="DZ50" s="280"/>
      <c r="EA50" s="280"/>
      <c r="EB50" s="280"/>
      <c r="EC50" s="280"/>
      <c r="ED50" s="280"/>
      <c r="EE50" s="280"/>
      <c r="EF50" s="280"/>
      <c r="EG50" s="280"/>
      <c r="EH50" s="280"/>
      <c r="EI50" s="280"/>
      <c r="EJ50" s="280"/>
      <c r="EK50" s="280"/>
      <c r="EL50" s="280"/>
      <c r="EM50" s="280"/>
      <c r="EN50" s="280"/>
      <c r="EO50" s="280"/>
      <c r="EP50" s="280"/>
      <c r="EQ50" s="280"/>
      <c r="ER50" s="280"/>
      <c r="ES50" s="280"/>
      <c r="ET50" s="280"/>
      <c r="EU50" s="280"/>
      <c r="EV50" s="280"/>
      <c r="EW50" s="280"/>
      <c r="EX50" s="280"/>
      <c r="EY50" s="280"/>
      <c r="EZ50" s="280"/>
      <c r="FA50" s="280"/>
      <c r="FB50" s="280"/>
      <c r="FC50" s="280"/>
      <c r="FD50" s="280"/>
      <c r="FE50" s="280"/>
      <c r="FF50" s="280"/>
      <c r="FG50" s="280"/>
      <c r="FH50" s="280"/>
      <c r="FI50" s="280"/>
      <c r="FJ50" s="280"/>
      <c r="FK50" s="280"/>
      <c r="FL50" s="280"/>
      <c r="FM50" s="280"/>
      <c r="FN50" s="280"/>
      <c r="FO50" s="280"/>
      <c r="FP50" s="280"/>
      <c r="FQ50" s="280"/>
      <c r="FR50" s="280"/>
      <c r="FS50" s="280"/>
      <c r="FT50" s="280"/>
      <c r="FU50" s="280"/>
      <c r="FV50" s="280"/>
      <c r="FW50" s="280"/>
      <c r="FX50" s="280"/>
      <c r="FY50" s="280"/>
      <c r="FZ50" s="280"/>
      <c r="GA50" s="280"/>
      <c r="GB50" s="280"/>
      <c r="GC50" s="280"/>
      <c r="GD50" s="280"/>
      <c r="GE50" s="280"/>
      <c r="GF50" s="280"/>
      <c r="GG50" s="280"/>
      <c r="GH50" s="280"/>
      <c r="GI50" s="280"/>
      <c r="GJ50" s="280"/>
      <c r="GK50" s="280"/>
      <c r="GL50" s="280"/>
      <c r="GM50" s="280"/>
      <c r="GN50" s="280"/>
      <c r="GO50" s="280"/>
      <c r="GP50" s="280"/>
      <c r="GQ50" s="280"/>
      <c r="GR50" s="280"/>
      <c r="GS50" s="280"/>
      <c r="GT50" s="280"/>
      <c r="GU50" s="280"/>
      <c r="GV50" s="280"/>
      <c r="GW50" s="280"/>
      <c r="GX50" s="280"/>
      <c r="GY50" s="280"/>
      <c r="GZ50" s="280"/>
      <c r="HA50" s="280"/>
      <c r="HB50" s="280"/>
      <c r="HC50" s="280"/>
      <c r="HD50" s="280"/>
      <c r="HE50" s="280"/>
      <c r="HF50" s="280"/>
      <c r="HG50" s="280"/>
      <c r="HH50" s="280"/>
      <c r="HI50" s="280"/>
      <c r="HJ50" s="280"/>
      <c r="HK50" s="280"/>
      <c r="HL50" s="280"/>
      <c r="HM50" s="280"/>
      <c r="HN50" s="280"/>
      <c r="HO50" s="280"/>
      <c r="HP50" s="280"/>
      <c r="HQ50" s="280"/>
      <c r="HR50" s="280"/>
      <c r="HS50" s="280"/>
      <c r="HT50" s="280"/>
      <c r="HU50" s="280"/>
      <c r="HV50" s="280"/>
      <c r="HW50" s="280"/>
      <c r="HX50" s="280"/>
      <c r="HY50" s="280"/>
      <c r="HZ50" s="280"/>
      <c r="IA50" s="280"/>
      <c r="IB50" s="280"/>
      <c r="IC50" s="280"/>
      <c r="ID50" s="280"/>
      <c r="IE50" s="280"/>
      <c r="IF50" s="280"/>
      <c r="IG50" s="280"/>
      <c r="IH50" s="280"/>
      <c r="II50" s="280"/>
      <c r="IJ50" s="280"/>
      <c r="IK50" s="280"/>
      <c r="IL50" s="280"/>
      <c r="IM50" s="280"/>
      <c r="IN50" s="280"/>
      <c r="IO50" s="280"/>
      <c r="IP50" s="280"/>
      <c r="IQ50" s="280"/>
      <c r="IR50" s="280"/>
      <c r="IS50" s="280"/>
      <c r="IT50" s="280"/>
      <c r="IU50" s="280"/>
      <c r="IV50" s="280"/>
    </row>
    <row r="51" spans="1:256" x14ac:dyDescent="0.25">
      <c r="A51" s="1319" t="s">
        <v>1030</v>
      </c>
      <c r="B51" s="1680">
        <f>+'NEW Fall CHP by DISC'!B51/15</f>
        <v>65.8</v>
      </c>
      <c r="C51" s="1680">
        <f>+'NEW Fall CHP by DISC'!C51/15</f>
        <v>24.066666666666666</v>
      </c>
      <c r="D51" s="1680">
        <f>+'NEW Fall CHP by DISC'!D51/12</f>
        <v>7.5</v>
      </c>
      <c r="E51" s="1678">
        <f>SUM(B51:D51)</f>
        <v>97.36666666666666</v>
      </c>
      <c r="F51" s="1680">
        <f>+'NEW Fall CHP by DISC'!F51/15</f>
        <v>64.599999999999994</v>
      </c>
      <c r="G51" s="1680">
        <f>+'NEW Fall CHP by DISC'!G51/15</f>
        <v>39.533333333333331</v>
      </c>
      <c r="H51" s="1680">
        <f>+'NEW Fall CHP by DISC'!H51/12</f>
        <v>10.5</v>
      </c>
      <c r="I51" s="1680">
        <f>SUM(F51:H51)</f>
        <v>114.63333333333333</v>
      </c>
      <c r="J51" s="505">
        <f>IF(E51&gt;0,(I51-E51)/E51,(IF(I51=0,"N/A",100%)))</f>
        <v>0.17733652858610066</v>
      </c>
      <c r="K51" s="1680">
        <f>+'NEW Fall CHP by DISC'!K51/15</f>
        <v>73.2</v>
      </c>
      <c r="L51" s="1680">
        <f>+'NEW Fall CHP by DISC'!L51/15</f>
        <v>34.866666666666667</v>
      </c>
      <c r="M51" s="1680">
        <f>+'NEW Fall CHP by DISC'!M51/12</f>
        <v>3.75</v>
      </c>
      <c r="N51" s="1680">
        <f>SUM(K51:M51)</f>
        <v>111.81666666666666</v>
      </c>
      <c r="O51" s="505">
        <f>IF(I51&gt;0,(N51-I51)/I51,(IF(N51=0,"N/A",100%)))</f>
        <v>-2.4571096248909536E-2</v>
      </c>
      <c r="P51" s="1680">
        <f>+'NEW Fall CHP by DISC'!P51/15</f>
        <v>99.6</v>
      </c>
      <c r="Q51" s="1680">
        <f>+'NEW Fall CHP by DISC'!Q51/15</f>
        <v>25.533333333333335</v>
      </c>
      <c r="R51" s="1680">
        <f>+'NEW Fall CHP by DISC'!R51/12</f>
        <v>9</v>
      </c>
      <c r="S51" s="1680">
        <f>SUM(P51:R51)</f>
        <v>134.13333333333333</v>
      </c>
      <c r="T51" s="505">
        <f>IF(N51&gt;0,(S51-N51)/N51,(IF(S51=0,"N/A",100%)))</f>
        <v>0.1995826501714115</v>
      </c>
      <c r="U51" s="1680">
        <f>+'NEW Fall CHP by DISC'!U51/15</f>
        <v>104.4</v>
      </c>
      <c r="V51" s="1680">
        <f>+'NEW Fall CHP by DISC'!V51/15</f>
        <v>30.066666666666666</v>
      </c>
      <c r="W51" s="1680">
        <f>+'NEW Fall CHP by DISC'!W51/12</f>
        <v>3.75</v>
      </c>
      <c r="X51" s="1680">
        <f>SUM(U51:W51)</f>
        <v>138.21666666666667</v>
      </c>
      <c r="Y51" s="505">
        <f>IF(S51&gt;0,(X51-S51)/S51,(IF(X51=0,"N/A",100%)))</f>
        <v>3.0442345924453353E-2</v>
      </c>
      <c r="Z51" s="1680">
        <f>+'NEW Fall CHP by DISC'!Z51/15</f>
        <v>84.8</v>
      </c>
      <c r="AA51" s="1680">
        <f>+'NEW Fall CHP by DISC'!AA51/15</f>
        <v>34.93333333333333</v>
      </c>
      <c r="AB51" s="1680">
        <f>+'NEW Fall CHP by DISC'!AB51/12</f>
        <v>5.25</v>
      </c>
      <c r="AC51" s="1680">
        <f>SUM(Z51:AB51)</f>
        <v>124.98333333333332</v>
      </c>
      <c r="AD51" s="505">
        <f>IF(X51&gt;0,(AC51-X51)/X51,(IF(AC51=0,"N/A",100%)))</f>
        <v>-9.5743398046545386E-2</v>
      </c>
      <c r="AE51" s="1680">
        <f>+'NEW Fall CHP by DISC'!AE51/15</f>
        <v>68</v>
      </c>
      <c r="AF51" s="1680">
        <f>+'NEW Fall CHP by DISC'!AF51/15</f>
        <v>36</v>
      </c>
      <c r="AG51" s="1680">
        <f>+'NEW Fall CHP by DISC'!AG51/12</f>
        <v>3.75</v>
      </c>
      <c r="AH51" s="1680">
        <f>SUM(AE51:AG51)</f>
        <v>107.75</v>
      </c>
      <c r="AI51" s="505">
        <f>IF(AC51&gt;0,(AH51-AC51)/AC51,(IF(AH51=0,"N/A",100%)))</f>
        <v>-0.13788505134017859</v>
      </c>
      <c r="AJ51" s="1680">
        <f>+'NEW Fall CHP by DISC'!AJ51/15</f>
        <v>69.2</v>
      </c>
      <c r="AK51" s="1680">
        <f>+'NEW Fall CHP by DISC'!AK51/15</f>
        <v>25.8</v>
      </c>
      <c r="AL51" s="1680">
        <f>+'NEW Fall CHP by DISC'!AL51/12</f>
        <v>3</v>
      </c>
      <c r="AM51" s="1680">
        <f>SUM(AJ51:AL51)</f>
        <v>98</v>
      </c>
      <c r="AN51" s="491">
        <f>IF(AH51&gt;0,(AM51-AH51)/AH51,(IF(AM51=0,"N/A",100%)))</f>
        <v>-9.0487238979118326E-2</v>
      </c>
      <c r="AO51" s="1680">
        <f>+'NEW Fall CHP by DISC'!AO51/15</f>
        <v>81.400000000000006</v>
      </c>
      <c r="AP51" s="1680">
        <f>+'NEW Fall CHP by DISC'!AP51/15</f>
        <v>19.266666666666666</v>
      </c>
      <c r="AQ51" s="1680">
        <f>+'NEW Fall CHP by DISC'!AQ51/12</f>
        <v>0</v>
      </c>
      <c r="AR51" s="1680">
        <f>SUM(AO51:AQ51)</f>
        <v>100.66666666666667</v>
      </c>
      <c r="AS51" s="1679">
        <f>IF(AM51&gt;0,(AR51-AM51)/AM51,(IF(AR51=0,"N/A",100%)))</f>
        <v>2.7210884353741544E-2</v>
      </c>
      <c r="AT51" s="280"/>
      <c r="AU51" s="280"/>
      <c r="AV51" s="280"/>
      <c r="AW51" s="280"/>
      <c r="AX51" s="280"/>
      <c r="AY51" s="280"/>
      <c r="AZ51" s="280"/>
      <c r="BA51" s="280"/>
      <c r="BB51" s="280"/>
      <c r="BC51" s="280"/>
      <c r="BD51" s="280"/>
      <c r="BE51" s="280"/>
      <c r="BF51" s="280"/>
      <c r="BG51" s="280"/>
      <c r="BH51" s="280"/>
      <c r="BI51" s="280"/>
      <c r="BJ51" s="280"/>
      <c r="BK51" s="280"/>
      <c r="BL51" s="280"/>
      <c r="BM51" s="280"/>
      <c r="BN51" s="280"/>
      <c r="BO51" s="280"/>
      <c r="BP51" s="280"/>
      <c r="BQ51" s="280"/>
      <c r="BR51" s="280"/>
      <c r="BS51" s="280"/>
      <c r="BT51" s="280"/>
      <c r="BU51" s="280"/>
      <c r="BV51" s="280"/>
      <c r="BW51" s="280"/>
      <c r="BX51" s="280"/>
      <c r="BY51" s="280"/>
      <c r="BZ51" s="280"/>
      <c r="CA51" s="280"/>
      <c r="CB51" s="280"/>
      <c r="CC51" s="280"/>
      <c r="CD51" s="280"/>
      <c r="CE51" s="280"/>
      <c r="CF51" s="280"/>
      <c r="CG51" s="280"/>
      <c r="CH51" s="280"/>
      <c r="CI51" s="280"/>
      <c r="CJ51" s="280"/>
      <c r="CK51" s="280"/>
      <c r="CL51" s="280"/>
      <c r="CM51" s="280"/>
      <c r="CN51" s="280"/>
      <c r="CO51" s="280"/>
      <c r="CP51" s="280"/>
      <c r="CQ51" s="280"/>
      <c r="CR51" s="280"/>
      <c r="CS51" s="280"/>
      <c r="CT51" s="280"/>
      <c r="CU51" s="280"/>
      <c r="CV51" s="280"/>
      <c r="CW51" s="280"/>
      <c r="CX51" s="280"/>
      <c r="CY51" s="280"/>
      <c r="CZ51" s="280"/>
      <c r="DA51" s="280"/>
      <c r="DB51" s="280"/>
      <c r="DC51" s="280"/>
      <c r="DD51" s="280"/>
      <c r="DE51" s="280"/>
      <c r="DF51" s="280"/>
      <c r="DG51" s="280"/>
      <c r="DH51" s="280"/>
      <c r="DI51" s="280"/>
      <c r="DJ51" s="280"/>
      <c r="DK51" s="280"/>
      <c r="DL51" s="280"/>
      <c r="DM51" s="280"/>
      <c r="DN51" s="280"/>
      <c r="DO51" s="280"/>
      <c r="DP51" s="280"/>
      <c r="DQ51" s="280"/>
      <c r="DR51" s="280"/>
      <c r="DS51" s="280"/>
      <c r="DT51" s="280"/>
      <c r="DU51" s="280"/>
      <c r="DV51" s="280"/>
      <c r="DW51" s="280"/>
      <c r="DX51" s="280"/>
      <c r="DY51" s="280"/>
      <c r="DZ51" s="280"/>
      <c r="EA51" s="280"/>
      <c r="EB51" s="280"/>
      <c r="EC51" s="280"/>
      <c r="ED51" s="280"/>
      <c r="EE51" s="280"/>
      <c r="EF51" s="280"/>
      <c r="EG51" s="280"/>
      <c r="EH51" s="280"/>
      <c r="EI51" s="280"/>
      <c r="EJ51" s="280"/>
      <c r="EK51" s="280"/>
      <c r="EL51" s="280"/>
      <c r="EM51" s="280"/>
      <c r="EN51" s="280"/>
      <c r="EO51" s="280"/>
      <c r="EP51" s="280"/>
      <c r="EQ51" s="280"/>
      <c r="ER51" s="280"/>
      <c r="ES51" s="280"/>
      <c r="ET51" s="280"/>
      <c r="EU51" s="280"/>
      <c r="EV51" s="280"/>
      <c r="EW51" s="280"/>
      <c r="EX51" s="280"/>
      <c r="EY51" s="280"/>
      <c r="EZ51" s="280"/>
      <c r="FA51" s="280"/>
      <c r="FB51" s="280"/>
      <c r="FC51" s="280"/>
      <c r="FD51" s="280"/>
      <c r="FE51" s="280"/>
      <c r="FF51" s="280"/>
      <c r="FG51" s="280"/>
      <c r="FH51" s="280"/>
      <c r="FI51" s="280"/>
      <c r="FJ51" s="280"/>
      <c r="FK51" s="280"/>
      <c r="FL51" s="280"/>
      <c r="FM51" s="280"/>
      <c r="FN51" s="280"/>
      <c r="FO51" s="280"/>
      <c r="FP51" s="280"/>
      <c r="FQ51" s="280"/>
      <c r="FR51" s="280"/>
      <c r="FS51" s="280"/>
      <c r="FT51" s="280"/>
      <c r="FU51" s="280"/>
      <c r="FV51" s="280"/>
      <c r="FW51" s="280"/>
      <c r="FX51" s="280"/>
      <c r="FY51" s="280"/>
      <c r="FZ51" s="280"/>
      <c r="GA51" s="280"/>
      <c r="GB51" s="280"/>
      <c r="GC51" s="280"/>
      <c r="GD51" s="280"/>
      <c r="GE51" s="280"/>
      <c r="GF51" s="280"/>
      <c r="GG51" s="280"/>
      <c r="GH51" s="280"/>
      <c r="GI51" s="280"/>
      <c r="GJ51" s="280"/>
      <c r="GK51" s="280"/>
      <c r="GL51" s="280"/>
      <c r="GM51" s="280"/>
      <c r="GN51" s="280"/>
      <c r="GO51" s="280"/>
      <c r="GP51" s="280"/>
      <c r="GQ51" s="280"/>
      <c r="GR51" s="280"/>
      <c r="GS51" s="280"/>
      <c r="GT51" s="280"/>
      <c r="GU51" s="280"/>
      <c r="GV51" s="280"/>
      <c r="GW51" s="280"/>
      <c r="GX51" s="280"/>
      <c r="GY51" s="280"/>
      <c r="GZ51" s="280"/>
      <c r="HA51" s="280"/>
      <c r="HB51" s="280"/>
      <c r="HC51" s="280"/>
      <c r="HD51" s="280"/>
      <c r="HE51" s="280"/>
      <c r="HF51" s="280"/>
      <c r="HG51" s="280"/>
      <c r="HH51" s="280"/>
      <c r="HI51" s="280"/>
      <c r="HJ51" s="280"/>
      <c r="HK51" s="280"/>
      <c r="HL51" s="280"/>
      <c r="HM51" s="280"/>
      <c r="HN51" s="280"/>
      <c r="HO51" s="280"/>
      <c r="HP51" s="280"/>
      <c r="HQ51" s="280"/>
      <c r="HR51" s="280"/>
      <c r="HS51" s="280"/>
      <c r="HT51" s="280"/>
      <c r="HU51" s="280"/>
      <c r="HV51" s="280"/>
      <c r="HW51" s="280"/>
      <c r="HX51" s="280"/>
      <c r="HY51" s="280"/>
      <c r="HZ51" s="280"/>
      <c r="IA51" s="280"/>
      <c r="IB51" s="280"/>
      <c r="IC51" s="280"/>
      <c r="ID51" s="280"/>
      <c r="IE51" s="280"/>
      <c r="IF51" s="280"/>
      <c r="IG51" s="280"/>
      <c r="IH51" s="280"/>
      <c r="II51" s="280"/>
      <c r="IJ51" s="280"/>
      <c r="IK51" s="280"/>
      <c r="IL51" s="280"/>
      <c r="IM51" s="280"/>
      <c r="IN51" s="280"/>
      <c r="IO51" s="280"/>
      <c r="IP51" s="280"/>
      <c r="IQ51" s="280"/>
      <c r="IR51" s="280"/>
      <c r="IS51" s="280"/>
      <c r="IT51" s="280"/>
      <c r="IU51" s="280"/>
      <c r="IV51" s="280"/>
    </row>
    <row r="52" spans="1:256" x14ac:dyDescent="0.25">
      <c r="A52" s="1319" t="s">
        <v>1031</v>
      </c>
      <c r="B52" s="1680">
        <f>+'NEW Fall CHP by DISC'!B52/15</f>
        <v>0.66666666666666663</v>
      </c>
      <c r="C52" s="1680">
        <f>+'NEW Fall CHP by DISC'!C52/15</f>
        <v>1.6</v>
      </c>
      <c r="D52" s="1680">
        <f>+'NEW Fall CHP by DISC'!D52/12</f>
        <v>0</v>
      </c>
      <c r="E52" s="1678">
        <f>SUM(B52:D52)</f>
        <v>2.2666666666666666</v>
      </c>
      <c r="F52" s="1680">
        <f>+'NEW Fall CHP by DISC'!F52/15</f>
        <v>7.8666666666666663</v>
      </c>
      <c r="G52" s="1680">
        <f>+'NEW Fall CHP by DISC'!G52/15</f>
        <v>0.66666666666666663</v>
      </c>
      <c r="H52" s="1680">
        <f>+'NEW Fall CHP by DISC'!H52/12</f>
        <v>0</v>
      </c>
      <c r="I52" s="1680">
        <f>SUM(F52:H52)</f>
        <v>8.5333333333333332</v>
      </c>
      <c r="J52" s="505">
        <f>IF(E52&gt;0,(I52-E52)/E52,(IF(I52=0,"N/A",100%)))</f>
        <v>2.7647058823529411</v>
      </c>
      <c r="K52" s="1680">
        <f>+'NEW Fall CHP by DISC'!K52/15</f>
        <v>7.7333333333333334</v>
      </c>
      <c r="L52" s="1680">
        <f>+'NEW Fall CHP by DISC'!L52/15</f>
        <v>0.6</v>
      </c>
      <c r="M52" s="1680">
        <f>+'NEW Fall CHP by DISC'!M52/12</f>
        <v>0</v>
      </c>
      <c r="N52" s="1680">
        <f>SUM(K52:M52)</f>
        <v>8.3333333333333339</v>
      </c>
      <c r="O52" s="505">
        <f>IF(I52&gt;0,(N52-I52)/I52,(IF(N52=0,"N/A",100%)))</f>
        <v>-2.3437499999999917E-2</v>
      </c>
      <c r="P52" s="1680">
        <f>+'NEW Fall CHP by DISC'!P52/15</f>
        <v>6.2666666666666666</v>
      </c>
      <c r="Q52" s="1680">
        <f>+'NEW Fall CHP by DISC'!Q52/15</f>
        <v>0.8666666666666667</v>
      </c>
      <c r="R52" s="1680">
        <f>+'NEW Fall CHP by DISC'!R52/12</f>
        <v>0</v>
      </c>
      <c r="S52" s="1680">
        <f>SUM(P52:R52)</f>
        <v>7.1333333333333329</v>
      </c>
      <c r="T52" s="505">
        <f>IF(N52&gt;0,(S52-N52)/N52,(IF(S52=0,"N/A",100%)))</f>
        <v>-0.14400000000000013</v>
      </c>
      <c r="U52" s="1680">
        <f>+'NEW Fall CHP by DISC'!U52/15</f>
        <v>20.333333333333332</v>
      </c>
      <c r="V52" s="1680">
        <f>+'NEW Fall CHP by DISC'!V52/15</f>
        <v>0.8</v>
      </c>
      <c r="W52" s="1680">
        <f>+'NEW Fall CHP by DISC'!W52/12</f>
        <v>0</v>
      </c>
      <c r="X52" s="1680">
        <f>SUM(U52:W52)</f>
        <v>21.133333333333333</v>
      </c>
      <c r="Y52" s="505">
        <f>IF(S52&gt;0,(X52-S52)/S52,(IF(X52=0,"N/A",100%)))</f>
        <v>1.9626168224299068</v>
      </c>
      <c r="Z52" s="1680">
        <f>+'NEW Fall CHP by DISC'!Z52/15</f>
        <v>11.6</v>
      </c>
      <c r="AA52" s="1680">
        <f>+'NEW Fall CHP by DISC'!AA52/15</f>
        <v>0.8</v>
      </c>
      <c r="AB52" s="1680">
        <f>+'NEW Fall CHP by DISC'!AB52/12</f>
        <v>0</v>
      </c>
      <c r="AC52" s="1680">
        <f>SUM(Z52:AB52)</f>
        <v>12.4</v>
      </c>
      <c r="AD52" s="505">
        <f>IF(X52&gt;0,(AC52-X52)/X52,(IF(AC52=0,"N/A",100%)))</f>
        <v>-0.41324921135646686</v>
      </c>
      <c r="AE52" s="1680">
        <f>+'NEW Fall CHP by DISC'!AE52/15</f>
        <v>17.266666666666666</v>
      </c>
      <c r="AF52" s="1680">
        <f>+'NEW Fall CHP by DISC'!AF52/15</f>
        <v>0.8666666666666667</v>
      </c>
      <c r="AG52" s="1680">
        <f>+'NEW Fall CHP by DISC'!AG52/12</f>
        <v>0</v>
      </c>
      <c r="AH52" s="1680">
        <f>SUM(AE52:AG52)</f>
        <v>18.133333333333333</v>
      </c>
      <c r="AI52" s="505">
        <f>IF(AC52&gt;0,(AH52-AC52)/AC52,(IF(AH52=0,"N/A",100%)))</f>
        <v>0.46236559139784938</v>
      </c>
      <c r="AJ52" s="1680">
        <f>+'NEW Fall CHP by DISC'!AJ52/15</f>
        <v>14.2</v>
      </c>
      <c r="AK52" s="1680">
        <f>+'NEW Fall CHP by DISC'!AK52/15</f>
        <v>1.5333333333333334</v>
      </c>
      <c r="AL52" s="1680">
        <f>+'NEW Fall CHP by DISC'!AL52/12</f>
        <v>0</v>
      </c>
      <c r="AM52" s="1680">
        <f>SUM(AJ52:AL52)</f>
        <v>15.733333333333333</v>
      </c>
      <c r="AN52" s="491">
        <f>IF(AH52&gt;0,(AM52-AH52)/AH52,(IF(AM52=0,"N/A",100%)))</f>
        <v>-0.13235294117647062</v>
      </c>
      <c r="AO52" s="1680">
        <f>+'NEW Fall CHP by DISC'!AO52/15</f>
        <v>0</v>
      </c>
      <c r="AP52" s="1680">
        <f>+'NEW Fall CHP by DISC'!AP52/15</f>
        <v>0</v>
      </c>
      <c r="AQ52" s="1680">
        <f>+'NEW Fall CHP by DISC'!AQ52/12</f>
        <v>0</v>
      </c>
      <c r="AR52" s="1680">
        <f>SUM(AO52:AQ52)</f>
        <v>0</v>
      </c>
      <c r="AS52" s="1679">
        <f>IF(AM52&gt;0,(AR52-AM52)/AM52,(IF(AR52=0,"N/A",100%)))</f>
        <v>-1</v>
      </c>
      <c r="AT52" s="280"/>
      <c r="AU52" s="280"/>
      <c r="AV52" s="280"/>
      <c r="AW52" s="280"/>
      <c r="AX52" s="280"/>
      <c r="AY52" s="280"/>
      <c r="AZ52" s="280"/>
      <c r="BA52" s="280"/>
      <c r="BB52" s="280"/>
      <c r="BC52" s="280"/>
      <c r="BD52" s="280"/>
      <c r="BE52" s="280"/>
      <c r="BF52" s="280"/>
      <c r="BG52" s="280"/>
      <c r="BH52" s="280"/>
      <c r="BI52" s="280"/>
      <c r="BJ52" s="280"/>
      <c r="BK52" s="280"/>
      <c r="BL52" s="280"/>
      <c r="BM52" s="280"/>
      <c r="BN52" s="280"/>
      <c r="BO52" s="280"/>
      <c r="BP52" s="280"/>
      <c r="BQ52" s="280"/>
      <c r="BR52" s="280"/>
      <c r="BS52" s="280"/>
      <c r="BT52" s="280"/>
      <c r="BU52" s="280"/>
      <c r="BV52" s="280"/>
      <c r="BW52" s="280"/>
      <c r="BX52" s="280"/>
      <c r="BY52" s="280"/>
      <c r="BZ52" s="280"/>
      <c r="CA52" s="280"/>
      <c r="CB52" s="280"/>
      <c r="CC52" s="280"/>
      <c r="CD52" s="280"/>
      <c r="CE52" s="280"/>
      <c r="CF52" s="280"/>
      <c r="CG52" s="280"/>
      <c r="CH52" s="280"/>
      <c r="CI52" s="280"/>
      <c r="CJ52" s="280"/>
      <c r="CK52" s="280"/>
      <c r="CL52" s="280"/>
      <c r="CM52" s="280"/>
      <c r="CN52" s="280"/>
      <c r="CO52" s="280"/>
      <c r="CP52" s="280"/>
      <c r="CQ52" s="280"/>
      <c r="CR52" s="280"/>
      <c r="CS52" s="280"/>
      <c r="CT52" s="280"/>
      <c r="CU52" s="280"/>
      <c r="CV52" s="280"/>
      <c r="CW52" s="280"/>
      <c r="CX52" s="280"/>
      <c r="CY52" s="280"/>
      <c r="CZ52" s="280"/>
      <c r="DA52" s="280"/>
      <c r="DB52" s="280"/>
      <c r="DC52" s="280"/>
      <c r="DD52" s="280"/>
      <c r="DE52" s="280"/>
      <c r="DF52" s="280"/>
      <c r="DG52" s="280"/>
      <c r="DH52" s="280"/>
      <c r="DI52" s="280"/>
      <c r="DJ52" s="280"/>
      <c r="DK52" s="280"/>
      <c r="DL52" s="280"/>
      <c r="DM52" s="280"/>
      <c r="DN52" s="280"/>
      <c r="DO52" s="280"/>
      <c r="DP52" s="280"/>
      <c r="DQ52" s="280"/>
      <c r="DR52" s="280"/>
      <c r="DS52" s="280"/>
      <c r="DT52" s="280"/>
      <c r="DU52" s="280"/>
      <c r="DV52" s="280"/>
      <c r="DW52" s="280"/>
      <c r="DX52" s="280"/>
      <c r="DY52" s="280"/>
      <c r="DZ52" s="280"/>
      <c r="EA52" s="280"/>
      <c r="EB52" s="280"/>
      <c r="EC52" s="280"/>
      <c r="ED52" s="280"/>
      <c r="EE52" s="280"/>
      <c r="EF52" s="280"/>
      <c r="EG52" s="280"/>
      <c r="EH52" s="280"/>
      <c r="EI52" s="280"/>
      <c r="EJ52" s="280"/>
      <c r="EK52" s="280"/>
      <c r="EL52" s="280"/>
      <c r="EM52" s="280"/>
      <c r="EN52" s="280"/>
      <c r="EO52" s="280"/>
      <c r="EP52" s="280"/>
      <c r="EQ52" s="280"/>
      <c r="ER52" s="280"/>
      <c r="ES52" s="280"/>
      <c r="ET52" s="280"/>
      <c r="EU52" s="280"/>
      <c r="EV52" s="280"/>
      <c r="EW52" s="280"/>
      <c r="EX52" s="280"/>
      <c r="EY52" s="280"/>
      <c r="EZ52" s="280"/>
      <c r="FA52" s="280"/>
      <c r="FB52" s="280"/>
      <c r="FC52" s="280"/>
      <c r="FD52" s="280"/>
      <c r="FE52" s="280"/>
      <c r="FF52" s="280"/>
      <c r="FG52" s="280"/>
      <c r="FH52" s="280"/>
      <c r="FI52" s="280"/>
      <c r="FJ52" s="280"/>
      <c r="FK52" s="280"/>
      <c r="FL52" s="280"/>
      <c r="FM52" s="280"/>
      <c r="FN52" s="280"/>
      <c r="FO52" s="280"/>
      <c r="FP52" s="280"/>
      <c r="FQ52" s="280"/>
      <c r="FR52" s="280"/>
      <c r="FS52" s="280"/>
      <c r="FT52" s="280"/>
      <c r="FU52" s="280"/>
      <c r="FV52" s="280"/>
      <c r="FW52" s="280"/>
      <c r="FX52" s="280"/>
      <c r="FY52" s="280"/>
      <c r="FZ52" s="280"/>
      <c r="GA52" s="280"/>
      <c r="GB52" s="280"/>
      <c r="GC52" s="280"/>
      <c r="GD52" s="280"/>
      <c r="GE52" s="280"/>
      <c r="GF52" s="280"/>
      <c r="GG52" s="280"/>
      <c r="GH52" s="280"/>
      <c r="GI52" s="280"/>
      <c r="GJ52" s="280"/>
      <c r="GK52" s="280"/>
      <c r="GL52" s="280"/>
      <c r="GM52" s="280"/>
      <c r="GN52" s="280"/>
      <c r="GO52" s="280"/>
      <c r="GP52" s="280"/>
      <c r="GQ52" s="280"/>
      <c r="GR52" s="280"/>
      <c r="GS52" s="280"/>
      <c r="GT52" s="280"/>
      <c r="GU52" s="280"/>
      <c r="GV52" s="280"/>
      <c r="GW52" s="280"/>
      <c r="GX52" s="280"/>
      <c r="GY52" s="280"/>
      <c r="GZ52" s="280"/>
      <c r="HA52" s="280"/>
      <c r="HB52" s="280"/>
      <c r="HC52" s="280"/>
      <c r="HD52" s="280"/>
      <c r="HE52" s="280"/>
      <c r="HF52" s="280"/>
      <c r="HG52" s="280"/>
      <c r="HH52" s="280"/>
      <c r="HI52" s="280"/>
      <c r="HJ52" s="280"/>
      <c r="HK52" s="280"/>
      <c r="HL52" s="280"/>
      <c r="HM52" s="280"/>
      <c r="HN52" s="280"/>
      <c r="HO52" s="280"/>
      <c r="HP52" s="280"/>
      <c r="HQ52" s="280"/>
      <c r="HR52" s="280"/>
      <c r="HS52" s="280"/>
      <c r="HT52" s="280"/>
      <c r="HU52" s="280"/>
      <c r="HV52" s="280"/>
      <c r="HW52" s="280"/>
      <c r="HX52" s="280"/>
      <c r="HY52" s="280"/>
      <c r="HZ52" s="280"/>
      <c r="IA52" s="280"/>
      <c r="IB52" s="280"/>
      <c r="IC52" s="280"/>
      <c r="ID52" s="280"/>
      <c r="IE52" s="280"/>
      <c r="IF52" s="280"/>
      <c r="IG52" s="280"/>
      <c r="IH52" s="280"/>
      <c r="II52" s="280"/>
      <c r="IJ52" s="280"/>
      <c r="IK52" s="280"/>
      <c r="IL52" s="280"/>
      <c r="IM52" s="280"/>
      <c r="IN52" s="280"/>
      <c r="IO52" s="280"/>
      <c r="IP52" s="280"/>
      <c r="IQ52" s="280"/>
      <c r="IR52" s="280"/>
      <c r="IS52" s="280"/>
      <c r="IT52" s="280"/>
      <c r="IU52" s="280"/>
      <c r="IV52" s="280"/>
    </row>
    <row r="53" spans="1:256" x14ac:dyDescent="0.25">
      <c r="A53" s="1319" t="s">
        <v>1068</v>
      </c>
      <c r="B53" s="1680">
        <f>+'NEW Fall CHP by DISC'!B53/15</f>
        <v>0.13333333333333333</v>
      </c>
      <c r="C53" s="1680">
        <f>+'NEW Fall CHP by DISC'!C53/15</f>
        <v>0</v>
      </c>
      <c r="D53" s="1680">
        <f>+'NEW Fall CHP by DISC'!D53/12</f>
        <v>0</v>
      </c>
      <c r="E53" s="1678">
        <f>SUM(B53:D53)</f>
        <v>0.13333333333333333</v>
      </c>
      <c r="F53" s="1680">
        <v>0</v>
      </c>
      <c r="G53" s="1680">
        <v>0</v>
      </c>
      <c r="H53" s="1680">
        <v>0</v>
      </c>
      <c r="I53" s="1680">
        <f>SUM(F53:H53)</f>
        <v>0</v>
      </c>
      <c r="J53" s="505">
        <f>IF(E53&gt;0,(I53-E53)/E53,(IF(I53=0,"N/A",100%)))</f>
        <v>-1</v>
      </c>
      <c r="K53" s="1680">
        <f>+'NEW Fall CHP by DISC'!K53/15</f>
        <v>0.26666666666666666</v>
      </c>
      <c r="L53" s="1680">
        <f>+'NEW Fall CHP by DISC'!L53/15</f>
        <v>0</v>
      </c>
      <c r="M53" s="1680">
        <f>+'NEW Fall CHP by DISC'!M53/12</f>
        <v>0</v>
      </c>
      <c r="N53" s="1680">
        <f>SUM(K53:M53)</f>
        <v>0.26666666666666666</v>
      </c>
      <c r="O53" s="505">
        <f>IF(I53&gt;0,(N53-I53)/I53,(IF(N53=0,"N/A",100%)))</f>
        <v>1</v>
      </c>
      <c r="P53" s="1680">
        <f>+'NEW Fall CHP by DISC'!P53/15</f>
        <v>0</v>
      </c>
      <c r="Q53" s="1680">
        <f>+'NEW Fall CHP by DISC'!Q53/15</f>
        <v>0</v>
      </c>
      <c r="R53" s="1680">
        <f>+'NEW Fall CHP by DISC'!R53/12</f>
        <v>0</v>
      </c>
      <c r="S53" s="1680">
        <f>SUM(P53:R53)</f>
        <v>0</v>
      </c>
      <c r="T53" s="505">
        <f>IF(N53&gt;0,(S53-N53)/N53,(IF(S53=0,"N/A",100%)))</f>
        <v>-1</v>
      </c>
      <c r="U53" s="1680">
        <f>+'NEW Fall CHP by DISC'!U53/15</f>
        <v>0</v>
      </c>
      <c r="V53" s="1680">
        <f>+'NEW Fall CHP by DISC'!V53/15</f>
        <v>0</v>
      </c>
      <c r="W53" s="1680">
        <f>+'NEW Fall CHP by DISC'!W53/12</f>
        <v>0</v>
      </c>
      <c r="X53" s="1680">
        <f>SUM(U53:W53)</f>
        <v>0</v>
      </c>
      <c r="Y53" s="505" t="str">
        <f>IF(S53&gt;0,(X53-S53)/S53,(IF(X53=0,"N/A",100%)))</f>
        <v>N/A</v>
      </c>
      <c r="Z53" s="1680">
        <f>+'NEW Fall CHP by DISC'!Z53/15</f>
        <v>0</v>
      </c>
      <c r="AA53" s="1680">
        <f>+'NEW Fall CHP by DISC'!AA53/15</f>
        <v>0</v>
      </c>
      <c r="AB53" s="1680">
        <f>+'NEW Fall CHP by DISC'!AB53/12</f>
        <v>0</v>
      </c>
      <c r="AC53" s="1680">
        <f>SUM(Z53:AB53)</f>
        <v>0</v>
      </c>
      <c r="AD53" s="505" t="str">
        <f>IF(X53&gt;0,(AC53-X53)/X53,(IF(AC53=0,"N/A",100%)))</f>
        <v>N/A</v>
      </c>
      <c r="AE53" s="1680">
        <f>+'NEW Fall CHP by DISC'!AE53/15</f>
        <v>0</v>
      </c>
      <c r="AF53" s="1680">
        <f>+'NEW Fall CHP by DISC'!AF53/15</f>
        <v>0</v>
      </c>
      <c r="AG53" s="1680">
        <f>+'NEW Fall CHP by DISC'!AG53/12</f>
        <v>0</v>
      </c>
      <c r="AH53" s="1680">
        <f>SUM(AE53:AG53)</f>
        <v>0</v>
      </c>
      <c r="AI53" s="505" t="str">
        <f>IF(AC53&gt;0,(AH53-AC53)/AC53,(IF(AH53=0,"N/A",100%)))</f>
        <v>N/A</v>
      </c>
      <c r="AJ53" s="1680">
        <f>+'NEW Fall CHP by DISC'!AJ53/15</f>
        <v>0</v>
      </c>
      <c r="AK53" s="1680">
        <f>+'NEW Fall CHP by DISC'!AK53/15</f>
        <v>0</v>
      </c>
      <c r="AL53" s="1680">
        <f>+'NEW Fall CHP by DISC'!AL53/12</f>
        <v>0</v>
      </c>
      <c r="AM53" s="1680">
        <f>SUM(AJ53:AL53)</f>
        <v>0</v>
      </c>
      <c r="AN53" s="491" t="str">
        <f>IF(AH53&gt;0,(AM53-AH53)/AH53,(IF(AM53=0,"N/A",100%)))</f>
        <v>N/A</v>
      </c>
      <c r="AO53" s="1680">
        <f>+'NEW Fall CHP by DISC'!AO53/15</f>
        <v>0</v>
      </c>
      <c r="AP53" s="1680">
        <f>+'NEW Fall CHP by DISC'!AP53/15</f>
        <v>0</v>
      </c>
      <c r="AQ53" s="1680">
        <f>+'NEW Fall CHP by DISC'!AQ53/12</f>
        <v>0</v>
      </c>
      <c r="AR53" s="1680">
        <f>SUM(AO53:AQ53)</f>
        <v>0</v>
      </c>
      <c r="AS53" s="1679" t="str">
        <f>IF(AM53&gt;0,(AR53-AM53)/AM53,(IF(AR53=0,"N/A",100%)))</f>
        <v>N/A</v>
      </c>
    </row>
    <row r="54" spans="1:256" s="484" customFormat="1" ht="13.8" x14ac:dyDescent="0.25">
      <c r="A54" s="1322" t="s">
        <v>1015</v>
      </c>
      <c r="B54" s="1776">
        <f t="shared" ref="B54:I54" si="47">+B53+B52+B51</f>
        <v>66.599999999999994</v>
      </c>
      <c r="C54" s="1776">
        <f t="shared" si="47"/>
        <v>25.666666666666668</v>
      </c>
      <c r="D54" s="1776">
        <f t="shared" si="47"/>
        <v>7.5</v>
      </c>
      <c r="E54" s="1872">
        <f t="shared" si="47"/>
        <v>99.766666666666666</v>
      </c>
      <c r="F54" s="1776">
        <f t="shared" si="47"/>
        <v>72.466666666666654</v>
      </c>
      <c r="G54" s="1776">
        <f t="shared" si="47"/>
        <v>40.199999999999996</v>
      </c>
      <c r="H54" s="1776">
        <f t="shared" si="47"/>
        <v>10.5</v>
      </c>
      <c r="I54" s="1776">
        <f t="shared" si="47"/>
        <v>123.16666666666666</v>
      </c>
      <c r="J54" s="586">
        <f>IF(E54&gt;0,(I54-E54)/E54,(IF(I54=0,"N/A",100%)))</f>
        <v>0.23454727697961902</v>
      </c>
      <c r="K54" s="1776">
        <f>+K53+K52+K51</f>
        <v>81.2</v>
      </c>
      <c r="L54" s="1776">
        <f>+L53+L52+L51</f>
        <v>35.466666666666669</v>
      </c>
      <c r="M54" s="1776">
        <f>+M53+M52+M51</f>
        <v>3.75</v>
      </c>
      <c r="N54" s="1776">
        <f>+N53+N52+N51</f>
        <v>120.41666666666666</v>
      </c>
      <c r="O54" s="586">
        <f>IF(I54&gt;0,(N54-I54)/I54,(IF(N54=0,"N/A",100%)))</f>
        <v>-2.2327469553450611E-2</v>
      </c>
      <c r="P54" s="1776">
        <f>+P53+P52+P51</f>
        <v>105.86666666666666</v>
      </c>
      <c r="Q54" s="1776">
        <f>+Q53+Q52+Q51</f>
        <v>26.400000000000002</v>
      </c>
      <c r="R54" s="1776">
        <f>+R53+R52+R51</f>
        <v>9</v>
      </c>
      <c r="S54" s="1776">
        <f>+S53+S52+S51</f>
        <v>141.26666666666665</v>
      </c>
      <c r="T54" s="586">
        <f>IF(N54&gt;0,(S54-N54)/N54,(IF(S54=0,"N/A",100%)))</f>
        <v>0.1731487889273356</v>
      </c>
      <c r="U54" s="1776">
        <f>+U53+U52+U51</f>
        <v>124.73333333333333</v>
      </c>
      <c r="V54" s="1776">
        <f>+V53+V52+V51</f>
        <v>30.866666666666667</v>
      </c>
      <c r="W54" s="1776">
        <f>+W53+W52+W51</f>
        <v>3.75</v>
      </c>
      <c r="X54" s="1776">
        <f>+X53+X52+X51</f>
        <v>159.35</v>
      </c>
      <c r="Y54" s="586">
        <f>IF(S54&gt;0,(X54-S54)/S54,(IF(X54=0,"N/A",100%)))</f>
        <v>0.12800849457291183</v>
      </c>
      <c r="Z54" s="1776">
        <f>+Z53+Z52+Z51</f>
        <v>96.399999999999991</v>
      </c>
      <c r="AA54" s="1776">
        <f>+AA53+AA52+AA51</f>
        <v>35.733333333333327</v>
      </c>
      <c r="AB54" s="1776">
        <f>+AB53+AB52+AB51</f>
        <v>5.25</v>
      </c>
      <c r="AC54" s="1776">
        <f>+AC53+AC52+AC51</f>
        <v>137.38333333333333</v>
      </c>
      <c r="AD54" s="586">
        <f>IF(X54&gt;0,(AC54-X54)/X54,(IF(AC54=0,"N/A",100%)))</f>
        <v>-0.13785168915385421</v>
      </c>
      <c r="AE54" s="1776">
        <f>+AE53+AE52+AE51</f>
        <v>85.266666666666666</v>
      </c>
      <c r="AF54" s="1776">
        <f>+AF53+AF52+AF51</f>
        <v>36.866666666666667</v>
      </c>
      <c r="AG54" s="1776">
        <f>+AG53+AG52+AG51</f>
        <v>3.75</v>
      </c>
      <c r="AH54" s="1776">
        <f>+AH53+AH52+AH51</f>
        <v>125.88333333333333</v>
      </c>
      <c r="AI54" s="586">
        <f>IF(AC54&gt;0,(AH54-AC54)/AC54,(IF(AH54=0,"N/A",100%)))</f>
        <v>-8.3707388086861581E-2</v>
      </c>
      <c r="AJ54" s="1776">
        <f>+AJ53+AJ52+AJ51</f>
        <v>83.4</v>
      </c>
      <c r="AK54" s="1776">
        <f>+AK53+AK52+AK51</f>
        <v>27.333333333333336</v>
      </c>
      <c r="AL54" s="1776">
        <f>+AL53+AL52+AL51</f>
        <v>3</v>
      </c>
      <c r="AM54" s="1776">
        <f>+AM53+AM52+AM51</f>
        <v>113.73333333333333</v>
      </c>
      <c r="AN54" s="496">
        <f>IF(AH54&gt;0,(AM54-AH54)/AH54,(IF(AM54=0,"N/A",100%)))</f>
        <v>-9.6517939891433799E-2</v>
      </c>
      <c r="AO54" s="1776">
        <f>+AO53+AO52+AO51</f>
        <v>81.400000000000006</v>
      </c>
      <c r="AP54" s="1776">
        <f>+AP53+AP52+AP51</f>
        <v>19.266666666666666</v>
      </c>
      <c r="AQ54" s="1776">
        <f>+AQ53+AQ52+AQ51</f>
        <v>0</v>
      </c>
      <c r="AR54" s="1776">
        <f>+AR53+AR52+AR51</f>
        <v>100.66666666666667</v>
      </c>
      <c r="AS54" s="1772">
        <f>IF(AM54&gt;0,(AR54-AM54)/AM54,(IF(AR54=0,"N/A",100%)))</f>
        <v>-0.11488862837045717</v>
      </c>
    </row>
    <row r="55" spans="1:256" x14ac:dyDescent="0.25">
      <c r="A55" s="1325" t="s">
        <v>420</v>
      </c>
      <c r="B55" s="1873"/>
      <c r="C55" s="1874"/>
      <c r="D55" s="1874"/>
      <c r="E55" s="1875"/>
      <c r="F55" s="1873"/>
      <c r="G55" s="1874"/>
      <c r="H55" s="1874"/>
      <c r="I55" s="1874"/>
      <c r="J55" s="281"/>
      <c r="K55" s="1873"/>
      <c r="L55" s="1874"/>
      <c r="M55" s="1874"/>
      <c r="N55" s="1874"/>
      <c r="O55" s="281"/>
      <c r="P55" s="1873"/>
      <c r="Q55" s="1874"/>
      <c r="R55" s="1874"/>
      <c r="S55" s="1874"/>
      <c r="T55" s="281"/>
      <c r="U55" s="1873"/>
      <c r="V55" s="1874"/>
      <c r="W55" s="1874"/>
      <c r="X55" s="1874"/>
      <c r="Y55" s="281"/>
      <c r="Z55" s="1873"/>
      <c r="AA55" s="1874"/>
      <c r="AB55" s="1874"/>
      <c r="AC55" s="1874"/>
      <c r="AD55" s="281"/>
      <c r="AE55" s="1873"/>
      <c r="AF55" s="1874"/>
      <c r="AG55" s="1874"/>
      <c r="AH55" s="1874"/>
      <c r="AI55" s="281"/>
      <c r="AJ55" s="1873"/>
      <c r="AK55" s="1874"/>
      <c r="AL55" s="1874"/>
      <c r="AM55" s="1874"/>
      <c r="AN55" s="438"/>
      <c r="AO55" s="1873"/>
      <c r="AP55" s="1874"/>
      <c r="AQ55" s="1874"/>
      <c r="AR55" s="1874"/>
      <c r="AS55" s="1875"/>
    </row>
    <row r="56" spans="1:256" x14ac:dyDescent="0.25">
      <c r="A56" s="1319" t="s">
        <v>1032</v>
      </c>
      <c r="B56" s="1680">
        <f>+'NEW Fall CHP by DISC'!B56/15</f>
        <v>8.6</v>
      </c>
      <c r="C56" s="1680">
        <f>+'NEW Fall CHP by DISC'!C56/15</f>
        <v>8.8000000000000007</v>
      </c>
      <c r="D56" s="1680">
        <f>+'NEW Fall CHP by DISC'!D56/12</f>
        <v>0</v>
      </c>
      <c r="E56" s="1678">
        <f>SUM(B56:D56)</f>
        <v>17.399999999999999</v>
      </c>
      <c r="F56" s="1680">
        <f>+'NEW Fall CHP by DISC'!F56/15</f>
        <v>7.6</v>
      </c>
      <c r="G56" s="1680">
        <f>+'NEW Fall CHP by DISC'!G56/15</f>
        <v>9</v>
      </c>
      <c r="H56" s="1680">
        <f>+'NEW Fall CHP by DISC'!H56/12</f>
        <v>0</v>
      </c>
      <c r="I56" s="1680">
        <f>SUM(F56:H56)</f>
        <v>16.600000000000001</v>
      </c>
      <c r="J56" s="505">
        <f t="shared" ref="J56:J61" si="48">IF(E56&gt;0,(I56-E56)/E56,(IF(I56=0,"N/A",100%)))</f>
        <v>-4.5977011494252713E-2</v>
      </c>
      <c r="K56" s="1680">
        <f>+'NEW Fall CHP by DISC'!K56/15</f>
        <v>10.199999999999999</v>
      </c>
      <c r="L56" s="1680">
        <f>+'NEW Fall CHP by DISC'!L56/15</f>
        <v>5.6</v>
      </c>
      <c r="M56" s="1680">
        <f>+'NEW Fall CHP by DISC'!M56/12</f>
        <v>0</v>
      </c>
      <c r="N56" s="1680">
        <f>SUM(K56:M56)</f>
        <v>15.799999999999999</v>
      </c>
      <c r="O56" s="505">
        <f t="shared" ref="O56:O61" si="49">IF(I56&gt;0,(N56-I56)/I56,(IF(N56=0,"N/A",100%)))</f>
        <v>-4.8192771084337498E-2</v>
      </c>
      <c r="P56" s="1680">
        <f>+'NEW Fall CHP by DISC'!P56/15</f>
        <v>7.6</v>
      </c>
      <c r="Q56" s="1680">
        <f>+'NEW Fall CHP by DISC'!Q56/15</f>
        <v>6.2</v>
      </c>
      <c r="R56" s="1680">
        <f>+'NEW Fall CHP by DISC'!R56/12</f>
        <v>0</v>
      </c>
      <c r="S56" s="1680">
        <f>SUM(P56:R56)</f>
        <v>13.8</v>
      </c>
      <c r="T56" s="505">
        <f t="shared" ref="T56:T61" si="50">IF(N56&gt;0,(S56-N56)/N56,(IF(S56=0,"N/A",100%)))</f>
        <v>-0.12658227848101256</v>
      </c>
      <c r="U56" s="1680">
        <f>+'NEW Fall CHP by DISC'!U56/15</f>
        <v>9.8000000000000007</v>
      </c>
      <c r="V56" s="1680">
        <f>+'NEW Fall CHP by DISC'!V56/15</f>
        <v>4.2</v>
      </c>
      <c r="W56" s="1680">
        <f>+'NEW Fall CHP by DISC'!W56/12</f>
        <v>0</v>
      </c>
      <c r="X56" s="1680">
        <f>SUM(U56:W56)</f>
        <v>14</v>
      </c>
      <c r="Y56" s="505">
        <f t="shared" ref="Y56:Y61" si="51">IF(S56&gt;0,(X56-S56)/S56,(IF(X56=0,"N/A",100%)))</f>
        <v>1.4492753623188354E-2</v>
      </c>
      <c r="Z56" s="1680">
        <f>+'NEW Fall CHP by DISC'!Z56/15</f>
        <v>5</v>
      </c>
      <c r="AA56" s="1680">
        <f>+'NEW Fall CHP by DISC'!AA56/15</f>
        <v>6.8</v>
      </c>
      <c r="AB56" s="1680">
        <f>+'NEW Fall CHP by DISC'!AB56/12</f>
        <v>0</v>
      </c>
      <c r="AC56" s="1680">
        <f>SUM(Z56:AB56)</f>
        <v>11.8</v>
      </c>
      <c r="AD56" s="505">
        <f t="shared" ref="AD56:AD61" si="52">IF(X56&gt;0,(AC56-X56)/X56,(IF(AC56=0,"N/A",100%)))</f>
        <v>-0.15714285714285708</v>
      </c>
      <c r="AE56" s="1680">
        <f>+'NEW Fall CHP by DISC'!AE56/15</f>
        <v>9</v>
      </c>
      <c r="AF56" s="1680">
        <f>+'NEW Fall CHP by DISC'!AF56/15</f>
        <v>8.6</v>
      </c>
      <c r="AG56" s="1680">
        <f>+'NEW Fall CHP by DISC'!AG56/12</f>
        <v>0</v>
      </c>
      <c r="AH56" s="1680">
        <f>SUM(AE56:AG56)</f>
        <v>17.600000000000001</v>
      </c>
      <c r="AI56" s="505">
        <f t="shared" ref="AI56:AI61" si="53">IF(AC56&gt;0,(AH56-AC56)/AC56,(IF(AH56=0,"N/A",100%)))</f>
        <v>0.49152542372881358</v>
      </c>
      <c r="AJ56" s="1680">
        <f>+'NEW Fall CHP by DISC'!AJ56/15</f>
        <v>10.199999999999999</v>
      </c>
      <c r="AK56" s="1680">
        <f>+'NEW Fall CHP by DISC'!AK56/15</f>
        <v>6.8</v>
      </c>
      <c r="AL56" s="1680">
        <f>+'NEW Fall CHP by DISC'!AL56/12</f>
        <v>0</v>
      </c>
      <c r="AM56" s="1680">
        <f>SUM(AJ56:AL56)</f>
        <v>17</v>
      </c>
      <c r="AN56" s="491">
        <f t="shared" ref="AN56:AN61" si="54">IF(AH56&gt;0,(AM56-AH56)/AH56,(IF(AM56=0,"N/A",100%)))</f>
        <v>-3.4090909090909172E-2</v>
      </c>
      <c r="AO56" s="1680">
        <f>+'NEW Fall CHP by DISC'!AO56/15</f>
        <v>10</v>
      </c>
      <c r="AP56" s="1680">
        <f>+'NEW Fall CHP by DISC'!AP56/15</f>
        <v>7.6</v>
      </c>
      <c r="AQ56" s="1680">
        <f>+'NEW Fall CHP by DISC'!AQ56/12</f>
        <v>0</v>
      </c>
      <c r="AR56" s="1680">
        <f>SUM(AO56:AQ56)</f>
        <v>17.600000000000001</v>
      </c>
      <c r="AS56" s="1679">
        <f t="shared" ref="AS56:AS61" si="55">IF(AM56&gt;0,(AR56-AM56)/AM56,(IF(AR56=0,"N/A",100%)))</f>
        <v>3.5294117647058906E-2</v>
      </c>
    </row>
    <row r="57" spans="1:256" x14ac:dyDescent="0.25">
      <c r="A57" s="1319" t="s">
        <v>1035</v>
      </c>
      <c r="B57" s="1680">
        <f>+'NEW Fall CHP by DISC'!B57/15</f>
        <v>0</v>
      </c>
      <c r="C57" s="1680">
        <f>+'NEW Fall CHP by DISC'!C57/15</f>
        <v>0.73333333333333328</v>
      </c>
      <c r="D57" s="1680">
        <f>+'NEW Fall CHP by DISC'!D57/12</f>
        <v>0</v>
      </c>
      <c r="E57" s="1678">
        <f>SUM(B57:D57)</f>
        <v>0.73333333333333328</v>
      </c>
      <c r="F57" s="1680">
        <f>+'NEW Fall CHP by DISC'!F57/15</f>
        <v>0</v>
      </c>
      <c r="G57" s="1680">
        <f>+'NEW Fall CHP by DISC'!G57/15</f>
        <v>1.7333333333333334</v>
      </c>
      <c r="H57" s="1680">
        <f>+'NEW Fall CHP by DISC'!H57/12</f>
        <v>0</v>
      </c>
      <c r="I57" s="1680">
        <f>SUM(F57:H57)</f>
        <v>1.7333333333333334</v>
      </c>
      <c r="J57" s="505">
        <f t="shared" si="48"/>
        <v>1.3636363636363638</v>
      </c>
      <c r="K57" s="1680">
        <f>+'NEW Fall CHP by DISC'!K57/15</f>
        <v>0</v>
      </c>
      <c r="L57" s="1680">
        <f>+'NEW Fall CHP by DISC'!L57/15</f>
        <v>1.2666666666666666</v>
      </c>
      <c r="M57" s="1680">
        <f>+'NEW Fall CHP by DISC'!M57/12</f>
        <v>0</v>
      </c>
      <c r="N57" s="1680">
        <f>SUM(K57:M57)</f>
        <v>1.2666666666666666</v>
      </c>
      <c r="O57" s="505">
        <f t="shared" si="49"/>
        <v>-0.26923076923076927</v>
      </c>
      <c r="P57" s="1680">
        <f>+'NEW Fall CHP by DISC'!P57/15</f>
        <v>5</v>
      </c>
      <c r="Q57" s="1680">
        <f>+'NEW Fall CHP by DISC'!Q57/15</f>
        <v>0.8666666666666667</v>
      </c>
      <c r="R57" s="1680">
        <f>+'NEW Fall CHP by DISC'!R57/12</f>
        <v>0</v>
      </c>
      <c r="S57" s="1680">
        <f>SUM(P57:R57)</f>
        <v>5.8666666666666671</v>
      </c>
      <c r="T57" s="505">
        <f t="shared" si="50"/>
        <v>3.6315789473684217</v>
      </c>
      <c r="U57" s="1680">
        <f>+'NEW Fall CHP by DISC'!U57/15</f>
        <v>8.6</v>
      </c>
      <c r="V57" s="1680">
        <f>+'NEW Fall CHP by DISC'!V57/15</f>
        <v>1.2666666666666666</v>
      </c>
      <c r="W57" s="1680">
        <f>+'NEW Fall CHP by DISC'!W57/12</f>
        <v>0</v>
      </c>
      <c r="X57" s="1680">
        <f>SUM(U57:W57)</f>
        <v>9.8666666666666671</v>
      </c>
      <c r="Y57" s="505">
        <f t="shared" si="51"/>
        <v>0.68181818181818177</v>
      </c>
      <c r="Z57" s="1680">
        <f>+'NEW Fall CHP by DISC'!Z57/15</f>
        <v>7</v>
      </c>
      <c r="AA57" s="1680">
        <f>+'NEW Fall CHP by DISC'!AA57/15</f>
        <v>0.53333333333333333</v>
      </c>
      <c r="AB57" s="1680">
        <f>+'NEW Fall CHP by DISC'!AB57/12</f>
        <v>0</v>
      </c>
      <c r="AC57" s="1680">
        <f>SUM(Z57:AB57)</f>
        <v>7.5333333333333332</v>
      </c>
      <c r="AD57" s="505">
        <f t="shared" si="52"/>
        <v>-0.23648648648648654</v>
      </c>
      <c r="AE57" s="1680">
        <f>+'NEW Fall CHP by DISC'!AE57/15</f>
        <v>6.4</v>
      </c>
      <c r="AF57" s="1680">
        <f>+'NEW Fall CHP by DISC'!AF57/15</f>
        <v>1.2666666666666666</v>
      </c>
      <c r="AG57" s="1680">
        <f>+'NEW Fall CHP by DISC'!AG57/12</f>
        <v>0</v>
      </c>
      <c r="AH57" s="1680">
        <f>SUM(AE57:AG57)</f>
        <v>7.666666666666667</v>
      </c>
      <c r="AI57" s="505">
        <f t="shared" si="53"/>
        <v>1.7699115044247843E-2</v>
      </c>
      <c r="AJ57" s="1680">
        <f>+'NEW Fall CHP by DISC'!AJ57/15</f>
        <v>6.4</v>
      </c>
      <c r="AK57" s="1680">
        <f>+'NEW Fall CHP by DISC'!AK57/15</f>
        <v>0.8666666666666667</v>
      </c>
      <c r="AL57" s="1680">
        <f>+'NEW Fall CHP by DISC'!AL57/12</f>
        <v>0</v>
      </c>
      <c r="AM57" s="1680">
        <f>SUM(AJ57:AL57)</f>
        <v>7.2666666666666675</v>
      </c>
      <c r="AN57" s="491">
        <f t="shared" si="54"/>
        <v>-5.2173913043478189E-2</v>
      </c>
      <c r="AO57" s="1680">
        <f>+'NEW Fall CHP by DISC'!AO57/15</f>
        <v>6.4</v>
      </c>
      <c r="AP57" s="1680">
        <f>+'NEW Fall CHP by DISC'!AP57/15</f>
        <v>0.6</v>
      </c>
      <c r="AQ57" s="1680">
        <f>+'NEW Fall CHP by DISC'!AQ57/12</f>
        <v>0</v>
      </c>
      <c r="AR57" s="1680">
        <f>SUM(AO57:AQ57)</f>
        <v>7</v>
      </c>
      <c r="AS57" s="1679">
        <f t="shared" si="55"/>
        <v>-3.6697247706422131E-2</v>
      </c>
    </row>
    <row r="58" spans="1:256" x14ac:dyDescent="0.25">
      <c r="A58" s="1319" t="s">
        <v>1036</v>
      </c>
      <c r="B58" s="1680">
        <f>+'NEW Fall CHP by DISC'!B58/15</f>
        <v>14.2</v>
      </c>
      <c r="C58" s="1680">
        <f>+'NEW Fall CHP by DISC'!C58/15</f>
        <v>21.8</v>
      </c>
      <c r="D58" s="1680">
        <f>+'NEW Fall CHP by DISC'!D58/12</f>
        <v>0</v>
      </c>
      <c r="E58" s="1678">
        <f>SUM(B58:D58)</f>
        <v>36</v>
      </c>
      <c r="F58" s="1680">
        <f>+'NEW Fall CHP by DISC'!F58/15</f>
        <v>14.4</v>
      </c>
      <c r="G58" s="1680">
        <f>+'NEW Fall CHP by DISC'!G58/15</f>
        <v>23.2</v>
      </c>
      <c r="H58" s="1680">
        <f>+'NEW Fall CHP by DISC'!H58/12</f>
        <v>0</v>
      </c>
      <c r="I58" s="1680">
        <f>SUM(F58:H58)</f>
        <v>37.6</v>
      </c>
      <c r="J58" s="505">
        <f t="shared" si="48"/>
        <v>4.4444444444444481E-2</v>
      </c>
      <c r="K58" s="1680">
        <f>+'NEW Fall CHP by DISC'!K58/15</f>
        <v>18.8</v>
      </c>
      <c r="L58" s="1680">
        <f>+'NEW Fall CHP by DISC'!L58/15</f>
        <v>26.2</v>
      </c>
      <c r="M58" s="1680">
        <f>+'NEW Fall CHP by DISC'!M58/12</f>
        <v>0</v>
      </c>
      <c r="N58" s="1680">
        <f>SUM(K58:M58)</f>
        <v>45</v>
      </c>
      <c r="O58" s="505">
        <f t="shared" si="49"/>
        <v>0.19680851063829782</v>
      </c>
      <c r="P58" s="1680">
        <f>+'NEW Fall CHP by DISC'!P58/15</f>
        <v>29.4</v>
      </c>
      <c r="Q58" s="1680">
        <f>+'NEW Fall CHP by DISC'!Q58/15</f>
        <v>26.6</v>
      </c>
      <c r="R58" s="1680">
        <f>+'NEW Fall CHP by DISC'!R58/12</f>
        <v>0</v>
      </c>
      <c r="S58" s="1680">
        <f>SUM(P58:R58)</f>
        <v>56</v>
      </c>
      <c r="T58" s="505">
        <f t="shared" si="50"/>
        <v>0.24444444444444444</v>
      </c>
      <c r="U58" s="1680">
        <f>+'NEW Fall CHP by DISC'!U58/15</f>
        <v>31.8</v>
      </c>
      <c r="V58" s="1680">
        <f>+'NEW Fall CHP by DISC'!V58/15</f>
        <v>28.4</v>
      </c>
      <c r="W58" s="1680">
        <f>+'NEW Fall CHP by DISC'!W58/12</f>
        <v>0</v>
      </c>
      <c r="X58" s="1680">
        <f>SUM(U58:W58)</f>
        <v>60.2</v>
      </c>
      <c r="Y58" s="505">
        <f t="shared" si="51"/>
        <v>7.5000000000000053E-2</v>
      </c>
      <c r="Z58" s="1680">
        <f>+'NEW Fall CHP by DISC'!Z58/15</f>
        <v>34.4</v>
      </c>
      <c r="AA58" s="1680">
        <f>+'NEW Fall CHP by DISC'!AA58/15</f>
        <v>23.4</v>
      </c>
      <c r="AB58" s="1680">
        <f>+'NEW Fall CHP by DISC'!AB58/12</f>
        <v>0</v>
      </c>
      <c r="AC58" s="1680">
        <f>SUM(Z58:AB58)</f>
        <v>57.8</v>
      </c>
      <c r="AD58" s="505">
        <f t="shared" si="52"/>
        <v>-3.986710963455159E-2</v>
      </c>
      <c r="AE58" s="1680">
        <f>+'NEW Fall CHP by DISC'!AE58/15</f>
        <v>31.4</v>
      </c>
      <c r="AF58" s="1680">
        <f>+'NEW Fall CHP by DISC'!AF58/15</f>
        <v>24.2</v>
      </c>
      <c r="AG58" s="1680">
        <f>+'NEW Fall CHP by DISC'!AG58/12</f>
        <v>0</v>
      </c>
      <c r="AH58" s="1680">
        <f>SUM(AE58:AG58)</f>
        <v>55.599999999999994</v>
      </c>
      <c r="AI58" s="505">
        <f t="shared" si="53"/>
        <v>-3.806228373702427E-2</v>
      </c>
      <c r="AJ58" s="1680">
        <f>+'NEW Fall CHP by DISC'!AJ58/15</f>
        <v>32.799999999999997</v>
      </c>
      <c r="AK58" s="1680">
        <f>+'NEW Fall CHP by DISC'!AK58/15</f>
        <v>25</v>
      </c>
      <c r="AL58" s="1680">
        <f>+'NEW Fall CHP by DISC'!AL58/12</f>
        <v>0</v>
      </c>
      <c r="AM58" s="1680">
        <f>SUM(AJ58:AL58)</f>
        <v>57.8</v>
      </c>
      <c r="AN58" s="491">
        <f t="shared" si="54"/>
        <v>3.956834532374106E-2</v>
      </c>
      <c r="AO58" s="1680">
        <f>+'NEW Fall CHP by DISC'!AO58/15</f>
        <v>31.4</v>
      </c>
      <c r="AP58" s="1680">
        <f>+'NEW Fall CHP by DISC'!AP58/15</f>
        <v>19.399999999999999</v>
      </c>
      <c r="AQ58" s="1680">
        <f>+'NEW Fall CHP by DISC'!AQ58/12</f>
        <v>0</v>
      </c>
      <c r="AR58" s="1680">
        <f>SUM(AO58:AQ58)</f>
        <v>50.8</v>
      </c>
      <c r="AS58" s="1679">
        <f t="shared" si="55"/>
        <v>-0.12110726643598617</v>
      </c>
    </row>
    <row r="59" spans="1:256" x14ac:dyDescent="0.25">
      <c r="A59" s="1319" t="s">
        <v>1039</v>
      </c>
      <c r="B59" s="1680">
        <f>+'NEW Fall CHP by DISC'!B59/15</f>
        <v>25.8</v>
      </c>
      <c r="C59" s="1680">
        <f>+'NEW Fall CHP by DISC'!C59/15</f>
        <v>0</v>
      </c>
      <c r="D59" s="1680">
        <f>+'NEW Fall CHP by DISC'!D59/12</f>
        <v>0</v>
      </c>
      <c r="E59" s="1678">
        <f>SUM(B59:D59)</f>
        <v>25.8</v>
      </c>
      <c r="F59" s="1680">
        <f>+'NEW Fall CHP by DISC'!F59/15</f>
        <v>30.6</v>
      </c>
      <c r="G59" s="1680">
        <f>+'NEW Fall CHP by DISC'!G59/15</f>
        <v>0</v>
      </c>
      <c r="H59" s="1680">
        <f>+'NEW Fall CHP by DISC'!H59/12</f>
        <v>0</v>
      </c>
      <c r="I59" s="1680">
        <f>SUM(F59:H59)</f>
        <v>30.6</v>
      </c>
      <c r="J59" s="505">
        <f t="shared" si="48"/>
        <v>0.186046511627907</v>
      </c>
      <c r="K59" s="1680">
        <f>+'NEW Fall CHP by DISC'!K59/15</f>
        <v>43.6</v>
      </c>
      <c r="L59" s="1680">
        <f>+'NEW Fall CHP by DISC'!L59/15</f>
        <v>0</v>
      </c>
      <c r="M59" s="1680">
        <f>+'NEW Fall CHP by DISC'!M59/12</f>
        <v>0</v>
      </c>
      <c r="N59" s="1680">
        <f>SUM(K59:M59)</f>
        <v>43.6</v>
      </c>
      <c r="O59" s="505">
        <f t="shared" si="49"/>
        <v>0.42483660130718953</v>
      </c>
      <c r="P59" s="1680">
        <f>+'NEW Fall CHP by DISC'!P59/15</f>
        <v>46.6</v>
      </c>
      <c r="Q59" s="1680">
        <f>+'NEW Fall CHP by DISC'!Q59/15</f>
        <v>0</v>
      </c>
      <c r="R59" s="1680">
        <f>+'NEW Fall CHP by DISC'!R59/12</f>
        <v>0</v>
      </c>
      <c r="S59" s="1680">
        <f>SUM(P59:R59)</f>
        <v>46.6</v>
      </c>
      <c r="T59" s="505">
        <f t="shared" si="50"/>
        <v>6.8807339449541288E-2</v>
      </c>
      <c r="U59" s="1680">
        <f>+'NEW Fall CHP by DISC'!U59/15</f>
        <v>30.6</v>
      </c>
      <c r="V59" s="1680">
        <f>+'NEW Fall CHP by DISC'!V59/15</f>
        <v>0</v>
      </c>
      <c r="W59" s="1680">
        <f>+'NEW Fall CHP by DISC'!W59/12</f>
        <v>0</v>
      </c>
      <c r="X59" s="1680">
        <f>SUM(U59:W59)</f>
        <v>30.6</v>
      </c>
      <c r="Y59" s="505">
        <f t="shared" si="51"/>
        <v>-0.34334763948497854</v>
      </c>
      <c r="Z59" s="1680">
        <f>+'NEW Fall CHP by DISC'!Z59/15</f>
        <v>38.6</v>
      </c>
      <c r="AA59" s="1680">
        <f>+'NEW Fall CHP by DISC'!AA59/15</f>
        <v>0</v>
      </c>
      <c r="AB59" s="1680">
        <f>+'NEW Fall CHP by DISC'!AB59/12</f>
        <v>0</v>
      </c>
      <c r="AC59" s="1680">
        <f>SUM(Z59:AB59)</f>
        <v>38.6</v>
      </c>
      <c r="AD59" s="505">
        <f t="shared" si="52"/>
        <v>0.26143790849673204</v>
      </c>
      <c r="AE59" s="1680">
        <f>+'NEW Fall CHP by DISC'!AE59/15</f>
        <v>21</v>
      </c>
      <c r="AF59" s="1680">
        <f>+'NEW Fall CHP by DISC'!AF59/15</f>
        <v>0</v>
      </c>
      <c r="AG59" s="1680">
        <f>+'NEW Fall CHP by DISC'!AG59/12</f>
        <v>0</v>
      </c>
      <c r="AH59" s="1680">
        <f>SUM(AE59:AG59)</f>
        <v>21</v>
      </c>
      <c r="AI59" s="505">
        <f t="shared" si="53"/>
        <v>-0.45595854922279794</v>
      </c>
      <c r="AJ59" s="1680">
        <f>+'NEW Fall CHP by DISC'!AJ59/15</f>
        <v>27.2</v>
      </c>
      <c r="AK59" s="1680">
        <f>+'NEW Fall CHP by DISC'!AK59/15</f>
        <v>0</v>
      </c>
      <c r="AL59" s="1680">
        <f>+'NEW Fall CHP by DISC'!AL59/12</f>
        <v>0</v>
      </c>
      <c r="AM59" s="1680">
        <f>SUM(AJ59:AL59)</f>
        <v>27.2</v>
      </c>
      <c r="AN59" s="491">
        <f t="shared" si="54"/>
        <v>0.29523809523809519</v>
      </c>
      <c r="AO59" s="1680">
        <f>+'NEW Fall CHP by DISC'!AO59/15</f>
        <v>25.6</v>
      </c>
      <c r="AP59" s="1680">
        <f>+'NEW Fall CHP by DISC'!AP59/15</f>
        <v>0</v>
      </c>
      <c r="AQ59" s="1680">
        <f>+'NEW Fall CHP by DISC'!AQ59/12</f>
        <v>0</v>
      </c>
      <c r="AR59" s="1680">
        <f>SUM(AO59:AQ59)</f>
        <v>25.6</v>
      </c>
      <c r="AS59" s="1679">
        <f t="shared" si="55"/>
        <v>-5.8823529411764629E-2</v>
      </c>
    </row>
    <row r="60" spans="1:256" x14ac:dyDescent="0.25">
      <c r="A60" s="1319" t="s">
        <v>1040</v>
      </c>
      <c r="B60" s="1680">
        <f>+'NEW Fall CHP by DISC'!B60/15</f>
        <v>22.6</v>
      </c>
      <c r="C60" s="1680">
        <f>+'NEW Fall CHP by DISC'!C60/15</f>
        <v>5.333333333333333</v>
      </c>
      <c r="D60" s="1680">
        <f>+'NEW Fall CHP by DISC'!D60/12</f>
        <v>0</v>
      </c>
      <c r="E60" s="1678">
        <f>SUM(B60:D60)</f>
        <v>27.933333333333334</v>
      </c>
      <c r="F60" s="1680">
        <f>+'NEW Fall CHP by DISC'!F60/15</f>
        <v>32.733333333333334</v>
      </c>
      <c r="G60" s="1680">
        <f>+'NEW Fall CHP by DISC'!G60/15</f>
        <v>7.0666666666666664</v>
      </c>
      <c r="H60" s="1680">
        <f>+'NEW Fall CHP by DISC'!H60/12</f>
        <v>0</v>
      </c>
      <c r="I60" s="1680">
        <f>SUM(F60:H60)</f>
        <v>39.799999999999997</v>
      </c>
      <c r="J60" s="505">
        <f t="shared" si="48"/>
        <v>0.42482100238663473</v>
      </c>
      <c r="K60" s="1680">
        <f>+'NEW Fall CHP by DISC'!K60/15</f>
        <v>34.666666666666664</v>
      </c>
      <c r="L60" s="1680">
        <f>+'NEW Fall CHP by DISC'!L60/15</f>
        <v>8.2666666666666675</v>
      </c>
      <c r="M60" s="1680">
        <f>+'NEW Fall CHP by DISC'!M60/12</f>
        <v>0</v>
      </c>
      <c r="N60" s="1680">
        <f>SUM(K60:M60)</f>
        <v>42.93333333333333</v>
      </c>
      <c r="O60" s="505">
        <f t="shared" si="49"/>
        <v>7.8726968174204354E-2</v>
      </c>
      <c r="P60" s="1680">
        <f>+'NEW Fall CHP by DISC'!P60/15</f>
        <v>31.6</v>
      </c>
      <c r="Q60" s="1680">
        <f>+'NEW Fall CHP by DISC'!Q60/15</f>
        <v>11.8</v>
      </c>
      <c r="R60" s="1680">
        <f>+'NEW Fall CHP by DISC'!R60/12</f>
        <v>0</v>
      </c>
      <c r="S60" s="1680">
        <f>SUM(P60:R60)</f>
        <v>43.400000000000006</v>
      </c>
      <c r="T60" s="505">
        <f t="shared" si="50"/>
        <v>1.0869565217391516E-2</v>
      </c>
      <c r="U60" s="1680">
        <f>+'NEW Fall CHP by DISC'!U60/15</f>
        <v>34.200000000000003</v>
      </c>
      <c r="V60" s="1680">
        <f>+'NEW Fall CHP by DISC'!V60/15</f>
        <v>10.133333333333333</v>
      </c>
      <c r="W60" s="1680">
        <f>+'NEW Fall CHP by DISC'!W60/12</f>
        <v>0</v>
      </c>
      <c r="X60" s="1680">
        <f>SUM(U60:W60)</f>
        <v>44.333333333333336</v>
      </c>
      <c r="Y60" s="505">
        <f t="shared" si="51"/>
        <v>2.1505376344085943E-2</v>
      </c>
      <c r="Z60" s="1680">
        <f>+'NEW Fall CHP by DISC'!Z60/15</f>
        <v>35.200000000000003</v>
      </c>
      <c r="AA60" s="1680">
        <f>+'NEW Fall CHP by DISC'!AA60/15</f>
        <v>6.9333333333333336</v>
      </c>
      <c r="AB60" s="1680">
        <f>+'NEW Fall CHP by DISC'!AB60/12</f>
        <v>0</v>
      </c>
      <c r="AC60" s="1680">
        <f>SUM(Z60:AB60)</f>
        <v>42.13333333333334</v>
      </c>
      <c r="AD60" s="505">
        <f t="shared" si="52"/>
        <v>-4.9624060150375841E-2</v>
      </c>
      <c r="AE60" s="1680">
        <f>+'NEW Fall CHP by DISC'!AE60/15</f>
        <v>28.133333333333333</v>
      </c>
      <c r="AF60" s="1680">
        <f>+'NEW Fall CHP by DISC'!AF60/15</f>
        <v>10.266666666666667</v>
      </c>
      <c r="AG60" s="1680">
        <f>+'NEW Fall CHP by DISC'!AG60/12</f>
        <v>0</v>
      </c>
      <c r="AH60" s="1680">
        <f>SUM(AE60:AG60)</f>
        <v>38.4</v>
      </c>
      <c r="AI60" s="505">
        <f t="shared" si="53"/>
        <v>-8.8607594936709042E-2</v>
      </c>
      <c r="AJ60" s="1680">
        <f>+'NEW Fall CHP by DISC'!AJ60/15</f>
        <v>14.8</v>
      </c>
      <c r="AK60" s="1680">
        <f>+'NEW Fall CHP by DISC'!AK60/15</f>
        <v>7.5333333333333332</v>
      </c>
      <c r="AL60" s="1680">
        <f>+'NEW Fall CHP by DISC'!AL60/12</f>
        <v>0</v>
      </c>
      <c r="AM60" s="1680">
        <f>SUM(AJ60:AL60)</f>
        <v>22.333333333333336</v>
      </c>
      <c r="AN60" s="491">
        <f t="shared" si="54"/>
        <v>-0.41840277777777768</v>
      </c>
      <c r="AO60" s="1680">
        <f>+'NEW Fall CHP by DISC'!AO60/15</f>
        <v>11</v>
      </c>
      <c r="AP60" s="1680">
        <f>+'NEW Fall CHP by DISC'!AP60/15</f>
        <v>5.1333333333333337</v>
      </c>
      <c r="AQ60" s="1680">
        <f>+'NEW Fall CHP by DISC'!AQ60/12</f>
        <v>0</v>
      </c>
      <c r="AR60" s="1680">
        <f>SUM(AO60:AQ60)</f>
        <v>16.133333333333333</v>
      </c>
      <c r="AS60" s="1679">
        <f t="shared" si="55"/>
        <v>-0.27761194029850755</v>
      </c>
    </row>
    <row r="61" spans="1:256" s="484" customFormat="1" ht="13.8" x14ac:dyDescent="0.25">
      <c r="A61" s="1322" t="s">
        <v>1015</v>
      </c>
      <c r="B61" s="1776">
        <f t="shared" ref="B61:I61" si="56">SUM(B56:B60)</f>
        <v>71.199999999999989</v>
      </c>
      <c r="C61" s="1776">
        <f t="shared" si="56"/>
        <v>36.666666666666671</v>
      </c>
      <c r="D61" s="1776">
        <f t="shared" si="56"/>
        <v>0</v>
      </c>
      <c r="E61" s="1872">
        <f t="shared" si="56"/>
        <v>107.86666666666667</v>
      </c>
      <c r="F61" s="1776">
        <f t="shared" si="56"/>
        <v>85.333333333333343</v>
      </c>
      <c r="G61" s="1776">
        <f t="shared" si="56"/>
        <v>41</v>
      </c>
      <c r="H61" s="1776">
        <f t="shared" si="56"/>
        <v>0</v>
      </c>
      <c r="I61" s="1776">
        <f t="shared" si="56"/>
        <v>126.33333333333333</v>
      </c>
      <c r="J61" s="586">
        <f t="shared" si="48"/>
        <v>0.17119901112484537</v>
      </c>
      <c r="K61" s="1776">
        <f>SUM(K56:K60)</f>
        <v>107.26666666666665</v>
      </c>
      <c r="L61" s="1776">
        <f>SUM(L56:L60)</f>
        <v>41.333333333333329</v>
      </c>
      <c r="M61" s="1776">
        <f>SUM(M56:M60)</f>
        <v>0</v>
      </c>
      <c r="N61" s="1776">
        <f>SUM(N56:N60)</f>
        <v>148.6</v>
      </c>
      <c r="O61" s="586">
        <f t="shared" si="49"/>
        <v>0.17625329815303431</v>
      </c>
      <c r="P61" s="1776">
        <f>SUM(P56:P60)</f>
        <v>120.19999999999999</v>
      </c>
      <c r="Q61" s="1776">
        <f>SUM(Q56:Q60)</f>
        <v>45.466666666666669</v>
      </c>
      <c r="R61" s="1776">
        <f>SUM(R56:R60)</f>
        <v>0</v>
      </c>
      <c r="S61" s="1776">
        <f>SUM(S56:S60)</f>
        <v>165.66666666666669</v>
      </c>
      <c r="T61" s="586">
        <f t="shared" si="50"/>
        <v>0.11484970838941247</v>
      </c>
      <c r="U61" s="1776">
        <f>SUM(U56:U60)</f>
        <v>115.00000000000001</v>
      </c>
      <c r="V61" s="1776">
        <f>SUM(V56:V60)</f>
        <v>44</v>
      </c>
      <c r="W61" s="1776">
        <f>SUM(W56:W60)</f>
        <v>0</v>
      </c>
      <c r="X61" s="1776">
        <f>SUM(X56:X60)</f>
        <v>159</v>
      </c>
      <c r="Y61" s="586">
        <f t="shared" si="51"/>
        <v>-4.0241448692153028E-2</v>
      </c>
      <c r="Z61" s="1776">
        <f>SUM(Z56:Z60)</f>
        <v>120.2</v>
      </c>
      <c r="AA61" s="1776">
        <f>SUM(AA56:AA60)</f>
        <v>37.666666666666664</v>
      </c>
      <c r="AB61" s="1776">
        <f>SUM(AB56:AB60)</f>
        <v>0</v>
      </c>
      <c r="AC61" s="1776">
        <f>SUM(AC56:AC60)</f>
        <v>157.86666666666667</v>
      </c>
      <c r="AD61" s="586">
        <f t="shared" si="52"/>
        <v>-7.1278825995806649E-3</v>
      </c>
      <c r="AE61" s="1776">
        <f>SUM(AE56:AE60)</f>
        <v>95.933333333333337</v>
      </c>
      <c r="AF61" s="1776">
        <f>SUM(AF56:AF60)</f>
        <v>44.333333333333329</v>
      </c>
      <c r="AG61" s="1776">
        <f>SUM(AG56:AG60)</f>
        <v>0</v>
      </c>
      <c r="AH61" s="1776">
        <f>SUM(AH56:AH60)</f>
        <v>140.26666666666665</v>
      </c>
      <c r="AI61" s="586">
        <f t="shared" si="53"/>
        <v>-0.11148648648648662</v>
      </c>
      <c r="AJ61" s="1776">
        <f>SUM(AJ56:AJ60)</f>
        <v>91.399999999999991</v>
      </c>
      <c r="AK61" s="1776">
        <f>SUM(AK56:AK60)</f>
        <v>40.199999999999996</v>
      </c>
      <c r="AL61" s="1776">
        <f>SUM(AL56:AL60)</f>
        <v>0</v>
      </c>
      <c r="AM61" s="1776">
        <f>SUM(AM56:AM60)</f>
        <v>131.6</v>
      </c>
      <c r="AN61" s="496">
        <f t="shared" si="54"/>
        <v>-6.1787072243345946E-2</v>
      </c>
      <c r="AO61" s="1776">
        <f>SUM(AO56:AO60)</f>
        <v>84.4</v>
      </c>
      <c r="AP61" s="1776">
        <f>SUM(AP56:AP60)</f>
        <v>32.733333333333334</v>
      </c>
      <c r="AQ61" s="1776">
        <f>SUM(AQ56:AQ60)</f>
        <v>0</v>
      </c>
      <c r="AR61" s="1776">
        <f>SUM(AR56:AR60)</f>
        <v>117.13333333333333</v>
      </c>
      <c r="AS61" s="1772">
        <f t="shared" si="55"/>
        <v>-0.10992907801418442</v>
      </c>
    </row>
    <row r="62" spans="1:256" x14ac:dyDescent="0.25">
      <c r="A62" s="1325" t="s">
        <v>422</v>
      </c>
      <c r="B62" s="1873"/>
      <c r="C62" s="1874"/>
      <c r="D62" s="1874"/>
      <c r="E62" s="1875"/>
      <c r="F62" s="1873"/>
      <c r="G62" s="1874"/>
      <c r="H62" s="1874"/>
      <c r="I62" s="1874"/>
      <c r="J62" s="281"/>
      <c r="K62" s="1873"/>
      <c r="L62" s="1874"/>
      <c r="M62" s="1874"/>
      <c r="N62" s="1874"/>
      <c r="O62" s="281"/>
      <c r="P62" s="1873"/>
      <c r="Q62" s="1874"/>
      <c r="R62" s="1874"/>
      <c r="S62" s="1874"/>
      <c r="T62" s="281"/>
      <c r="U62" s="1873"/>
      <c r="V62" s="1874"/>
      <c r="W62" s="1874"/>
      <c r="X62" s="1874"/>
      <c r="Y62" s="281"/>
      <c r="Z62" s="1873"/>
      <c r="AA62" s="1874"/>
      <c r="AB62" s="1874"/>
      <c r="AC62" s="1874"/>
      <c r="AD62" s="281"/>
      <c r="AE62" s="1873"/>
      <c r="AF62" s="1874"/>
      <c r="AG62" s="1874"/>
      <c r="AH62" s="1874"/>
      <c r="AI62" s="281"/>
      <c r="AJ62" s="1873"/>
      <c r="AK62" s="1874"/>
      <c r="AL62" s="1874"/>
      <c r="AM62" s="1874"/>
      <c r="AN62" s="438"/>
      <c r="AO62" s="1873"/>
      <c r="AP62" s="1874"/>
      <c r="AQ62" s="1874"/>
      <c r="AR62" s="1874"/>
      <c r="AS62" s="1875"/>
    </row>
    <row r="63" spans="1:256" x14ac:dyDescent="0.25">
      <c r="A63" s="1319" t="s">
        <v>1037</v>
      </c>
      <c r="B63" s="1680">
        <f>+'NEW Fall CHP by DISC'!B63/15</f>
        <v>2.9333333333333331</v>
      </c>
      <c r="C63" s="1680">
        <f>+'NEW Fall CHP by DISC'!C63/15</f>
        <v>1.0666666666666667</v>
      </c>
      <c r="D63" s="1680">
        <f>+'NEW Fall CHP by DISC'!D63/12</f>
        <v>0</v>
      </c>
      <c r="E63" s="1678">
        <f>SUM(B63:D63)</f>
        <v>4</v>
      </c>
      <c r="F63" s="1680">
        <f>+'NEW Fall CHP by DISC'!F63/15</f>
        <v>2.8666666666666667</v>
      </c>
      <c r="G63" s="1680">
        <f>+'NEW Fall CHP by DISC'!G63/15</f>
        <v>1.7333333333333334</v>
      </c>
      <c r="H63" s="1680">
        <f>+'NEW Fall CHP by DISC'!H63/12</f>
        <v>0</v>
      </c>
      <c r="I63" s="1680">
        <f>SUM(F63:H63)</f>
        <v>4.5999999999999996</v>
      </c>
      <c r="J63" s="505">
        <f t="shared" ref="J63:J68" si="57">IF(E63&gt;0,(I63-E63)/E63,(IF(I63=0,"N/A",100%)))</f>
        <v>0.14999999999999991</v>
      </c>
      <c r="K63" s="1680">
        <f>+'NEW Fall CHP by DISC'!K63/15</f>
        <v>2.6666666666666665</v>
      </c>
      <c r="L63" s="1680">
        <f>+'NEW Fall CHP by DISC'!L63/15</f>
        <v>1.7333333333333334</v>
      </c>
      <c r="M63" s="1680">
        <f>+'NEW Fall CHP by DISC'!M63/12</f>
        <v>0</v>
      </c>
      <c r="N63" s="1680">
        <f>SUM(K63:M63)</f>
        <v>4.4000000000000004</v>
      </c>
      <c r="O63" s="505">
        <f t="shared" ref="O63:O68" si="58">IF(I63&gt;0,(N63-I63)/I63,(IF(N63=0,"N/A",100%)))</f>
        <v>-4.3478260869565064E-2</v>
      </c>
      <c r="P63" s="1680">
        <f>+'NEW Fall CHP by DISC'!P63/15</f>
        <v>2.2000000000000002</v>
      </c>
      <c r="Q63" s="1680">
        <f>+'NEW Fall CHP by DISC'!Q63/15</f>
        <v>1.4</v>
      </c>
      <c r="R63" s="1680">
        <f>+'NEW Fall CHP by DISC'!R63/12</f>
        <v>0</v>
      </c>
      <c r="S63" s="1680">
        <f>SUM(P63:R63)</f>
        <v>3.6</v>
      </c>
      <c r="T63" s="505">
        <f t="shared" ref="T63:T68" si="59">IF(N63&gt;0,(S63-N63)/N63,(IF(S63=0,"N/A",100%)))</f>
        <v>-0.18181818181818185</v>
      </c>
      <c r="U63" s="1680">
        <f>+'NEW Fall CHP by DISC'!U63/15</f>
        <v>2.9333333333333331</v>
      </c>
      <c r="V63" s="1680">
        <f>+'NEW Fall CHP by DISC'!V63/15</f>
        <v>1.0666666666666667</v>
      </c>
      <c r="W63" s="1680">
        <f>+'NEW Fall CHP by DISC'!W63/12</f>
        <v>0</v>
      </c>
      <c r="X63" s="1680">
        <f>SUM(U63:W63)</f>
        <v>4</v>
      </c>
      <c r="Y63" s="505">
        <f t="shared" ref="Y63:Y68" si="60">IF(S63&gt;0,(X63-S63)/S63,(IF(X63=0,"N/A",100%)))</f>
        <v>0.11111111111111108</v>
      </c>
      <c r="Z63" s="1680">
        <f>+'NEW Fall CHP by DISC'!Z63/15</f>
        <v>0</v>
      </c>
      <c r="AA63" s="1680">
        <f>+'NEW Fall CHP by DISC'!AA63/15</f>
        <v>0</v>
      </c>
      <c r="AB63" s="1680">
        <f>+'NEW Fall CHP by DISC'!AB63/12</f>
        <v>0</v>
      </c>
      <c r="AC63" s="1680">
        <f>SUM(Z63:AB63)</f>
        <v>0</v>
      </c>
      <c r="AD63" s="505">
        <f t="shared" ref="AD63:AD68" si="61">IF(X63&gt;0,(AC63-X63)/X63,(IF(AC63=0,"N/A",100%)))</f>
        <v>-1</v>
      </c>
      <c r="AE63" s="1680">
        <f>+'NEW Fall CHP by DISC'!AE63/15</f>
        <v>0</v>
      </c>
      <c r="AF63" s="1680">
        <f>+'NEW Fall CHP by DISC'!AF63/15</f>
        <v>0</v>
      </c>
      <c r="AG63" s="1680">
        <f>+'NEW Fall CHP by DISC'!AG63/12</f>
        <v>0</v>
      </c>
      <c r="AH63" s="1680">
        <f>SUM(AE63:AG63)</f>
        <v>0</v>
      </c>
      <c r="AI63" s="505" t="str">
        <f t="shared" ref="AI63:AI68" si="62">IF(AC63&gt;0,(AH63-AC63)/AC63,(IF(AH63=0,"N/A",100%)))</f>
        <v>N/A</v>
      </c>
      <c r="AJ63" s="1680">
        <f>+'NEW Fall CHP by DISC'!AJ63/15</f>
        <v>0</v>
      </c>
      <c r="AK63" s="1680">
        <f>+'NEW Fall CHP by DISC'!AK63/15</f>
        <v>0</v>
      </c>
      <c r="AL63" s="1680">
        <f>+'NEW Fall CHP by DISC'!AL63/12</f>
        <v>0</v>
      </c>
      <c r="AM63" s="1680">
        <f>SUM(AJ63:AL63)</f>
        <v>0</v>
      </c>
      <c r="AN63" s="491" t="str">
        <f t="shared" ref="AN63:AN68" si="63">IF(AH63&gt;0,(AM63-AH63)/AH63,(IF(AM63=0,"N/A",100%)))</f>
        <v>N/A</v>
      </c>
      <c r="AO63" s="1680">
        <f>+'NEW Fall CHP by DISC'!AO63/15</f>
        <v>0</v>
      </c>
      <c r="AP63" s="1680">
        <f>+'NEW Fall CHP by DISC'!AP63/15</f>
        <v>0</v>
      </c>
      <c r="AQ63" s="1680">
        <f>+'NEW Fall CHP by DISC'!AQ63/12</f>
        <v>0</v>
      </c>
      <c r="AR63" s="1680">
        <f>SUM(AO63:AQ63)</f>
        <v>0</v>
      </c>
      <c r="AS63" s="1679" t="str">
        <f t="shared" ref="AS63:AS68" si="64">IF(AM63&gt;0,(AR63-AM63)/AM63,(IF(AR63=0,"N/A",100%)))</f>
        <v>N/A</v>
      </c>
    </row>
    <row r="64" spans="1:256" x14ac:dyDescent="0.25">
      <c r="A64" s="1319" t="s">
        <v>1038</v>
      </c>
      <c r="B64" s="1680">
        <f>+'NEW Fall CHP by DISC'!B64/15</f>
        <v>51.733333333333334</v>
      </c>
      <c r="C64" s="1680">
        <f>+'NEW Fall CHP by DISC'!C64/15</f>
        <v>15.866666666666667</v>
      </c>
      <c r="D64" s="1680">
        <f>+'NEW Fall CHP by DISC'!D64/12</f>
        <v>0</v>
      </c>
      <c r="E64" s="1678">
        <f>SUM(B64:D64)</f>
        <v>67.599999999999994</v>
      </c>
      <c r="F64" s="1680">
        <f>+'NEW Fall CHP by DISC'!F64/15</f>
        <v>54.266666666666666</v>
      </c>
      <c r="G64" s="1680">
        <f>+'NEW Fall CHP by DISC'!G64/15</f>
        <v>15.866666666666667</v>
      </c>
      <c r="H64" s="1680">
        <f>+'NEW Fall CHP by DISC'!H64/12</f>
        <v>0</v>
      </c>
      <c r="I64" s="1680">
        <f>SUM(F64:H64)</f>
        <v>70.133333333333326</v>
      </c>
      <c r="J64" s="505">
        <f t="shared" si="57"/>
        <v>3.7475345167652836E-2</v>
      </c>
      <c r="K64" s="1680">
        <f>+'NEW Fall CHP by DISC'!K64/15</f>
        <v>74.86666666666666</v>
      </c>
      <c r="L64" s="1680">
        <f>+'NEW Fall CHP by DISC'!L64/15</f>
        <v>16.466666666666665</v>
      </c>
      <c r="M64" s="1680">
        <f>+'NEW Fall CHP by DISC'!M64/12</f>
        <v>0</v>
      </c>
      <c r="N64" s="1680">
        <f>SUM(K64:M64)</f>
        <v>91.333333333333329</v>
      </c>
      <c r="O64" s="505">
        <f t="shared" si="58"/>
        <v>0.30228136882129286</v>
      </c>
      <c r="P64" s="1680">
        <f>+'NEW Fall CHP by DISC'!P64/15</f>
        <v>69.13333333333334</v>
      </c>
      <c r="Q64" s="1680">
        <f>+'NEW Fall CHP by DISC'!Q64/15</f>
        <v>15.666666666666666</v>
      </c>
      <c r="R64" s="1680">
        <f>+'NEW Fall CHP by DISC'!R64/12</f>
        <v>0</v>
      </c>
      <c r="S64" s="1680">
        <f>SUM(P64:R64)</f>
        <v>84.800000000000011</v>
      </c>
      <c r="T64" s="505">
        <f t="shared" si="59"/>
        <v>-7.1532846715328294E-2</v>
      </c>
      <c r="U64" s="1680">
        <f>+'NEW Fall CHP by DISC'!U64/15</f>
        <v>62.866666666666667</v>
      </c>
      <c r="V64" s="1680">
        <f>+'NEW Fall CHP by DISC'!V64/15</f>
        <v>14.066666666666666</v>
      </c>
      <c r="W64" s="1680">
        <f>+'NEW Fall CHP by DISC'!W64/12</f>
        <v>0</v>
      </c>
      <c r="X64" s="1680">
        <f>SUM(U64:W64)</f>
        <v>76.933333333333337</v>
      </c>
      <c r="Y64" s="505">
        <f t="shared" si="60"/>
        <v>-9.2767295597484353E-2</v>
      </c>
      <c r="Z64" s="1680">
        <f>+'NEW Fall CHP by DISC'!Z64/15</f>
        <v>58.4</v>
      </c>
      <c r="AA64" s="1680">
        <f>+'NEW Fall CHP by DISC'!AA64/15</f>
        <v>12.666666666666666</v>
      </c>
      <c r="AB64" s="1680">
        <f>+'NEW Fall CHP by DISC'!AB64/12</f>
        <v>0</v>
      </c>
      <c r="AC64" s="1680">
        <f>SUM(Z64:AB64)</f>
        <v>71.066666666666663</v>
      </c>
      <c r="AD64" s="505">
        <f t="shared" si="61"/>
        <v>-7.6256499133448966E-2</v>
      </c>
      <c r="AE64" s="1680">
        <f>+'NEW Fall CHP by DISC'!AE64/15</f>
        <v>67</v>
      </c>
      <c r="AF64" s="1680">
        <f>+'NEW Fall CHP by DISC'!AF64/15</f>
        <v>10.666666666666666</v>
      </c>
      <c r="AG64" s="1680">
        <f>+'NEW Fall CHP by DISC'!AG64/12</f>
        <v>0</v>
      </c>
      <c r="AH64" s="1680">
        <f>SUM(AE64:AG64)</f>
        <v>77.666666666666671</v>
      </c>
      <c r="AI64" s="505">
        <f t="shared" si="62"/>
        <v>9.2870544090056406E-2</v>
      </c>
      <c r="AJ64" s="1680">
        <f>+'NEW Fall CHP by DISC'!AJ64/15</f>
        <v>66.933333333333337</v>
      </c>
      <c r="AK64" s="1680">
        <f>+'NEW Fall CHP by DISC'!AK64/15</f>
        <v>11.2</v>
      </c>
      <c r="AL64" s="1680">
        <f>+'NEW Fall CHP by DISC'!AL64/12</f>
        <v>0</v>
      </c>
      <c r="AM64" s="1680">
        <f>SUM(AJ64:AL64)</f>
        <v>78.13333333333334</v>
      </c>
      <c r="AN64" s="491">
        <f t="shared" si="63"/>
        <v>6.0085836909871482E-3</v>
      </c>
      <c r="AO64" s="1680">
        <f>+'NEW Fall CHP by DISC'!AO64/15</f>
        <v>57.6</v>
      </c>
      <c r="AP64" s="1680">
        <f>+'NEW Fall CHP by DISC'!AP64/15</f>
        <v>16</v>
      </c>
      <c r="AQ64" s="1680">
        <f>+'NEW Fall CHP by DISC'!AQ64/12</f>
        <v>0</v>
      </c>
      <c r="AR64" s="1680">
        <f>SUM(AO64:AQ64)</f>
        <v>73.599999999999994</v>
      </c>
      <c r="AS64" s="1679">
        <f t="shared" si="64"/>
        <v>-5.8020477815699814E-2</v>
      </c>
    </row>
    <row r="65" spans="1:45" x14ac:dyDescent="0.25">
      <c r="A65" s="1319" t="s">
        <v>1552</v>
      </c>
      <c r="B65" s="1680">
        <f>+'NEW Fall CHP by DISC'!B65/15</f>
        <v>0</v>
      </c>
      <c r="C65" s="1680">
        <f>+'NEW Fall CHP by DISC'!C65/15</f>
        <v>0</v>
      </c>
      <c r="D65" s="1680">
        <f>+'NEW Fall CHP by DISC'!D65/12</f>
        <v>0</v>
      </c>
      <c r="E65" s="1678">
        <f>SUM(B65:D65)</f>
        <v>0</v>
      </c>
      <c r="F65" s="1680">
        <f>+'NEW Fall CHP by DISC'!F65/15</f>
        <v>0</v>
      </c>
      <c r="G65" s="1680">
        <f>+'NEW Fall CHP by DISC'!G65/15</f>
        <v>0</v>
      </c>
      <c r="H65" s="1680">
        <f>+'NEW Fall CHP by DISC'!H65/12</f>
        <v>0</v>
      </c>
      <c r="I65" s="1680">
        <f>SUM(F65:H65)</f>
        <v>0</v>
      </c>
      <c r="J65" s="505" t="str">
        <f t="shared" si="57"/>
        <v>N/A</v>
      </c>
      <c r="K65" s="1680">
        <f>+'NEW Fall CHP by DISC'!K65/15</f>
        <v>0</v>
      </c>
      <c r="L65" s="1680">
        <f>+'NEW Fall CHP by DISC'!L65/15</f>
        <v>0</v>
      </c>
      <c r="M65" s="1680">
        <f>+'NEW Fall CHP by DISC'!M65/12</f>
        <v>0</v>
      </c>
      <c r="N65" s="1680">
        <f>SUM(K65:M65)</f>
        <v>0</v>
      </c>
      <c r="O65" s="505" t="str">
        <f t="shared" si="58"/>
        <v>N/A</v>
      </c>
      <c r="P65" s="1680">
        <f>+'NEW Fall CHP by DISC'!P65/15</f>
        <v>0</v>
      </c>
      <c r="Q65" s="1680">
        <f>+'NEW Fall CHP by DISC'!Q65/15</f>
        <v>0</v>
      </c>
      <c r="R65" s="1680">
        <f>+'NEW Fall CHP by DISC'!R65/12</f>
        <v>0</v>
      </c>
      <c r="S65" s="1680">
        <f>SUM(P65:R65)</f>
        <v>0</v>
      </c>
      <c r="T65" s="505" t="str">
        <f t="shared" si="59"/>
        <v>N/A</v>
      </c>
      <c r="U65" s="1680">
        <f>+'NEW Fall CHP by DISC'!U65/15</f>
        <v>0</v>
      </c>
      <c r="V65" s="1680">
        <f>+'NEW Fall CHP by DISC'!V65/15</f>
        <v>0</v>
      </c>
      <c r="W65" s="1680">
        <f>+'NEW Fall CHP by DISC'!W65/12</f>
        <v>0</v>
      </c>
      <c r="X65" s="1680">
        <f>SUM(U65:W65)</f>
        <v>0</v>
      </c>
      <c r="Y65" s="505" t="str">
        <f t="shared" si="60"/>
        <v>N/A</v>
      </c>
      <c r="Z65" s="1680">
        <f>+'NEW Fall CHP by DISC'!Z65/15</f>
        <v>0.66666666666666663</v>
      </c>
      <c r="AA65" s="1680">
        <f>+'NEW Fall CHP by DISC'!AA65/15</f>
        <v>0.4</v>
      </c>
      <c r="AB65" s="1680">
        <f>+'NEW Fall CHP by DISC'!AB65/12</f>
        <v>0</v>
      </c>
      <c r="AC65" s="1680">
        <f>SUM(Z65:AB65)</f>
        <v>1.0666666666666667</v>
      </c>
      <c r="AD65" s="505">
        <f t="shared" si="61"/>
        <v>1</v>
      </c>
      <c r="AE65" s="1680">
        <f>+'NEW Fall CHP by DISC'!AE65/15</f>
        <v>0.33333333333333331</v>
      </c>
      <c r="AF65" s="1680">
        <f>+'NEW Fall CHP by DISC'!AF65/15</f>
        <v>0.73333333333333328</v>
      </c>
      <c r="AG65" s="1680">
        <f>+'NEW Fall CHP by DISC'!AG65/12</f>
        <v>0</v>
      </c>
      <c r="AH65" s="1680">
        <f>SUM(AE65:AG65)</f>
        <v>1.0666666666666667</v>
      </c>
      <c r="AI65" s="505">
        <f t="shared" si="62"/>
        <v>0</v>
      </c>
      <c r="AJ65" s="1680">
        <f>+'NEW Fall CHP by DISC'!AJ65/15</f>
        <v>0.4</v>
      </c>
      <c r="AK65" s="1680">
        <f>+'NEW Fall CHP by DISC'!AK65/15</f>
        <v>0.53333333333333333</v>
      </c>
      <c r="AL65" s="1680">
        <f>+'NEW Fall CHP by DISC'!AL65/12</f>
        <v>0</v>
      </c>
      <c r="AM65" s="1680">
        <f>SUM(AJ65:AL65)</f>
        <v>0.93333333333333335</v>
      </c>
      <c r="AN65" s="491">
        <f t="shared" si="63"/>
        <v>-0.12499999999999997</v>
      </c>
      <c r="AO65" s="1680">
        <f>+'NEW Fall CHP by DISC'!AO65/15</f>
        <v>0.53333333333333333</v>
      </c>
      <c r="AP65" s="1680">
        <f>+'NEW Fall CHP by DISC'!AP65/15</f>
        <v>0.66666666666666663</v>
      </c>
      <c r="AQ65" s="1680">
        <f>+'NEW Fall CHP by DISC'!AQ65/12</f>
        <v>0</v>
      </c>
      <c r="AR65" s="1680">
        <f>SUM(AO65:AQ65)</f>
        <v>1.2</v>
      </c>
      <c r="AS65" s="1679">
        <f t="shared" si="64"/>
        <v>0.28571428571428564</v>
      </c>
    </row>
    <row r="66" spans="1:45" x14ac:dyDescent="0.25">
      <c r="A66" s="1319" t="s">
        <v>1553</v>
      </c>
      <c r="B66" s="1680">
        <f>+'NEW Fall CHP by DISC'!B66/15</f>
        <v>0</v>
      </c>
      <c r="C66" s="1680">
        <f>+'NEW Fall CHP by DISC'!C66/15</f>
        <v>0</v>
      </c>
      <c r="D66" s="1680">
        <f>+'NEW Fall CHP by DISC'!D66/12</f>
        <v>0</v>
      </c>
      <c r="E66" s="1678">
        <f>SUM(B66:D66)</f>
        <v>0</v>
      </c>
      <c r="F66" s="1680">
        <f>+'NEW Fall CHP by DISC'!F66/15</f>
        <v>0</v>
      </c>
      <c r="G66" s="1680">
        <f>+'NEW Fall CHP by DISC'!G66/15</f>
        <v>0</v>
      </c>
      <c r="H66" s="1680">
        <f>+'NEW Fall CHP by DISC'!H66/12</f>
        <v>0</v>
      </c>
      <c r="I66" s="1680">
        <f>SUM(F66:H66)</f>
        <v>0</v>
      </c>
      <c r="J66" s="505" t="str">
        <f t="shared" si="57"/>
        <v>N/A</v>
      </c>
      <c r="K66" s="1680">
        <f>+'NEW Fall CHP by DISC'!K66/15</f>
        <v>0</v>
      </c>
      <c r="L66" s="1680">
        <f>+'NEW Fall CHP by DISC'!L66/15</f>
        <v>0</v>
      </c>
      <c r="M66" s="1680">
        <f>+'NEW Fall CHP by DISC'!M66/12</f>
        <v>0</v>
      </c>
      <c r="N66" s="1680">
        <f>SUM(K66:M66)</f>
        <v>0</v>
      </c>
      <c r="O66" s="505" t="str">
        <f t="shared" si="58"/>
        <v>N/A</v>
      </c>
      <c r="P66" s="1680">
        <f>+'NEW Fall CHP by DISC'!P66/15</f>
        <v>0</v>
      </c>
      <c r="Q66" s="1680">
        <f>+'NEW Fall CHP by DISC'!Q66/15</f>
        <v>0</v>
      </c>
      <c r="R66" s="1680">
        <f>+'NEW Fall CHP by DISC'!R66/12</f>
        <v>0</v>
      </c>
      <c r="S66" s="1680">
        <f>SUM(P66:R66)</f>
        <v>0</v>
      </c>
      <c r="T66" s="505" t="str">
        <f t="shared" si="59"/>
        <v>N/A</v>
      </c>
      <c r="U66" s="1680">
        <f>+'NEW Fall CHP by DISC'!U66/15</f>
        <v>0</v>
      </c>
      <c r="V66" s="1680">
        <f>+'NEW Fall CHP by DISC'!V66/15</f>
        <v>0</v>
      </c>
      <c r="W66" s="1680">
        <f>+'NEW Fall CHP by DISC'!W66/12</f>
        <v>0</v>
      </c>
      <c r="X66" s="1680">
        <f>SUM(U66:W66)</f>
        <v>0</v>
      </c>
      <c r="Y66" s="505" t="str">
        <f t="shared" si="60"/>
        <v>N/A</v>
      </c>
      <c r="Z66" s="1680">
        <f>+'NEW Fall CHP by DISC'!Z66/15</f>
        <v>1.8666666666666667</v>
      </c>
      <c r="AA66" s="1680">
        <f>+'NEW Fall CHP by DISC'!AA66/15</f>
        <v>0.6</v>
      </c>
      <c r="AB66" s="1680">
        <f>+'NEW Fall CHP by DISC'!AB66/12</f>
        <v>0</v>
      </c>
      <c r="AC66" s="1680">
        <f>SUM(Z66:AB66)</f>
        <v>2.4666666666666668</v>
      </c>
      <c r="AD66" s="505">
        <f t="shared" si="61"/>
        <v>1</v>
      </c>
      <c r="AE66" s="1680">
        <f>+'NEW Fall CHP by DISC'!AE66/15</f>
        <v>1.4666666666666666</v>
      </c>
      <c r="AF66" s="1680">
        <f>+'NEW Fall CHP by DISC'!AF66/15</f>
        <v>0.73333333333333328</v>
      </c>
      <c r="AG66" s="1680">
        <f>+'NEW Fall CHP by DISC'!AG66/12</f>
        <v>0</v>
      </c>
      <c r="AH66" s="1680">
        <f>SUM(AE66:AG66)</f>
        <v>2.1999999999999997</v>
      </c>
      <c r="AI66" s="505">
        <f t="shared" si="62"/>
        <v>-0.10810810810810825</v>
      </c>
      <c r="AJ66" s="1680">
        <f>+'NEW Fall CHP by DISC'!AJ66/15</f>
        <v>1.0666666666666667</v>
      </c>
      <c r="AK66" s="1680">
        <f>+'NEW Fall CHP by DISC'!AK66/15</f>
        <v>1.2666666666666666</v>
      </c>
      <c r="AL66" s="1680">
        <f>+'NEW Fall CHP by DISC'!AL66/12</f>
        <v>0</v>
      </c>
      <c r="AM66" s="1680">
        <f>SUM(AJ66:AL66)</f>
        <v>2.333333333333333</v>
      </c>
      <c r="AN66" s="491">
        <f t="shared" si="63"/>
        <v>6.0606060606060601E-2</v>
      </c>
      <c r="AO66" s="1680">
        <f>+'NEW Fall CHP by DISC'!AO66/15</f>
        <v>0.66666666666666663</v>
      </c>
      <c r="AP66" s="1680">
        <f>+'NEW Fall CHP by DISC'!AP66/15</f>
        <v>1.3333333333333333</v>
      </c>
      <c r="AQ66" s="1680">
        <f>+'NEW Fall CHP by DISC'!AQ66/12</f>
        <v>0</v>
      </c>
      <c r="AR66" s="1680">
        <f>SUM(AO66:AQ66)</f>
        <v>2</v>
      </c>
      <c r="AS66" s="1679">
        <f t="shared" si="64"/>
        <v>-0.14285714285714274</v>
      </c>
    </row>
    <row r="67" spans="1:45" x14ac:dyDescent="0.25">
      <c r="A67" s="1319" t="s">
        <v>1554</v>
      </c>
      <c r="B67" s="1680">
        <f>+'NEW Fall CHP by DISC'!B67/15</f>
        <v>0</v>
      </c>
      <c r="C67" s="1680">
        <f>+'NEW Fall CHP by DISC'!C67/15</f>
        <v>0</v>
      </c>
      <c r="D67" s="1680">
        <f>+'NEW Fall CHP by DISC'!D67/12</f>
        <v>0</v>
      </c>
      <c r="E67" s="1678">
        <f>SUM(B67:D67)</f>
        <v>0</v>
      </c>
      <c r="F67" s="1680">
        <f>+'NEW Fall CHP by DISC'!F67/15</f>
        <v>0</v>
      </c>
      <c r="G67" s="1680">
        <f>+'NEW Fall CHP by DISC'!G67/15</f>
        <v>0</v>
      </c>
      <c r="H67" s="1680">
        <f>+'NEW Fall CHP by DISC'!H67/12</f>
        <v>0</v>
      </c>
      <c r="I67" s="1680">
        <f>SUM(F67:H67)</f>
        <v>0</v>
      </c>
      <c r="J67" s="505" t="str">
        <f t="shared" si="57"/>
        <v>N/A</v>
      </c>
      <c r="K67" s="1680">
        <f>+'NEW Fall CHP by DISC'!K67/15</f>
        <v>0</v>
      </c>
      <c r="L67" s="1680">
        <f>+'NEW Fall CHP by DISC'!L67/15</f>
        <v>0</v>
      </c>
      <c r="M67" s="1680">
        <f>+'NEW Fall CHP by DISC'!M67/12</f>
        <v>0</v>
      </c>
      <c r="N67" s="1680">
        <f>SUM(K67:M67)</f>
        <v>0</v>
      </c>
      <c r="O67" s="505" t="str">
        <f t="shared" si="58"/>
        <v>N/A</v>
      </c>
      <c r="P67" s="1680">
        <f>+'NEW Fall CHP by DISC'!P67/15</f>
        <v>0</v>
      </c>
      <c r="Q67" s="1680">
        <f>+'NEW Fall CHP by DISC'!Q67/15</f>
        <v>0</v>
      </c>
      <c r="R67" s="1680">
        <f>+'NEW Fall CHP by DISC'!R67/12</f>
        <v>0</v>
      </c>
      <c r="S67" s="1680">
        <f>SUM(P67:R67)</f>
        <v>0</v>
      </c>
      <c r="T67" s="505" t="str">
        <f t="shared" si="59"/>
        <v>N/A</v>
      </c>
      <c r="U67" s="1680">
        <f>+'NEW Fall CHP by DISC'!U67/15</f>
        <v>0</v>
      </c>
      <c r="V67" s="1680">
        <f>+'NEW Fall CHP by DISC'!V67/15</f>
        <v>0</v>
      </c>
      <c r="W67" s="1680">
        <f>+'NEW Fall CHP by DISC'!W67/12</f>
        <v>0</v>
      </c>
      <c r="X67" s="1680">
        <f>SUM(U67:W67)</f>
        <v>0</v>
      </c>
      <c r="Y67" s="505" t="str">
        <f t="shared" si="60"/>
        <v>N/A</v>
      </c>
      <c r="Z67" s="1680">
        <f>+'NEW Fall CHP by DISC'!Z67/15</f>
        <v>0.6</v>
      </c>
      <c r="AA67" s="1680">
        <f>+'NEW Fall CHP by DISC'!AA67/15</f>
        <v>0.4</v>
      </c>
      <c r="AB67" s="1680">
        <f>+'NEW Fall CHP by DISC'!AB67/12</f>
        <v>0</v>
      </c>
      <c r="AC67" s="1680">
        <f>SUM(Z67:AB67)</f>
        <v>1</v>
      </c>
      <c r="AD67" s="505">
        <f t="shared" si="61"/>
        <v>1</v>
      </c>
      <c r="AE67" s="1680">
        <f>+'NEW Fall CHP by DISC'!AE67/15</f>
        <v>0.73333333333333328</v>
      </c>
      <c r="AF67" s="1680">
        <f>+'NEW Fall CHP by DISC'!AF67/15</f>
        <v>0.33333333333333331</v>
      </c>
      <c r="AG67" s="1680">
        <f>+'NEW Fall CHP by DISC'!AG67/12</f>
        <v>0</v>
      </c>
      <c r="AH67" s="1680">
        <f>SUM(AE67:AG67)</f>
        <v>1.0666666666666667</v>
      </c>
      <c r="AI67" s="505">
        <f t="shared" si="62"/>
        <v>6.6666666666666652E-2</v>
      </c>
      <c r="AJ67" s="1680">
        <f>+'NEW Fall CHP by DISC'!AJ67/15</f>
        <v>1</v>
      </c>
      <c r="AK67" s="1680">
        <f>+'NEW Fall CHP by DISC'!AK67/15</f>
        <v>0.33333333333333331</v>
      </c>
      <c r="AL67" s="1680">
        <f>+'NEW Fall CHP by DISC'!AL67/12</f>
        <v>0</v>
      </c>
      <c r="AM67" s="1680">
        <f>SUM(AJ67:AL67)</f>
        <v>1.3333333333333333</v>
      </c>
      <c r="AN67" s="491">
        <f t="shared" si="63"/>
        <v>0.24999999999999994</v>
      </c>
      <c r="AO67" s="1680">
        <f>+'NEW Fall CHP by DISC'!AO67/15</f>
        <v>0.93333333333333335</v>
      </c>
      <c r="AP67" s="1680">
        <f>+'NEW Fall CHP by DISC'!AP67/15</f>
        <v>0.46666666666666667</v>
      </c>
      <c r="AQ67" s="1680">
        <f>+'NEW Fall CHP by DISC'!AQ67/12</f>
        <v>0</v>
      </c>
      <c r="AR67" s="1680">
        <f>SUM(AO67:AQ67)</f>
        <v>1.4</v>
      </c>
      <c r="AS67" s="1679">
        <f t="shared" si="64"/>
        <v>4.9999999999999989E-2</v>
      </c>
    </row>
    <row r="68" spans="1:45" s="484" customFormat="1" ht="13.8" x14ac:dyDescent="0.25">
      <c r="A68" s="1345" t="s">
        <v>1015</v>
      </c>
      <c r="B68" s="1776">
        <f t="shared" ref="B68:I68" si="65">SUM(B63:B67)</f>
        <v>54.666666666666664</v>
      </c>
      <c r="C68" s="1776">
        <f t="shared" si="65"/>
        <v>16.933333333333334</v>
      </c>
      <c r="D68" s="1776">
        <f t="shared" si="65"/>
        <v>0</v>
      </c>
      <c r="E68" s="1776">
        <f t="shared" si="65"/>
        <v>71.599999999999994</v>
      </c>
      <c r="F68" s="1776">
        <f t="shared" si="65"/>
        <v>57.133333333333333</v>
      </c>
      <c r="G68" s="1776">
        <f t="shared" si="65"/>
        <v>17.600000000000001</v>
      </c>
      <c r="H68" s="1776">
        <f t="shared" si="65"/>
        <v>0</v>
      </c>
      <c r="I68" s="1776">
        <f t="shared" si="65"/>
        <v>74.73333333333332</v>
      </c>
      <c r="J68" s="586">
        <f t="shared" si="57"/>
        <v>4.3761638733705671E-2</v>
      </c>
      <c r="K68" s="1776">
        <f>SUM(K63:K67)</f>
        <v>77.533333333333331</v>
      </c>
      <c r="L68" s="1776">
        <f>SUM(L63:L67)</f>
        <v>18.2</v>
      </c>
      <c r="M68" s="1776">
        <f>SUM(M63:M67)</f>
        <v>0</v>
      </c>
      <c r="N68" s="1776">
        <f>SUM(N63:N67)</f>
        <v>95.733333333333334</v>
      </c>
      <c r="O68" s="586">
        <f t="shared" si="58"/>
        <v>0.28099910793934013</v>
      </c>
      <c r="P68" s="1776">
        <f>SUM(P63:P67)</f>
        <v>71.333333333333343</v>
      </c>
      <c r="Q68" s="1776">
        <f>SUM(Q63:Q67)</f>
        <v>17.066666666666666</v>
      </c>
      <c r="R68" s="1776">
        <f>SUM(R63:R67)</f>
        <v>0</v>
      </c>
      <c r="S68" s="1776">
        <f>SUM(S63:S67)</f>
        <v>88.4</v>
      </c>
      <c r="T68" s="586">
        <f t="shared" si="59"/>
        <v>-7.6601671309192154E-2</v>
      </c>
      <c r="U68" s="1776">
        <f>SUM(U63:U67)</f>
        <v>65.8</v>
      </c>
      <c r="V68" s="1776">
        <f>SUM(V63:V67)</f>
        <v>15.133333333333333</v>
      </c>
      <c r="W68" s="1776">
        <f>SUM(W63:W67)</f>
        <v>0</v>
      </c>
      <c r="X68" s="1776">
        <f>SUM(X63:X67)</f>
        <v>80.933333333333337</v>
      </c>
      <c r="Y68" s="586">
        <f t="shared" si="60"/>
        <v>-8.4464555052790366E-2</v>
      </c>
      <c r="Z68" s="1776">
        <f>SUM(Z63:Z67)</f>
        <v>61.533333333333331</v>
      </c>
      <c r="AA68" s="1776">
        <f>SUM(AA63:AA67)</f>
        <v>14.066666666666666</v>
      </c>
      <c r="AB68" s="1776">
        <f>SUM(AB63:AB67)</f>
        <v>0</v>
      </c>
      <c r="AC68" s="1776">
        <f>SUM(AC63:AC67)</f>
        <v>75.599999999999994</v>
      </c>
      <c r="AD68" s="586">
        <f t="shared" si="61"/>
        <v>-6.5897858319604721E-2</v>
      </c>
      <c r="AE68" s="1776">
        <f>SUM(AE63:AE67)</f>
        <v>69.533333333333331</v>
      </c>
      <c r="AF68" s="1776">
        <f>SUM(AF63:AF67)</f>
        <v>12.466666666666665</v>
      </c>
      <c r="AG68" s="1776">
        <f>SUM(AG63:AG67)</f>
        <v>0</v>
      </c>
      <c r="AH68" s="1776">
        <f>SUM(AH63:AH67)</f>
        <v>82</v>
      </c>
      <c r="AI68" s="586">
        <f t="shared" si="62"/>
        <v>8.4656084656084735E-2</v>
      </c>
      <c r="AJ68" s="1776">
        <f>SUM(AJ63:AJ67)</f>
        <v>69.400000000000006</v>
      </c>
      <c r="AK68" s="1776">
        <f>SUM(AK63:AK67)</f>
        <v>13.333333333333334</v>
      </c>
      <c r="AL68" s="1776">
        <f>SUM(AL63:AL67)</f>
        <v>0</v>
      </c>
      <c r="AM68" s="1776">
        <f>SUM(AM63:AM67)</f>
        <v>82.733333333333334</v>
      </c>
      <c r="AN68" s="496">
        <f t="shared" si="63"/>
        <v>8.9430894308943198E-3</v>
      </c>
      <c r="AO68" s="1776">
        <f>SUM(AO63:AO67)</f>
        <v>59.733333333333327</v>
      </c>
      <c r="AP68" s="1776">
        <f>SUM(AP63:AP67)</f>
        <v>18.466666666666665</v>
      </c>
      <c r="AQ68" s="1776">
        <f>SUM(AQ63:AQ67)</f>
        <v>0</v>
      </c>
      <c r="AR68" s="1776">
        <f>SUM(AR63:AR67)</f>
        <v>78.2</v>
      </c>
      <c r="AS68" s="1772">
        <f t="shared" si="64"/>
        <v>-5.4794520547945182E-2</v>
      </c>
    </row>
    <row r="69" spans="1:45" x14ac:dyDescent="0.25">
      <c r="A69" s="1318" t="s">
        <v>436</v>
      </c>
      <c r="B69" s="1873"/>
      <c r="C69" s="1874"/>
      <c r="D69" s="1874"/>
      <c r="E69" s="1875"/>
      <c r="F69" s="1873"/>
      <c r="G69" s="1874"/>
      <c r="H69" s="1874"/>
      <c r="I69" s="1874"/>
      <c r="J69" s="281"/>
      <c r="K69" s="1873"/>
      <c r="L69" s="1874"/>
      <c r="M69" s="1874"/>
      <c r="N69" s="1874"/>
      <c r="O69" s="281"/>
      <c r="P69" s="1873"/>
      <c r="Q69" s="1874"/>
      <c r="R69" s="1874"/>
      <c r="S69" s="1874"/>
      <c r="T69" s="281"/>
      <c r="U69" s="1873"/>
      <c r="V69" s="1874"/>
      <c r="W69" s="1874"/>
      <c r="X69" s="1874"/>
      <c r="Y69" s="281"/>
      <c r="Z69" s="1873"/>
      <c r="AA69" s="1874"/>
      <c r="AB69" s="1874"/>
      <c r="AC69" s="1874"/>
      <c r="AD69" s="281"/>
      <c r="AE69" s="1873"/>
      <c r="AF69" s="1874"/>
      <c r="AG69" s="1874"/>
      <c r="AH69" s="1874"/>
      <c r="AI69" s="281"/>
      <c r="AJ69" s="1873"/>
      <c r="AK69" s="1874"/>
      <c r="AL69" s="1874"/>
      <c r="AM69" s="1874"/>
      <c r="AN69" s="438"/>
      <c r="AO69" s="1873"/>
      <c r="AP69" s="1874"/>
      <c r="AQ69" s="1874"/>
      <c r="AR69" s="1874"/>
      <c r="AS69" s="1875"/>
    </row>
    <row r="70" spans="1:45" s="324" customFormat="1" x14ac:dyDescent="0.25">
      <c r="A70" s="1344" t="s">
        <v>1046</v>
      </c>
      <c r="B70" s="1680">
        <f>+'NEW Fall CHP by DISC'!B70/15</f>
        <v>5.4</v>
      </c>
      <c r="C70" s="1680">
        <f>+'NEW Fall CHP by DISC'!C70/15</f>
        <v>0</v>
      </c>
      <c r="D70" s="1680">
        <f>+'NEW Fall CHP by DISC'!D70/12</f>
        <v>0</v>
      </c>
      <c r="E70" s="1678">
        <f>SUM(B70:D70)</f>
        <v>5.4</v>
      </c>
      <c r="F70" s="1680">
        <f>+'NEW Fall CHP by DISC'!F70/15</f>
        <v>0</v>
      </c>
      <c r="G70" s="1680">
        <f>+'NEW Fall CHP by DISC'!G70/15</f>
        <v>0</v>
      </c>
      <c r="H70" s="1680">
        <f>+'NEW Fall CHP by DISC'!H70/12</f>
        <v>0</v>
      </c>
      <c r="I70" s="1680">
        <f>SUM(F70:H70)</f>
        <v>0</v>
      </c>
      <c r="J70" s="505">
        <f t="shared" ref="J70:J75" si="66">IF(E70&gt;0,(I70-E70)/E70,(IF(I70=0,"N/A",100%)))</f>
        <v>-1</v>
      </c>
      <c r="K70" s="1680">
        <f>+'NEW Fall CHP by DISC'!K70/15</f>
        <v>0</v>
      </c>
      <c r="L70" s="1680">
        <f>+'NEW Fall CHP by DISC'!L70/15</f>
        <v>0</v>
      </c>
      <c r="M70" s="1680">
        <f>+'NEW Fall CHP by DISC'!M70/12</f>
        <v>0</v>
      </c>
      <c r="N70" s="1680">
        <f>SUM(K70:M70)</f>
        <v>0</v>
      </c>
      <c r="O70" s="505" t="str">
        <f t="shared" ref="O70:O75" si="67">IF(I70&gt;0,(N70-I70)/I70,(IF(N70=0,"N/A",100%)))</f>
        <v>N/A</v>
      </c>
      <c r="P70" s="1680">
        <f>+'NEW Fall CHP by DISC'!P70/15</f>
        <v>0</v>
      </c>
      <c r="Q70" s="1680">
        <f>+'NEW Fall CHP by DISC'!Q70/15</f>
        <v>0</v>
      </c>
      <c r="R70" s="1680">
        <f>+'NEW Fall CHP by DISC'!R70/12</f>
        <v>0</v>
      </c>
      <c r="S70" s="1680">
        <f>SUM(P70:R70)</f>
        <v>0</v>
      </c>
      <c r="T70" s="505" t="str">
        <f t="shared" ref="T70:T75" si="68">IF(N70&gt;0,(S70-N70)/N70,(IF(S70=0,"N/A",100%)))</f>
        <v>N/A</v>
      </c>
      <c r="U70" s="1680">
        <f>+'NEW Fall CHP by DISC'!U70/15</f>
        <v>0</v>
      </c>
      <c r="V70" s="1680">
        <f>+'NEW Fall CHP by DISC'!V70/15</f>
        <v>0</v>
      </c>
      <c r="W70" s="1680">
        <f>+'NEW Fall CHP by DISC'!W70/12</f>
        <v>0</v>
      </c>
      <c r="X70" s="1680">
        <f>SUM(U70:W70)</f>
        <v>0</v>
      </c>
      <c r="Y70" s="505" t="str">
        <f t="shared" ref="Y70:Y75" si="69">IF(S70&gt;0,(X70-S70)/S70,(IF(X70=0,"N/A",100%)))</f>
        <v>N/A</v>
      </c>
      <c r="Z70" s="1680">
        <f>+'NEW Fall CHP by DISC'!Z70/15</f>
        <v>0</v>
      </c>
      <c r="AA70" s="1680">
        <f>+'NEW Fall CHP by DISC'!AA70/15</f>
        <v>0</v>
      </c>
      <c r="AB70" s="1680">
        <f>+'NEW Fall CHP by DISC'!AB70/12</f>
        <v>0</v>
      </c>
      <c r="AC70" s="1680">
        <f>SUM(Z70:AB70)</f>
        <v>0</v>
      </c>
      <c r="AD70" s="505" t="str">
        <f t="shared" ref="AD70:AD75" si="70">IF(X70&gt;0,(AC70-X70)/X70,(IF(AC70=0,"N/A",100%)))</f>
        <v>N/A</v>
      </c>
      <c r="AE70" s="1680">
        <f>+'NEW Fall CHP by DISC'!AE70/15</f>
        <v>0</v>
      </c>
      <c r="AF70" s="1680">
        <f>+'NEW Fall CHP by DISC'!AF70/15</f>
        <v>0</v>
      </c>
      <c r="AG70" s="1680">
        <f>+'NEW Fall CHP by DISC'!AG70/12</f>
        <v>0</v>
      </c>
      <c r="AH70" s="1680">
        <f>SUM(AE70:AG70)</f>
        <v>0</v>
      </c>
      <c r="AI70" s="505" t="str">
        <f t="shared" ref="AI70:AI75" si="71">IF(AC70&gt;0,(AH70-AC70)/AC70,(IF(AH70=0,"N/A",100%)))</f>
        <v>N/A</v>
      </c>
      <c r="AJ70" s="1680">
        <f>+'NEW Fall CHP by DISC'!AJ70/15</f>
        <v>4.5999999999999996</v>
      </c>
      <c r="AK70" s="1680">
        <f>+'NEW Fall CHP by DISC'!AK70/15</f>
        <v>0</v>
      </c>
      <c r="AL70" s="1680">
        <f>+'NEW Fall CHP by DISC'!AL70/12</f>
        <v>0</v>
      </c>
      <c r="AM70" s="1680">
        <f>SUM(AJ70:AL70)</f>
        <v>4.5999999999999996</v>
      </c>
      <c r="AN70" s="491">
        <f t="shared" ref="AN70:AN75" si="72">IF(AH70&gt;0,(AM70-AH70)/AH70,(IF(AM70=0,"N/A",100%)))</f>
        <v>1</v>
      </c>
      <c r="AO70" s="1680">
        <f>+'NEW Fall CHP by DISC'!AO70/15</f>
        <v>0</v>
      </c>
      <c r="AP70" s="1680">
        <f>+'NEW Fall CHP by DISC'!AP70/15</f>
        <v>0</v>
      </c>
      <c r="AQ70" s="1680">
        <f>+'NEW Fall CHP by DISC'!AQ70/12</f>
        <v>0</v>
      </c>
      <c r="AR70" s="1680">
        <f>SUM(AO70:AQ70)</f>
        <v>0</v>
      </c>
      <c r="AS70" s="1679">
        <f t="shared" ref="AS70:AS75" si="73">IF(AM70&gt;0,(AR70-AM70)/AM70,(IF(AR70=0,"N/A",100%)))</f>
        <v>-1</v>
      </c>
    </row>
    <row r="71" spans="1:45" x14ac:dyDescent="0.25">
      <c r="A71" s="1319" t="s">
        <v>1041</v>
      </c>
      <c r="B71" s="1680">
        <f>+'NEW Fall CHP by DISC'!B71/15</f>
        <v>74.2</v>
      </c>
      <c r="C71" s="1680">
        <f>+'NEW Fall CHP by DISC'!C71/15</f>
        <v>31.333333333333332</v>
      </c>
      <c r="D71" s="1680">
        <f>+'NEW Fall CHP by DISC'!D71/12</f>
        <v>0</v>
      </c>
      <c r="E71" s="1678">
        <f>SUM(B71:D71)</f>
        <v>105.53333333333333</v>
      </c>
      <c r="F71" s="1680">
        <f>+'NEW Fall CHP by DISC'!F71/15</f>
        <v>96.4</v>
      </c>
      <c r="G71" s="1680">
        <f>+'NEW Fall CHP by DISC'!G71/15</f>
        <v>30.2</v>
      </c>
      <c r="H71" s="1680">
        <f>+'NEW Fall CHP by DISC'!H71/12</f>
        <v>0</v>
      </c>
      <c r="I71" s="1680">
        <f>SUM(F71:H71)</f>
        <v>126.60000000000001</v>
      </c>
      <c r="J71" s="505">
        <f t="shared" si="66"/>
        <v>0.19962097283638672</v>
      </c>
      <c r="K71" s="1680">
        <f>+'NEW Fall CHP by DISC'!K71/15</f>
        <v>114.4</v>
      </c>
      <c r="L71" s="1680">
        <f>+'NEW Fall CHP by DISC'!L71/15</f>
        <v>38.4</v>
      </c>
      <c r="M71" s="1680">
        <f>+'NEW Fall CHP by DISC'!M71/12</f>
        <v>0</v>
      </c>
      <c r="N71" s="1680">
        <f>SUM(K71:M71)</f>
        <v>152.80000000000001</v>
      </c>
      <c r="O71" s="505">
        <f t="shared" si="67"/>
        <v>0.20695102685624014</v>
      </c>
      <c r="P71" s="1680">
        <f>+'NEW Fall CHP by DISC'!P71/15</f>
        <v>146.19999999999999</v>
      </c>
      <c r="Q71" s="1680">
        <f>+'NEW Fall CHP by DISC'!Q71/15</f>
        <v>25.6</v>
      </c>
      <c r="R71" s="1680">
        <f>+'NEW Fall CHP by DISC'!R71/12</f>
        <v>0</v>
      </c>
      <c r="S71" s="1680">
        <f>SUM(P71:R71)</f>
        <v>171.79999999999998</v>
      </c>
      <c r="T71" s="505">
        <f t="shared" si="68"/>
        <v>0.12434554973821969</v>
      </c>
      <c r="U71" s="1680">
        <f>+'NEW Fall CHP by DISC'!U71/15</f>
        <v>140.6</v>
      </c>
      <c r="V71" s="1680">
        <f>+'NEW Fall CHP by DISC'!V71/15</f>
        <v>24.2</v>
      </c>
      <c r="W71" s="1680">
        <f>+'NEW Fall CHP by DISC'!W71/12</f>
        <v>0</v>
      </c>
      <c r="X71" s="1680">
        <f>SUM(U71:W71)</f>
        <v>164.79999999999998</v>
      </c>
      <c r="Y71" s="505">
        <f t="shared" si="69"/>
        <v>-4.0745052386495929E-2</v>
      </c>
      <c r="Z71" s="1680">
        <f>+'NEW Fall CHP by DISC'!Z71/15</f>
        <v>124.4</v>
      </c>
      <c r="AA71" s="1680">
        <f>+'NEW Fall CHP by DISC'!AA71/15</f>
        <v>24.8</v>
      </c>
      <c r="AB71" s="1680">
        <f>+'NEW Fall CHP by DISC'!AB71/12</f>
        <v>0</v>
      </c>
      <c r="AC71" s="1680">
        <f>SUM(Z71:AB71)</f>
        <v>149.20000000000002</v>
      </c>
      <c r="AD71" s="505">
        <f t="shared" si="70"/>
        <v>-9.4660194174757087E-2</v>
      </c>
      <c r="AE71" s="1680">
        <f>+'NEW Fall CHP by DISC'!AE71/15</f>
        <v>118.2</v>
      </c>
      <c r="AF71" s="1680">
        <f>+'NEW Fall CHP by DISC'!AF71/15</f>
        <v>23.6</v>
      </c>
      <c r="AG71" s="1680">
        <f>+'NEW Fall CHP by DISC'!AG71/12</f>
        <v>0</v>
      </c>
      <c r="AH71" s="1680">
        <f>SUM(AE71:AG71)</f>
        <v>141.80000000000001</v>
      </c>
      <c r="AI71" s="505">
        <f t="shared" si="71"/>
        <v>-4.9597855227882071E-2</v>
      </c>
      <c r="AJ71" s="1680">
        <f>+'NEW Fall CHP by DISC'!AJ71/15</f>
        <v>113.73333333333333</v>
      </c>
      <c r="AK71" s="1680">
        <f>+'NEW Fall CHP by DISC'!AK71/15</f>
        <v>25.2</v>
      </c>
      <c r="AL71" s="1680">
        <f>+'NEW Fall CHP by DISC'!AL71/12</f>
        <v>0</v>
      </c>
      <c r="AM71" s="1680">
        <f>SUM(AJ71:AL71)</f>
        <v>138.93333333333334</v>
      </c>
      <c r="AN71" s="491">
        <f t="shared" si="72"/>
        <v>-2.0216267042783315E-2</v>
      </c>
      <c r="AO71" s="1680">
        <f>+'NEW Fall CHP by DISC'!AO71/15</f>
        <v>90.266666666666666</v>
      </c>
      <c r="AP71" s="1680">
        <f>+'NEW Fall CHP by DISC'!AP71/15</f>
        <v>23</v>
      </c>
      <c r="AQ71" s="1680">
        <f>+'NEW Fall CHP by DISC'!AQ71/12</f>
        <v>0</v>
      </c>
      <c r="AR71" s="1680">
        <f>SUM(AO71:AQ71)</f>
        <v>113.26666666666667</v>
      </c>
      <c r="AS71" s="1679">
        <f t="shared" si="73"/>
        <v>-0.18474088291746643</v>
      </c>
    </row>
    <row r="72" spans="1:45" x14ac:dyDescent="0.25">
      <c r="A72" s="1319" t="s">
        <v>1047</v>
      </c>
      <c r="B72" s="1680">
        <f>+'NEW Fall CHP by DISC'!B72/15</f>
        <v>0</v>
      </c>
      <c r="C72" s="1680">
        <f>+'NEW Fall CHP by DISC'!C72/15</f>
        <v>11</v>
      </c>
      <c r="D72" s="1680">
        <f>+'NEW Fall CHP by DISC'!D72/12</f>
        <v>0</v>
      </c>
      <c r="E72" s="1678">
        <f>SUM(B72:D72)</f>
        <v>11</v>
      </c>
      <c r="F72" s="1680">
        <f>+'NEW Fall CHP by DISC'!F72/15</f>
        <v>4.4000000000000004</v>
      </c>
      <c r="G72" s="1680">
        <f>+'NEW Fall CHP by DISC'!G72/15</f>
        <v>14.8</v>
      </c>
      <c r="H72" s="1680">
        <f>+'NEW Fall CHP by DISC'!H72/12</f>
        <v>0</v>
      </c>
      <c r="I72" s="1680">
        <f>SUM(F72:H72)</f>
        <v>19.200000000000003</v>
      </c>
      <c r="J72" s="505">
        <f t="shared" si="66"/>
        <v>0.7454545454545457</v>
      </c>
      <c r="K72" s="1680">
        <f>+'NEW Fall CHP by DISC'!K72/15</f>
        <v>18.2</v>
      </c>
      <c r="L72" s="1680">
        <f>+'NEW Fall CHP by DISC'!L72/15</f>
        <v>10.199999999999999</v>
      </c>
      <c r="M72" s="1680">
        <f>+'NEW Fall CHP by DISC'!M72/12</f>
        <v>0</v>
      </c>
      <c r="N72" s="1680">
        <f>SUM(K72:M72)</f>
        <v>28.4</v>
      </c>
      <c r="O72" s="505">
        <f t="shared" si="67"/>
        <v>0.47916666666666635</v>
      </c>
      <c r="P72" s="1680">
        <f>+'NEW Fall CHP by DISC'!P72/15</f>
        <v>8.8000000000000007</v>
      </c>
      <c r="Q72" s="1680">
        <f>+'NEW Fall CHP by DISC'!Q72/15</f>
        <v>10.4</v>
      </c>
      <c r="R72" s="1680">
        <f>+'NEW Fall CHP by DISC'!R72/12</f>
        <v>0</v>
      </c>
      <c r="S72" s="1680">
        <f>SUM(P72:R72)</f>
        <v>19.200000000000003</v>
      </c>
      <c r="T72" s="505">
        <f t="shared" si="68"/>
        <v>-0.32394366197183083</v>
      </c>
      <c r="U72" s="1680">
        <f>+'NEW Fall CHP by DISC'!U72/15</f>
        <v>6.8</v>
      </c>
      <c r="V72" s="1680">
        <f>+'NEW Fall CHP by DISC'!V72/15</f>
        <v>4.5999999999999996</v>
      </c>
      <c r="W72" s="1680">
        <f>+'NEW Fall CHP by DISC'!W72/12</f>
        <v>0</v>
      </c>
      <c r="X72" s="1680">
        <f>SUM(U72:W72)</f>
        <v>11.399999999999999</v>
      </c>
      <c r="Y72" s="505">
        <f t="shared" si="69"/>
        <v>-0.40625000000000017</v>
      </c>
      <c r="Z72" s="1680">
        <f>+'NEW Fall CHP by DISC'!Z72/15</f>
        <v>0</v>
      </c>
      <c r="AA72" s="1680">
        <f>+'NEW Fall CHP by DISC'!AA72/15</f>
        <v>17.2</v>
      </c>
      <c r="AB72" s="1680">
        <f>+'NEW Fall CHP by DISC'!AB72/12</f>
        <v>0</v>
      </c>
      <c r="AC72" s="1680">
        <f>SUM(Z72:AB72)</f>
        <v>17.2</v>
      </c>
      <c r="AD72" s="505">
        <f t="shared" si="70"/>
        <v>0.50877192982456154</v>
      </c>
      <c r="AE72" s="1680">
        <f>+'NEW Fall CHP by DISC'!AE72/15</f>
        <v>0</v>
      </c>
      <c r="AF72" s="1680">
        <f>+'NEW Fall CHP by DISC'!AF72/15</f>
        <v>13</v>
      </c>
      <c r="AG72" s="1680">
        <f>+'NEW Fall CHP by DISC'!AG72/12</f>
        <v>0</v>
      </c>
      <c r="AH72" s="1680">
        <f>SUM(AE72:AG72)</f>
        <v>13</v>
      </c>
      <c r="AI72" s="505">
        <f t="shared" si="71"/>
        <v>-0.24418604651162787</v>
      </c>
      <c r="AJ72" s="1680">
        <f>+'NEW Fall CHP by DISC'!AJ72/15</f>
        <v>0</v>
      </c>
      <c r="AK72" s="1680">
        <f>+'NEW Fall CHP by DISC'!AK72/15</f>
        <v>8.4</v>
      </c>
      <c r="AL72" s="1680">
        <f>+'NEW Fall CHP by DISC'!AL72/12</f>
        <v>0</v>
      </c>
      <c r="AM72" s="1680">
        <f>SUM(AJ72:AL72)</f>
        <v>8.4</v>
      </c>
      <c r="AN72" s="491">
        <f t="shared" si="72"/>
        <v>-0.35384615384615381</v>
      </c>
      <c r="AO72" s="1680">
        <f>+'NEW Fall CHP by DISC'!AO72/15</f>
        <v>14.2</v>
      </c>
      <c r="AP72" s="1680">
        <f>+'NEW Fall CHP by DISC'!AP72/15</f>
        <v>19</v>
      </c>
      <c r="AQ72" s="1680">
        <f>+'NEW Fall CHP by DISC'!AQ72/12</f>
        <v>0</v>
      </c>
      <c r="AR72" s="1680">
        <f>SUM(AO72:AQ72)</f>
        <v>33.200000000000003</v>
      </c>
      <c r="AS72" s="1679">
        <f t="shared" si="73"/>
        <v>2.9523809523809526</v>
      </c>
    </row>
    <row r="73" spans="1:45" x14ac:dyDescent="0.25">
      <c r="A73" s="1319" t="s">
        <v>1048</v>
      </c>
      <c r="B73" s="1680">
        <f>+'NEW Fall CHP by DISC'!B73/15</f>
        <v>33.6</v>
      </c>
      <c r="C73" s="1680">
        <f>+'NEW Fall CHP by DISC'!C73/15</f>
        <v>4.2</v>
      </c>
      <c r="D73" s="1680">
        <f>+'NEW Fall CHP by DISC'!D73/12</f>
        <v>0</v>
      </c>
      <c r="E73" s="1678">
        <f>SUM(B73:D73)</f>
        <v>37.800000000000004</v>
      </c>
      <c r="F73" s="1680">
        <f>+'NEW Fall CHP by DISC'!F73/15</f>
        <v>33.6</v>
      </c>
      <c r="G73" s="1680">
        <f>+'NEW Fall CHP by DISC'!G73/15</f>
        <v>8.1999999999999993</v>
      </c>
      <c r="H73" s="1680">
        <f>+'NEW Fall CHP by DISC'!H73/12</f>
        <v>0</v>
      </c>
      <c r="I73" s="1680">
        <f>SUM(F73:H73)</f>
        <v>41.8</v>
      </c>
      <c r="J73" s="505">
        <f t="shared" si="66"/>
        <v>0.10582010582010562</v>
      </c>
      <c r="K73" s="1680">
        <f>+'NEW Fall CHP by DISC'!K73/15</f>
        <v>34.4</v>
      </c>
      <c r="L73" s="1680">
        <f>+'NEW Fall CHP by DISC'!L73/15</f>
        <v>9.8000000000000007</v>
      </c>
      <c r="M73" s="1680">
        <f>+'NEW Fall CHP by DISC'!M73/12</f>
        <v>0</v>
      </c>
      <c r="N73" s="1680">
        <f>SUM(K73:M73)</f>
        <v>44.2</v>
      </c>
      <c r="O73" s="505">
        <f t="shared" si="67"/>
        <v>5.7416267942583872E-2</v>
      </c>
      <c r="P73" s="1680">
        <f>+'NEW Fall CHP by DISC'!P73/15</f>
        <v>32.799999999999997</v>
      </c>
      <c r="Q73" s="1680">
        <f>+'NEW Fall CHP by DISC'!Q73/15</f>
        <v>8.4</v>
      </c>
      <c r="R73" s="1680">
        <f>+'NEW Fall CHP by DISC'!R73/12</f>
        <v>0</v>
      </c>
      <c r="S73" s="1680">
        <f>SUM(P73:R73)</f>
        <v>41.199999999999996</v>
      </c>
      <c r="T73" s="505">
        <f t="shared" si="68"/>
        <v>-6.7873303167420976E-2</v>
      </c>
      <c r="U73" s="1680">
        <f>+'NEW Fall CHP by DISC'!U73/15</f>
        <v>35</v>
      </c>
      <c r="V73" s="1680">
        <f>+'NEW Fall CHP by DISC'!V73/15</f>
        <v>5.8</v>
      </c>
      <c r="W73" s="1680">
        <f>+'NEW Fall CHP by DISC'!W73/12</f>
        <v>0</v>
      </c>
      <c r="X73" s="1680">
        <f>SUM(U73:W73)</f>
        <v>40.799999999999997</v>
      </c>
      <c r="Y73" s="505">
        <f t="shared" si="69"/>
        <v>-9.7087378640776361E-3</v>
      </c>
      <c r="Z73" s="1680">
        <f>+'NEW Fall CHP by DISC'!Z73/15</f>
        <v>37</v>
      </c>
      <c r="AA73" s="1680">
        <f>+'NEW Fall CHP by DISC'!AA73/15</f>
        <v>10.199999999999999</v>
      </c>
      <c r="AB73" s="1680">
        <f>+'NEW Fall CHP by DISC'!AB73/12</f>
        <v>0</v>
      </c>
      <c r="AC73" s="1680">
        <f>SUM(Z73:AB73)</f>
        <v>47.2</v>
      </c>
      <c r="AD73" s="505">
        <f t="shared" si="70"/>
        <v>0.15686274509803935</v>
      </c>
      <c r="AE73" s="1680">
        <f>+'NEW Fall CHP by DISC'!AE73/15</f>
        <v>23.8</v>
      </c>
      <c r="AF73" s="1680">
        <f>+'NEW Fall CHP by DISC'!AF73/15</f>
        <v>7.8</v>
      </c>
      <c r="AG73" s="1680">
        <f>+'NEW Fall CHP by DISC'!AG73/12</f>
        <v>0</v>
      </c>
      <c r="AH73" s="1680">
        <f>SUM(AE73:AG73)</f>
        <v>31.6</v>
      </c>
      <c r="AI73" s="505">
        <f t="shared" si="71"/>
        <v>-0.33050847457627119</v>
      </c>
      <c r="AJ73" s="1680">
        <f>+'NEW Fall CHP by DISC'!AJ73/15</f>
        <v>18.600000000000001</v>
      </c>
      <c r="AK73" s="1680">
        <f>+'NEW Fall CHP by DISC'!AK73/15</f>
        <v>4.4000000000000004</v>
      </c>
      <c r="AL73" s="1680">
        <f>+'NEW Fall CHP by DISC'!AL73/12</f>
        <v>0</v>
      </c>
      <c r="AM73" s="1680">
        <f>SUM(AJ73:AL73)</f>
        <v>23</v>
      </c>
      <c r="AN73" s="491">
        <f t="shared" si="72"/>
        <v>-0.27215189873417722</v>
      </c>
      <c r="AO73" s="1680">
        <f>+'NEW Fall CHP by DISC'!AO73/15</f>
        <v>26.8</v>
      </c>
      <c r="AP73" s="1680">
        <f>+'NEW Fall CHP by DISC'!AP73/15</f>
        <v>3.8</v>
      </c>
      <c r="AQ73" s="1680">
        <f>+'NEW Fall CHP by DISC'!AQ73/12</f>
        <v>0</v>
      </c>
      <c r="AR73" s="1680">
        <f>SUM(AO73:AQ73)</f>
        <v>30.6</v>
      </c>
      <c r="AS73" s="1679">
        <f t="shared" si="73"/>
        <v>0.33043478260869569</v>
      </c>
    </row>
    <row r="74" spans="1:45" x14ac:dyDescent="0.25">
      <c r="A74" s="1319" t="s">
        <v>1437</v>
      </c>
      <c r="B74" s="1680">
        <f>+'NEW Fall CHP by DISC'!B74/15</f>
        <v>0</v>
      </c>
      <c r="C74" s="1680">
        <f>+'NEW Fall CHP by DISC'!C74/15</f>
        <v>0</v>
      </c>
      <c r="D74" s="1680">
        <f>+'NEW Fall CHP by DISC'!D74/12</f>
        <v>0</v>
      </c>
      <c r="E74" s="1678">
        <f>SUM(B74:D74)</f>
        <v>0</v>
      </c>
      <c r="F74" s="1680">
        <f>+'NEW Fall CHP by DISC'!F74/15</f>
        <v>8</v>
      </c>
      <c r="G74" s="1680">
        <f>+'NEW Fall CHP by DISC'!G74/15</f>
        <v>1</v>
      </c>
      <c r="H74" s="1680">
        <f>+'NEW Fall CHP by DISC'!H74/12</f>
        <v>0</v>
      </c>
      <c r="I74" s="1680">
        <f>SUM(F74:H74)</f>
        <v>9</v>
      </c>
      <c r="J74" s="505">
        <f t="shared" si="66"/>
        <v>1</v>
      </c>
      <c r="K74" s="1680">
        <f>+'NEW Fall CHP by DISC'!K74/15</f>
        <v>0</v>
      </c>
      <c r="L74" s="1680">
        <f>+'NEW Fall CHP by DISC'!L74/15</f>
        <v>2.8</v>
      </c>
      <c r="M74" s="1680">
        <f>+'NEW Fall CHP by DISC'!M74/12</f>
        <v>0</v>
      </c>
      <c r="N74" s="1680">
        <f>SUM(K74:M74)</f>
        <v>2.8</v>
      </c>
      <c r="O74" s="505">
        <f t="shared" si="67"/>
        <v>-0.68888888888888888</v>
      </c>
      <c r="P74" s="1680">
        <f>+'NEW Fall CHP by DISC'!P74/15</f>
        <v>5.8</v>
      </c>
      <c r="Q74" s="1680">
        <f>+'NEW Fall CHP by DISC'!Q74/15</f>
        <v>0</v>
      </c>
      <c r="R74" s="1680">
        <f>+'NEW Fall CHP by DISC'!R74/12</f>
        <v>0</v>
      </c>
      <c r="S74" s="1680">
        <f>SUM(P74:R74)</f>
        <v>5.8</v>
      </c>
      <c r="T74" s="505">
        <f t="shared" si="68"/>
        <v>1.0714285714285714</v>
      </c>
      <c r="U74" s="1680">
        <f>+'NEW Fall CHP by DISC'!U74/15</f>
        <v>2.6</v>
      </c>
      <c r="V74" s="1680">
        <f>+'NEW Fall CHP by DISC'!V74/15</f>
        <v>1.8</v>
      </c>
      <c r="W74" s="1680">
        <f>+'NEW Fall CHP by DISC'!W74/12</f>
        <v>0</v>
      </c>
      <c r="X74" s="1680">
        <f>SUM(U74:W74)</f>
        <v>4.4000000000000004</v>
      </c>
      <c r="Y74" s="505">
        <f t="shared" si="69"/>
        <v>-0.24137931034482751</v>
      </c>
      <c r="Z74" s="1680">
        <f>+'NEW Fall CHP by DISC'!Z74/15</f>
        <v>8</v>
      </c>
      <c r="AA74" s="1680">
        <f>+'NEW Fall CHP by DISC'!AA74/15</f>
        <v>0</v>
      </c>
      <c r="AB74" s="1680">
        <f>+'NEW Fall CHP by DISC'!AB74/12</f>
        <v>0</v>
      </c>
      <c r="AC74" s="1680">
        <f>SUM(Z74:AB74)</f>
        <v>8</v>
      </c>
      <c r="AD74" s="505">
        <f t="shared" si="70"/>
        <v>0.81818181818181801</v>
      </c>
      <c r="AE74" s="1680">
        <f>+'NEW Fall CHP by DISC'!AE74/15</f>
        <v>4.5999999999999996</v>
      </c>
      <c r="AF74" s="1680">
        <f>+'NEW Fall CHP by DISC'!AF74/15</f>
        <v>0</v>
      </c>
      <c r="AG74" s="1680">
        <f>+'NEW Fall CHP by DISC'!AG74/12</f>
        <v>0</v>
      </c>
      <c r="AH74" s="1680">
        <f>SUM(AE74:AG74)</f>
        <v>4.5999999999999996</v>
      </c>
      <c r="AI74" s="505">
        <f t="shared" si="71"/>
        <v>-0.42500000000000004</v>
      </c>
      <c r="AJ74" s="1680">
        <f>+'NEW Fall CHP by DISC'!AJ74/15</f>
        <v>10.6</v>
      </c>
      <c r="AK74" s="1680">
        <f>+'NEW Fall CHP by DISC'!AK74/15</f>
        <v>0</v>
      </c>
      <c r="AL74" s="1680">
        <f>+'NEW Fall CHP by DISC'!AL74/12</f>
        <v>0</v>
      </c>
      <c r="AM74" s="1680">
        <f>SUM(AJ74:AL74)</f>
        <v>10.6</v>
      </c>
      <c r="AN74" s="491">
        <f t="shared" si="72"/>
        <v>1.3043478260869565</v>
      </c>
      <c r="AO74" s="1680">
        <f>+'NEW Fall CHP by DISC'!AO74/15</f>
        <v>9.8000000000000007</v>
      </c>
      <c r="AP74" s="1680">
        <f>+'NEW Fall CHP by DISC'!AP74/15</f>
        <v>0</v>
      </c>
      <c r="AQ74" s="1680">
        <f>+'NEW Fall CHP by DISC'!AQ74/12</f>
        <v>0</v>
      </c>
      <c r="AR74" s="1680">
        <f>SUM(AO74:AQ74)</f>
        <v>9.8000000000000007</v>
      </c>
      <c r="AS74" s="1679">
        <f t="shared" si="73"/>
        <v>-7.5471698113207447E-2</v>
      </c>
    </row>
    <row r="75" spans="1:45" s="484" customFormat="1" ht="13.8" x14ac:dyDescent="0.25">
      <c r="A75" s="1345" t="s">
        <v>1015</v>
      </c>
      <c r="B75" s="1776">
        <f t="shared" ref="B75:I75" si="74">SUM(B70:B74)</f>
        <v>113.20000000000002</v>
      </c>
      <c r="C75" s="1776">
        <f t="shared" si="74"/>
        <v>46.533333333333331</v>
      </c>
      <c r="D75" s="1776">
        <f t="shared" si="74"/>
        <v>0</v>
      </c>
      <c r="E75" s="495">
        <f t="shared" si="74"/>
        <v>159.73333333333335</v>
      </c>
      <c r="F75" s="1776">
        <f t="shared" si="74"/>
        <v>142.4</v>
      </c>
      <c r="G75" s="1776">
        <f t="shared" si="74"/>
        <v>54.2</v>
      </c>
      <c r="H75" s="1776">
        <f t="shared" si="74"/>
        <v>0</v>
      </c>
      <c r="I75" s="1776">
        <f t="shared" si="74"/>
        <v>196.60000000000002</v>
      </c>
      <c r="J75" s="586">
        <f t="shared" si="66"/>
        <v>0.23080133555926546</v>
      </c>
      <c r="K75" s="1776">
        <f>SUM(K70:K74)</f>
        <v>167</v>
      </c>
      <c r="L75" s="1776">
        <f>SUM(L70:L74)</f>
        <v>61.199999999999989</v>
      </c>
      <c r="M75" s="1776">
        <f>SUM(M70:M74)</f>
        <v>0</v>
      </c>
      <c r="N75" s="1776">
        <f>SUM(N70:N74)</f>
        <v>228.20000000000005</v>
      </c>
      <c r="O75" s="586">
        <f t="shared" si="67"/>
        <v>0.1607324516785352</v>
      </c>
      <c r="P75" s="1776">
        <f>SUM(P70:P74)</f>
        <v>193.60000000000002</v>
      </c>
      <c r="Q75" s="1776">
        <f>SUM(Q70:Q74)</f>
        <v>44.4</v>
      </c>
      <c r="R75" s="1776">
        <f>SUM(R70:R74)</f>
        <v>0</v>
      </c>
      <c r="S75" s="1776">
        <f>SUM(S70:S74)</f>
        <v>238</v>
      </c>
      <c r="T75" s="586">
        <f t="shared" si="68"/>
        <v>4.2944785276073413E-2</v>
      </c>
      <c r="U75" s="1776">
        <f>SUM(U70:U74)</f>
        <v>185</v>
      </c>
      <c r="V75" s="1776">
        <f>SUM(V70:V74)</f>
        <v>36.399999999999991</v>
      </c>
      <c r="W75" s="1776">
        <f>SUM(W70:W74)</f>
        <v>0</v>
      </c>
      <c r="X75" s="1776">
        <f>SUM(X70:X74)</f>
        <v>221.4</v>
      </c>
      <c r="Y75" s="586">
        <f t="shared" si="69"/>
        <v>-6.974789915966384E-2</v>
      </c>
      <c r="Z75" s="1776">
        <f>SUM(Z70:Z74)</f>
        <v>169.4</v>
      </c>
      <c r="AA75" s="1776">
        <f>SUM(AA70:AA74)</f>
        <v>52.2</v>
      </c>
      <c r="AB75" s="1776">
        <f>SUM(AB70:AB74)</f>
        <v>0</v>
      </c>
      <c r="AC75" s="1776">
        <f>SUM(AC70:AC74)</f>
        <v>221.60000000000002</v>
      </c>
      <c r="AD75" s="586">
        <f t="shared" si="70"/>
        <v>9.0334236675707795E-4</v>
      </c>
      <c r="AE75" s="1776">
        <f>SUM(AE70:AE74)</f>
        <v>146.6</v>
      </c>
      <c r="AF75" s="1776">
        <f>SUM(AF70:AF74)</f>
        <v>44.4</v>
      </c>
      <c r="AG75" s="1776">
        <f>SUM(AG70:AG74)</f>
        <v>0</v>
      </c>
      <c r="AH75" s="1776">
        <f>SUM(AH70:AH74)</f>
        <v>191</v>
      </c>
      <c r="AI75" s="586">
        <f t="shared" si="71"/>
        <v>-0.13808664259927805</v>
      </c>
      <c r="AJ75" s="1776">
        <f>SUM(AJ70:AJ74)</f>
        <v>147.53333333333333</v>
      </c>
      <c r="AK75" s="1776">
        <f>SUM(AK70:AK74)</f>
        <v>38</v>
      </c>
      <c r="AL75" s="1776">
        <f>SUM(AL70:AL74)</f>
        <v>0</v>
      </c>
      <c r="AM75" s="1776">
        <f>SUM(AM70:AM74)</f>
        <v>185.53333333333333</v>
      </c>
      <c r="AN75" s="496">
        <f t="shared" si="72"/>
        <v>-2.8621291448516589E-2</v>
      </c>
      <c r="AO75" s="1776">
        <f>SUM(AO70:AO74)</f>
        <v>141.06666666666669</v>
      </c>
      <c r="AP75" s="1776">
        <f>SUM(AP70:AP74)</f>
        <v>45.8</v>
      </c>
      <c r="AQ75" s="1776">
        <f>SUM(AQ70:AQ74)</f>
        <v>0</v>
      </c>
      <c r="AR75" s="1776">
        <f>SUM(AR70:AR74)</f>
        <v>186.86666666666667</v>
      </c>
      <c r="AS75" s="1772">
        <f t="shared" si="73"/>
        <v>7.186489399928186E-3</v>
      </c>
    </row>
    <row r="76" spans="1:45" x14ac:dyDescent="0.25">
      <c r="A76" s="1318" t="s">
        <v>418</v>
      </c>
      <c r="B76" s="1873"/>
      <c r="C76" s="1874"/>
      <c r="D76" s="1874"/>
      <c r="E76" s="1875"/>
      <c r="F76" s="1873"/>
      <c r="G76" s="1874"/>
      <c r="H76" s="1874"/>
      <c r="I76" s="1874"/>
      <c r="J76" s="281"/>
      <c r="K76" s="1873"/>
      <c r="L76" s="1874"/>
      <c r="M76" s="1874"/>
      <c r="N76" s="1874"/>
      <c r="O76" s="281"/>
      <c r="P76" s="1873"/>
      <c r="Q76" s="1874"/>
      <c r="R76" s="1874"/>
      <c r="S76" s="1874"/>
      <c r="T76" s="281"/>
      <c r="U76" s="1873"/>
      <c r="V76" s="1874"/>
      <c r="W76" s="1874"/>
      <c r="X76" s="1874"/>
      <c r="Y76" s="281"/>
      <c r="Z76" s="1873"/>
      <c r="AA76" s="1874"/>
      <c r="AB76" s="1874"/>
      <c r="AC76" s="1874"/>
      <c r="AD76" s="281"/>
      <c r="AE76" s="1873"/>
      <c r="AF76" s="1874"/>
      <c r="AG76" s="1874"/>
      <c r="AH76" s="1874"/>
      <c r="AI76" s="281"/>
      <c r="AJ76" s="1873"/>
      <c r="AK76" s="1874"/>
      <c r="AL76" s="1874"/>
      <c r="AM76" s="1874"/>
      <c r="AN76" s="438"/>
      <c r="AO76" s="1873"/>
      <c r="AP76" s="1874"/>
      <c r="AQ76" s="1874"/>
      <c r="AR76" s="1874"/>
      <c r="AS76" s="1875"/>
    </row>
    <row r="77" spans="1:45" x14ac:dyDescent="0.25">
      <c r="A77" s="1319" t="s">
        <v>1674</v>
      </c>
      <c r="B77" s="1680">
        <f>+'NEW Fall CHP by DISC'!B77/15</f>
        <v>0</v>
      </c>
      <c r="C77" s="1680">
        <f>+'NEW Fall CHP by DISC'!C77/15</f>
        <v>0</v>
      </c>
      <c r="D77" s="1680">
        <f>+'NEW Fall CHP by DISC'!D77/12</f>
        <v>0</v>
      </c>
      <c r="E77" s="1678">
        <f>SUM(B77:D77)</f>
        <v>0</v>
      </c>
      <c r="F77" s="1680">
        <f>+'NEW Fall CHP by DISC'!F77/15</f>
        <v>0</v>
      </c>
      <c r="G77" s="1680">
        <f>+'NEW Fall CHP by DISC'!G77/15</f>
        <v>0</v>
      </c>
      <c r="H77" s="1680">
        <f>+'NEW Fall CHP by DISC'!H77/12</f>
        <v>0</v>
      </c>
      <c r="I77" s="1680">
        <f>SUM(F77:H77)</f>
        <v>0</v>
      </c>
      <c r="J77" s="505" t="str">
        <f t="shared" ref="J77:J84" si="75">IF(E77&gt;0,(I77-E77)/E77,(IF(I77=0,"N/A",100%)))</f>
        <v>N/A</v>
      </c>
      <c r="K77" s="1680">
        <f>+'NEW Fall CHP by DISC'!K77/15</f>
        <v>0</v>
      </c>
      <c r="L77" s="1680">
        <f>+'NEW Fall CHP by DISC'!L77/15</f>
        <v>0</v>
      </c>
      <c r="M77" s="1680">
        <f>+'NEW Fall CHP by DISC'!M77/12</f>
        <v>0</v>
      </c>
      <c r="N77" s="1680">
        <f>SUM(K77:M77)</f>
        <v>0</v>
      </c>
      <c r="O77" s="505" t="str">
        <f t="shared" ref="O77:O84" si="76">IF(I77&gt;0,(N77-I77)/I77,(IF(N77=0,"N/A",100%)))</f>
        <v>N/A</v>
      </c>
      <c r="P77" s="1680">
        <f>+'NEW Fall CHP by DISC'!P77/15</f>
        <v>0</v>
      </c>
      <c r="Q77" s="1680">
        <f>+'NEW Fall CHP by DISC'!Q77/15</f>
        <v>0</v>
      </c>
      <c r="R77" s="1680">
        <f>+'NEW Fall CHP by DISC'!R77/12</f>
        <v>0</v>
      </c>
      <c r="S77" s="1680">
        <f>SUM(P77:R77)</f>
        <v>0</v>
      </c>
      <c r="T77" s="505" t="str">
        <f t="shared" ref="T77:T84" si="77">IF(N77&gt;0,(S77-N77)/N77,(IF(S77=0,"N/A",100%)))</f>
        <v>N/A</v>
      </c>
      <c r="U77" s="1680">
        <f>+'NEW Fall CHP by DISC'!U77/15</f>
        <v>0</v>
      </c>
      <c r="V77" s="1680">
        <f>+'NEW Fall CHP by DISC'!V77/15</f>
        <v>0</v>
      </c>
      <c r="W77" s="1680">
        <f>+'NEW Fall CHP by DISC'!W77/12</f>
        <v>0</v>
      </c>
      <c r="X77" s="1680">
        <f t="shared" ref="X77:X82" si="78">SUM(U77:W77)</f>
        <v>0</v>
      </c>
      <c r="Y77" s="505" t="str">
        <f t="shared" ref="Y77:Y84" si="79">IF(S77&gt;0,(X77-S77)/S77,(IF(X77=0,"N/A",100%)))</f>
        <v>N/A</v>
      </c>
      <c r="Z77" s="1680">
        <f>+'NEW Fall CHP by DISC'!Z77/15</f>
        <v>0</v>
      </c>
      <c r="AA77" s="1680">
        <f>+'NEW Fall CHP by DISC'!AA77/15</f>
        <v>0</v>
      </c>
      <c r="AB77" s="1680">
        <f>+'NEW Fall CHP by DISC'!AB77/12</f>
        <v>0</v>
      </c>
      <c r="AC77" s="1680">
        <f t="shared" ref="AC77:AC82" si="80">SUM(Z77:AB77)</f>
        <v>0</v>
      </c>
      <c r="AD77" s="505" t="str">
        <f t="shared" ref="AD77:AD84" si="81">IF(X77&gt;0,(AC77-X77)/X77,(IF(AC77=0,"N/A",100%)))</f>
        <v>N/A</v>
      </c>
      <c r="AE77" s="1680">
        <f>+'NEW Fall CHP by DISC'!AE77/15</f>
        <v>0</v>
      </c>
      <c r="AF77" s="1680">
        <f>+'NEW Fall CHP by DISC'!AF77/15</f>
        <v>0</v>
      </c>
      <c r="AG77" s="1680">
        <f>+'NEW Fall CHP by DISC'!AG77/12</f>
        <v>0</v>
      </c>
      <c r="AH77" s="1680">
        <f t="shared" ref="AH77:AH82" si="82">SUM(AE77:AG77)</f>
        <v>0</v>
      </c>
      <c r="AI77" s="505" t="str">
        <f t="shared" ref="AI77:AI84" si="83">IF(AC77&gt;0,(AH77-AC77)/AC77,(IF(AH77=0,"N/A",100%)))</f>
        <v>N/A</v>
      </c>
      <c r="AJ77" s="1680">
        <f>+'NEW Fall CHP by DISC'!AJ77/15</f>
        <v>0</v>
      </c>
      <c r="AK77" s="1680">
        <f>+'NEW Fall CHP by DISC'!AK77/15</f>
        <v>0</v>
      </c>
      <c r="AL77" s="1680">
        <f>+'NEW Fall CHP by DISC'!AL77/12</f>
        <v>0</v>
      </c>
      <c r="AM77" s="1680">
        <f t="shared" ref="AM77:AM82" si="84">SUM(AJ77:AL77)</f>
        <v>0</v>
      </c>
      <c r="AN77" s="491" t="str">
        <f t="shared" ref="AN77:AN84" si="85">IF(AH77&gt;0,(AM77-AH77)/AH77,(IF(AM77=0,"N/A",100%)))</f>
        <v>N/A</v>
      </c>
      <c r="AO77" s="1680">
        <f>+'NEW Fall CHP by DISC'!AO77/15</f>
        <v>3.4</v>
      </c>
      <c r="AP77" s="1680">
        <f>+'NEW Fall CHP by DISC'!AP77/15</f>
        <v>0</v>
      </c>
      <c r="AQ77" s="1680">
        <f>+'NEW Fall CHP by DISC'!AQ77/12</f>
        <v>0</v>
      </c>
      <c r="AR77" s="1680">
        <f t="shared" ref="AR77:AR82" si="86">SUM(AO77:AQ77)</f>
        <v>3.4</v>
      </c>
      <c r="AS77" s="1679">
        <f t="shared" ref="AS77:AS84" si="87">IF(AM77&gt;0,(AR77-AM77)/AM77,(IF(AR77=0,"N/A",100%)))</f>
        <v>1</v>
      </c>
    </row>
    <row r="78" spans="1:45" x14ac:dyDescent="0.25">
      <c r="A78" s="1319" t="s">
        <v>1044</v>
      </c>
      <c r="B78" s="1680">
        <f>+'NEW Fall CHP by DISC'!B78/15</f>
        <v>178.86666666666667</v>
      </c>
      <c r="C78" s="1680">
        <f>+'NEW Fall CHP by DISC'!C78/15</f>
        <v>9.6666666666666661</v>
      </c>
      <c r="D78" s="1680">
        <f>+'NEW Fall CHP by DISC'!D78/12</f>
        <v>0</v>
      </c>
      <c r="E78" s="1678">
        <f>SUM(B78:D78)</f>
        <v>188.53333333333333</v>
      </c>
      <c r="F78" s="1680">
        <f>+'NEW Fall CHP by DISC'!F78/15</f>
        <v>207.73333333333332</v>
      </c>
      <c r="G78" s="1680">
        <f>+'NEW Fall CHP by DISC'!G78/15</f>
        <v>12.2</v>
      </c>
      <c r="H78" s="1680">
        <f>+'NEW Fall CHP by DISC'!H78/12</f>
        <v>0</v>
      </c>
      <c r="I78" s="1680">
        <f>SUM(F78:H78)</f>
        <v>219.93333333333331</v>
      </c>
      <c r="J78" s="505">
        <f>IF(E78&gt;0,(I78-E78)/E78,(IF(I78=0,"N/A",100%)))</f>
        <v>0.16654879773691644</v>
      </c>
      <c r="K78" s="1680">
        <f>+'NEW Fall CHP by DISC'!K78/15</f>
        <v>236.06666666666666</v>
      </c>
      <c r="L78" s="1680">
        <f>+'NEW Fall CHP by DISC'!L78/15</f>
        <v>13</v>
      </c>
      <c r="M78" s="1680">
        <f>+'NEW Fall CHP by DISC'!M78/12</f>
        <v>0</v>
      </c>
      <c r="N78" s="1680">
        <f>SUM(K78:M78)</f>
        <v>249.06666666666666</v>
      </c>
      <c r="O78" s="505">
        <f>IF(I78&gt;0,(N78-I78)/I78,(IF(N78=0,"N/A",100%)))</f>
        <v>0.1324643831464081</v>
      </c>
      <c r="P78" s="1680">
        <f>+'NEW Fall CHP by DISC'!P78/15</f>
        <v>262.33333333333331</v>
      </c>
      <c r="Q78" s="1680">
        <f>+'NEW Fall CHP by DISC'!Q78/15</f>
        <v>13.6</v>
      </c>
      <c r="R78" s="1680">
        <f>+'NEW Fall CHP by DISC'!R78/12</f>
        <v>0</v>
      </c>
      <c r="S78" s="1680">
        <f>SUM(P78:R78)</f>
        <v>275.93333333333334</v>
      </c>
      <c r="T78" s="505">
        <f>IF(N78&gt;0,(S78-N78)/N78,(IF(S78=0,"N/A",100%)))</f>
        <v>0.10786937901498933</v>
      </c>
      <c r="U78" s="1680">
        <f>+'NEW Fall CHP by DISC'!U78/15</f>
        <v>249.73333333333332</v>
      </c>
      <c r="V78" s="1680">
        <f>+'NEW Fall CHP by DISC'!V78/15</f>
        <v>11.6</v>
      </c>
      <c r="W78" s="1680">
        <f>+'NEW Fall CHP by DISC'!W78/12</f>
        <v>0</v>
      </c>
      <c r="X78" s="1680">
        <f t="shared" si="78"/>
        <v>261.33333333333331</v>
      </c>
      <c r="Y78" s="505">
        <f>IF(S78&gt;0,(X78-S78)/S78,(IF(X78=0,"N/A",100%)))</f>
        <v>-5.2911331239429898E-2</v>
      </c>
      <c r="Z78" s="1680">
        <f>+'NEW Fall CHP by DISC'!Z78/15</f>
        <v>240.53333333333333</v>
      </c>
      <c r="AA78" s="1680">
        <f>+'NEW Fall CHP by DISC'!AA78/15</f>
        <v>18.399999999999999</v>
      </c>
      <c r="AB78" s="1680">
        <f>+'NEW Fall CHP by DISC'!AB78/12</f>
        <v>0</v>
      </c>
      <c r="AC78" s="1680">
        <f t="shared" si="80"/>
        <v>258.93333333333334</v>
      </c>
      <c r="AD78" s="505">
        <f>IF(X78&gt;0,(AC78-X78)/X78,(IF(AC78=0,"N/A",100%)))</f>
        <v>-9.1836734693876692E-3</v>
      </c>
      <c r="AE78" s="1680">
        <f>+'NEW Fall CHP by DISC'!AE78/15</f>
        <v>220.73333333333332</v>
      </c>
      <c r="AF78" s="1680">
        <f>+'NEW Fall CHP by DISC'!AF78/15</f>
        <v>12.2</v>
      </c>
      <c r="AG78" s="1680">
        <f>+'NEW Fall CHP by DISC'!AG78/12</f>
        <v>0</v>
      </c>
      <c r="AH78" s="1680">
        <f t="shared" si="82"/>
        <v>232.93333333333331</v>
      </c>
      <c r="AI78" s="505">
        <f>IF(AC78&gt;0,(AH78-AC78)/AC78,(IF(AH78=0,"N/A",100%)))</f>
        <v>-0.100411946446962</v>
      </c>
      <c r="AJ78" s="1680">
        <f>+'NEW Fall CHP by DISC'!AJ78/15</f>
        <v>201.4</v>
      </c>
      <c r="AK78" s="1680">
        <f>+'NEW Fall CHP by DISC'!AK78/15</f>
        <v>11.4</v>
      </c>
      <c r="AL78" s="1680">
        <f>+'NEW Fall CHP by DISC'!AL78/12</f>
        <v>0</v>
      </c>
      <c r="AM78" s="1680">
        <f t="shared" si="84"/>
        <v>212.8</v>
      </c>
      <c r="AN78" s="491">
        <f>IF(AH78&gt;0,(AM78-AH78)/AH78,(IF(AM78=0,"N/A",100%)))</f>
        <v>-8.6433886662850457E-2</v>
      </c>
      <c r="AO78" s="1680">
        <f>+'NEW Fall CHP by DISC'!AO78/15</f>
        <v>206.13333333333333</v>
      </c>
      <c r="AP78" s="1680">
        <f>+'NEW Fall CHP by DISC'!AP78/15</f>
        <v>11.666666666666666</v>
      </c>
      <c r="AQ78" s="1680">
        <f>+'NEW Fall CHP by DISC'!AQ78/12</f>
        <v>0</v>
      </c>
      <c r="AR78" s="1680">
        <f t="shared" si="86"/>
        <v>217.79999999999998</v>
      </c>
      <c r="AS78" s="1679">
        <f>IF(AM78&gt;0,(AR78-AM78)/AM78,(IF(AR78=0,"N/A",100%)))</f>
        <v>2.3496240601503626E-2</v>
      </c>
    </row>
    <row r="79" spans="1:45" x14ac:dyDescent="0.25">
      <c r="A79" s="1319" t="s">
        <v>1555</v>
      </c>
      <c r="B79" s="1680">
        <f>+'NEW Fall CHP by DISC'!B79/15</f>
        <v>0</v>
      </c>
      <c r="C79" s="1680">
        <f>+'NEW Fall CHP by DISC'!C79/15</f>
        <v>0</v>
      </c>
      <c r="D79" s="1680">
        <f>+'NEW Fall CHP by DISC'!D79/12</f>
        <v>0</v>
      </c>
      <c r="E79" s="1678">
        <f>SUM(B79:D79)</f>
        <v>0</v>
      </c>
      <c r="F79" s="1680">
        <f>+'NEW Fall CHP by DISC'!F79/15</f>
        <v>0</v>
      </c>
      <c r="G79" s="1680">
        <f>+'NEW Fall CHP by DISC'!G79/15</f>
        <v>0</v>
      </c>
      <c r="H79" s="1680">
        <f>+'NEW Fall CHP by DISC'!H79/12</f>
        <v>0</v>
      </c>
      <c r="I79" s="1680">
        <f>SUM(F79:H79)</f>
        <v>0</v>
      </c>
      <c r="J79" s="505" t="str">
        <f t="shared" si="75"/>
        <v>N/A</v>
      </c>
      <c r="K79" s="1680">
        <f>+'NEW Fall CHP by DISC'!K79/15</f>
        <v>0</v>
      </c>
      <c r="L79" s="1680">
        <f>+'NEW Fall CHP by DISC'!L79/15</f>
        <v>0</v>
      </c>
      <c r="M79" s="1680">
        <f>+'NEW Fall CHP by DISC'!M79/12</f>
        <v>0</v>
      </c>
      <c r="N79" s="1680">
        <f>SUM(K79:M79)</f>
        <v>0</v>
      </c>
      <c r="O79" s="505" t="str">
        <f t="shared" si="76"/>
        <v>N/A</v>
      </c>
      <c r="P79" s="1680">
        <f>+'NEW Fall CHP by DISC'!P79/15</f>
        <v>0</v>
      </c>
      <c r="Q79" s="1680">
        <f>+'NEW Fall CHP by DISC'!Q79/15</f>
        <v>0</v>
      </c>
      <c r="R79" s="1680">
        <f>+'NEW Fall CHP by DISC'!R79/12</f>
        <v>0</v>
      </c>
      <c r="S79" s="1680">
        <f>SUM(P79:R79)</f>
        <v>0</v>
      </c>
      <c r="T79" s="505" t="str">
        <f t="shared" si="77"/>
        <v>N/A</v>
      </c>
      <c r="U79" s="1680">
        <f>+'NEW Fall CHP by DISC'!U79/15</f>
        <v>0</v>
      </c>
      <c r="V79" s="1680">
        <f>+'NEW Fall CHP by DISC'!V79/15</f>
        <v>0</v>
      </c>
      <c r="W79" s="1680">
        <f>+'NEW Fall CHP by DISC'!W79/12</f>
        <v>0</v>
      </c>
      <c r="X79" s="1680">
        <f t="shared" si="78"/>
        <v>0</v>
      </c>
      <c r="Y79" s="505" t="str">
        <f t="shared" si="79"/>
        <v>N/A</v>
      </c>
      <c r="Z79" s="1680">
        <f>+'NEW Fall CHP by DISC'!Z79/15</f>
        <v>2.6</v>
      </c>
      <c r="AA79" s="1680">
        <f>+'NEW Fall CHP by DISC'!AA79/15</f>
        <v>0</v>
      </c>
      <c r="AB79" s="1680">
        <f>+'NEW Fall CHP by DISC'!AB79/12</f>
        <v>0</v>
      </c>
      <c r="AC79" s="1680">
        <f t="shared" si="80"/>
        <v>2.6</v>
      </c>
      <c r="AD79" s="505">
        <f t="shared" si="81"/>
        <v>1</v>
      </c>
      <c r="AE79" s="1680">
        <f>+'NEW Fall CHP by DISC'!AE79/15</f>
        <v>0.4</v>
      </c>
      <c r="AF79" s="1680">
        <f>+'NEW Fall CHP by DISC'!AF79/15</f>
        <v>0</v>
      </c>
      <c r="AG79" s="1680">
        <f>+'NEW Fall CHP by DISC'!AG79/12</f>
        <v>0</v>
      </c>
      <c r="AH79" s="1680">
        <f t="shared" si="82"/>
        <v>0.4</v>
      </c>
      <c r="AI79" s="505">
        <f t="shared" si="83"/>
        <v>-0.84615384615384615</v>
      </c>
      <c r="AJ79" s="1680">
        <f>+'NEW Fall CHP by DISC'!AJ79/15</f>
        <v>4.4000000000000004</v>
      </c>
      <c r="AK79" s="1680">
        <f>+'NEW Fall CHP by DISC'!AK79/15</f>
        <v>0</v>
      </c>
      <c r="AL79" s="1680">
        <f>+'NEW Fall CHP by DISC'!AL79/12</f>
        <v>0</v>
      </c>
      <c r="AM79" s="1680">
        <f t="shared" si="84"/>
        <v>4.4000000000000004</v>
      </c>
      <c r="AN79" s="491">
        <f t="shared" si="85"/>
        <v>10</v>
      </c>
      <c r="AO79" s="1680">
        <f>+'NEW Fall CHP by DISC'!AO79/15</f>
        <v>3.6</v>
      </c>
      <c r="AP79" s="1680">
        <f>+'NEW Fall CHP by DISC'!AP79/15</f>
        <v>0</v>
      </c>
      <c r="AQ79" s="1680">
        <f>+'NEW Fall CHP by DISC'!AQ79/12</f>
        <v>0</v>
      </c>
      <c r="AR79" s="1680">
        <f t="shared" si="86"/>
        <v>3.6</v>
      </c>
      <c r="AS79" s="1679">
        <f t="shared" si="87"/>
        <v>-0.18181818181818185</v>
      </c>
    </row>
    <row r="80" spans="1:45" x14ac:dyDescent="0.25">
      <c r="A80" s="1319" t="s">
        <v>1045</v>
      </c>
      <c r="B80" s="1680">
        <f>+'NEW Fall CHP by DISC'!B80/15</f>
        <v>7</v>
      </c>
      <c r="C80" s="1680">
        <f>+'NEW Fall CHP by DISC'!C80/15</f>
        <v>0</v>
      </c>
      <c r="D80" s="1680">
        <f>+'NEW Fall CHP by DISC'!D80/12</f>
        <v>0</v>
      </c>
      <c r="E80" s="1678">
        <f>SUM(B80:D80)</f>
        <v>7</v>
      </c>
      <c r="F80" s="1680">
        <f>+'NEW Fall CHP by DISC'!F80/15</f>
        <v>9</v>
      </c>
      <c r="G80" s="1680">
        <f>+'NEW Fall CHP by DISC'!G80/15</f>
        <v>0</v>
      </c>
      <c r="H80" s="1680">
        <f>+'NEW Fall CHP by DISC'!H80/12</f>
        <v>0</v>
      </c>
      <c r="I80" s="1680">
        <f>SUM(F80:H80)</f>
        <v>9</v>
      </c>
      <c r="J80" s="505">
        <f t="shared" si="75"/>
        <v>0.2857142857142857</v>
      </c>
      <c r="K80" s="1680">
        <f>+'NEW Fall CHP by DISC'!K80/15</f>
        <v>8.8000000000000007</v>
      </c>
      <c r="L80" s="1680">
        <f>+'NEW Fall CHP by DISC'!L80/15</f>
        <v>0.2</v>
      </c>
      <c r="M80" s="1680">
        <f>+'NEW Fall CHP by DISC'!M80/12</f>
        <v>0</v>
      </c>
      <c r="N80" s="1680">
        <f>SUM(K80:M80)</f>
        <v>9</v>
      </c>
      <c r="O80" s="505">
        <f t="shared" si="76"/>
        <v>0</v>
      </c>
      <c r="P80" s="1680">
        <f>+'NEW Fall CHP by DISC'!P80/15</f>
        <v>9</v>
      </c>
      <c r="Q80" s="1680">
        <f>+'NEW Fall CHP by DISC'!Q80/15</f>
        <v>0</v>
      </c>
      <c r="R80" s="1680">
        <f>+'NEW Fall CHP by DISC'!R80/12</f>
        <v>0</v>
      </c>
      <c r="S80" s="1680">
        <f>SUM(P80:R80)</f>
        <v>9</v>
      </c>
      <c r="T80" s="505">
        <f t="shared" si="77"/>
        <v>0</v>
      </c>
      <c r="U80" s="1680">
        <f>+'NEW Fall CHP by DISC'!U80/15</f>
        <v>9.8000000000000007</v>
      </c>
      <c r="V80" s="1680">
        <f>+'NEW Fall CHP by DISC'!V80/15</f>
        <v>0</v>
      </c>
      <c r="W80" s="1680">
        <f>+'NEW Fall CHP by DISC'!W80/12</f>
        <v>0</v>
      </c>
      <c r="X80" s="1680">
        <f t="shared" si="78"/>
        <v>9.8000000000000007</v>
      </c>
      <c r="Y80" s="505">
        <f t="shared" si="79"/>
        <v>8.8888888888888962E-2</v>
      </c>
      <c r="Z80" s="1680">
        <f>+'NEW Fall CHP by DISC'!Z80/15</f>
        <v>10.6</v>
      </c>
      <c r="AA80" s="1680">
        <f>+'NEW Fall CHP by DISC'!AA80/15</f>
        <v>0.4</v>
      </c>
      <c r="AB80" s="1680">
        <f>+'NEW Fall CHP by DISC'!AB80/12</f>
        <v>0</v>
      </c>
      <c r="AC80" s="1680">
        <f t="shared" si="80"/>
        <v>11</v>
      </c>
      <c r="AD80" s="505">
        <f t="shared" si="81"/>
        <v>0.12244897959183665</v>
      </c>
      <c r="AE80" s="1680">
        <f>+'NEW Fall CHP by DISC'!AE80/15</f>
        <v>11.6</v>
      </c>
      <c r="AF80" s="1680">
        <f>+'NEW Fall CHP by DISC'!AF80/15</f>
        <v>0</v>
      </c>
      <c r="AG80" s="1680">
        <f>+'NEW Fall CHP by DISC'!AG80/12</f>
        <v>0</v>
      </c>
      <c r="AH80" s="1680">
        <f t="shared" si="82"/>
        <v>11.6</v>
      </c>
      <c r="AI80" s="505">
        <f t="shared" si="83"/>
        <v>5.4545454545454515E-2</v>
      </c>
      <c r="AJ80" s="1680">
        <f>+'NEW Fall CHP by DISC'!AJ80/15</f>
        <v>11.8</v>
      </c>
      <c r="AK80" s="1680">
        <f>+'NEW Fall CHP by DISC'!AK80/15</f>
        <v>0</v>
      </c>
      <c r="AL80" s="1680">
        <f>+'NEW Fall CHP by DISC'!AL80/12</f>
        <v>0</v>
      </c>
      <c r="AM80" s="1680">
        <f t="shared" si="84"/>
        <v>11.8</v>
      </c>
      <c r="AN80" s="491">
        <f t="shared" si="85"/>
        <v>1.7241379310344921E-2</v>
      </c>
      <c r="AO80" s="1680">
        <f>+'NEW Fall CHP by DISC'!AO80/15</f>
        <v>6</v>
      </c>
      <c r="AP80" s="1680">
        <f>+'NEW Fall CHP by DISC'!AP80/15</f>
        <v>0</v>
      </c>
      <c r="AQ80" s="1680">
        <f>+'NEW Fall CHP by DISC'!AQ80/12</f>
        <v>0</v>
      </c>
      <c r="AR80" s="1680">
        <f t="shared" si="86"/>
        <v>6</v>
      </c>
      <c r="AS80" s="1679">
        <f t="shared" si="87"/>
        <v>-0.49152542372881358</v>
      </c>
    </row>
    <row r="81" spans="1:45" x14ac:dyDescent="0.25">
      <c r="A81" s="1319" t="s">
        <v>1739</v>
      </c>
      <c r="B81" s="1680"/>
      <c r="C81" s="1680"/>
      <c r="D81" s="1680"/>
      <c r="E81" s="1678"/>
      <c r="F81" s="1680"/>
      <c r="G81" s="1680"/>
      <c r="H81" s="1680"/>
      <c r="I81" s="1680"/>
      <c r="J81" s="505"/>
      <c r="K81" s="1680"/>
      <c r="L81" s="1680"/>
      <c r="M81" s="1680"/>
      <c r="N81" s="1680"/>
      <c r="O81" s="505"/>
      <c r="P81" s="1680"/>
      <c r="Q81" s="1680"/>
      <c r="R81" s="1680"/>
      <c r="S81" s="1680"/>
      <c r="T81" s="505"/>
      <c r="U81" s="1680">
        <f>+'NEW Fall CHP by DISC'!U81/15</f>
        <v>0</v>
      </c>
      <c r="V81" s="1680">
        <f>+'NEW Fall CHP by DISC'!V81/15</f>
        <v>0</v>
      </c>
      <c r="W81" s="1680">
        <f>+'NEW Fall CHP by DISC'!W81/12</f>
        <v>0</v>
      </c>
      <c r="X81" s="1680">
        <f t="shared" si="78"/>
        <v>0</v>
      </c>
      <c r="Y81" s="505" t="str">
        <f>IF(S81&gt;0,(X81-S81)/S81,(IF(X81=0,"N/A",100%)))</f>
        <v>N/A</v>
      </c>
      <c r="Z81" s="1680">
        <f>+'NEW Fall CHP by DISC'!Z81/15</f>
        <v>0</v>
      </c>
      <c r="AA81" s="1680">
        <f>+'NEW Fall CHP by DISC'!AA81/15</f>
        <v>0</v>
      </c>
      <c r="AB81" s="1680">
        <f>+'NEW Fall CHP by DISC'!AB81/12</f>
        <v>0</v>
      </c>
      <c r="AC81" s="1680">
        <f t="shared" si="80"/>
        <v>0</v>
      </c>
      <c r="AD81" s="505" t="str">
        <f>IF(X81&gt;0,(AC81-X81)/X81,(IF(AC81=0,"N/A",100%)))</f>
        <v>N/A</v>
      </c>
      <c r="AE81" s="1680">
        <f>+'NEW Fall CHP by DISC'!AE81/15</f>
        <v>0</v>
      </c>
      <c r="AF81" s="1680">
        <f>+'NEW Fall CHP by DISC'!AF81/15</f>
        <v>0</v>
      </c>
      <c r="AG81" s="1680">
        <f>+'NEW Fall CHP by DISC'!AG81/12</f>
        <v>0</v>
      </c>
      <c r="AH81" s="1680">
        <f t="shared" si="82"/>
        <v>0</v>
      </c>
      <c r="AI81" s="505" t="str">
        <f>IF(AC81&gt;0,(AH81-AC81)/AC81,(IF(AH81=0,"N/A",100%)))</f>
        <v>N/A</v>
      </c>
      <c r="AJ81" s="1680">
        <f>+'NEW Fall CHP by DISC'!AJ81/15</f>
        <v>0</v>
      </c>
      <c r="AK81" s="1680">
        <f>+'NEW Fall CHP by DISC'!AK81/15</f>
        <v>0</v>
      </c>
      <c r="AL81" s="1680">
        <f>+'NEW Fall CHP by DISC'!AL81/12</f>
        <v>0</v>
      </c>
      <c r="AM81" s="1680">
        <f t="shared" si="84"/>
        <v>0</v>
      </c>
      <c r="AN81" s="491" t="str">
        <f>IF(AH81&gt;0,(AM81-AH81)/AH81,(IF(AM81=0,"N/A",100%)))</f>
        <v>N/A</v>
      </c>
      <c r="AO81" s="1680">
        <f>+'NEW Fall CHP by DISC'!AO81/15</f>
        <v>1.6</v>
      </c>
      <c r="AP81" s="1680">
        <f>+'NEW Fall CHP by DISC'!AP81/15</f>
        <v>0</v>
      </c>
      <c r="AQ81" s="1680">
        <f>+'NEW Fall CHP by DISC'!AQ81/12</f>
        <v>0</v>
      </c>
      <c r="AR81" s="1680">
        <f t="shared" si="86"/>
        <v>1.6</v>
      </c>
      <c r="AS81" s="1679">
        <f>IF(AM81&gt;0,(AR81-AM81)/AM81,(IF(AR81=0,"N/A",100%)))</f>
        <v>1</v>
      </c>
    </row>
    <row r="82" spans="1:45" x14ac:dyDescent="0.25">
      <c r="A82" s="1319" t="s">
        <v>1049</v>
      </c>
      <c r="B82" s="1680">
        <f>+'NEW Fall CHP by DISC'!B82/15</f>
        <v>58.8</v>
      </c>
      <c r="C82" s="1680">
        <f>+'NEW Fall CHP by DISC'!C82/15</f>
        <v>4.666666666666667</v>
      </c>
      <c r="D82" s="1680">
        <f>+'NEW Fall CHP by DISC'!D82/12</f>
        <v>0</v>
      </c>
      <c r="E82" s="1678">
        <f>SUM(B82:D82)</f>
        <v>63.466666666666661</v>
      </c>
      <c r="F82" s="1680">
        <f>+'NEW Fall CHP by DISC'!F82/15</f>
        <v>57</v>
      </c>
      <c r="G82" s="1680">
        <f>+'NEW Fall CHP by DISC'!G82/15</f>
        <v>3.8</v>
      </c>
      <c r="H82" s="1680">
        <f>+'NEW Fall CHP by DISC'!H82/12</f>
        <v>0</v>
      </c>
      <c r="I82" s="1680">
        <f>SUM(F82:H82)</f>
        <v>60.8</v>
      </c>
      <c r="J82" s="505">
        <f t="shared" si="75"/>
        <v>-4.2016806722689044E-2</v>
      </c>
      <c r="K82" s="1680">
        <f>+'NEW Fall CHP by DISC'!K82/15</f>
        <v>62.533333333333331</v>
      </c>
      <c r="L82" s="1680">
        <f>+'NEW Fall CHP by DISC'!L82/15</f>
        <v>2.4</v>
      </c>
      <c r="M82" s="1680">
        <f>+'NEW Fall CHP by DISC'!M82/12</f>
        <v>0</v>
      </c>
      <c r="N82" s="1680">
        <f>SUM(K82:M82)</f>
        <v>64.933333333333337</v>
      </c>
      <c r="O82" s="505">
        <f t="shared" si="76"/>
        <v>6.7982456140350991E-2</v>
      </c>
      <c r="P82" s="1680">
        <f>+'NEW Fall CHP by DISC'!P82/15</f>
        <v>67.8</v>
      </c>
      <c r="Q82" s="1680">
        <f>+'NEW Fall CHP by DISC'!Q82/15</f>
        <v>3.8</v>
      </c>
      <c r="R82" s="1680">
        <f>+'NEW Fall CHP by DISC'!R82/12</f>
        <v>0</v>
      </c>
      <c r="S82" s="1680">
        <f>SUM(P82:R82)</f>
        <v>71.599999999999994</v>
      </c>
      <c r="T82" s="505">
        <f t="shared" si="77"/>
        <v>0.10266940451745364</v>
      </c>
      <c r="U82" s="1680">
        <f>+'NEW Fall CHP by DISC'!U82/15</f>
        <v>78</v>
      </c>
      <c r="V82" s="1680">
        <f>+'NEW Fall CHP by DISC'!V82/15</f>
        <v>4.7333333333333334</v>
      </c>
      <c r="W82" s="1680">
        <f>+'NEW Fall CHP by DISC'!W82/12</f>
        <v>0</v>
      </c>
      <c r="X82" s="1680">
        <f t="shared" si="78"/>
        <v>82.733333333333334</v>
      </c>
      <c r="Y82" s="505">
        <f t="shared" si="79"/>
        <v>0.15549348230912488</v>
      </c>
      <c r="Z82" s="1680">
        <f>+'NEW Fall CHP by DISC'!Z82/15</f>
        <v>81.8</v>
      </c>
      <c r="AA82" s="1680">
        <f>+'NEW Fall CHP by DISC'!AA82/15</f>
        <v>6.6</v>
      </c>
      <c r="AB82" s="1680">
        <f>+'NEW Fall CHP by DISC'!AB82/12</f>
        <v>0</v>
      </c>
      <c r="AC82" s="1680">
        <f t="shared" si="80"/>
        <v>88.399999999999991</v>
      </c>
      <c r="AD82" s="505">
        <f t="shared" si="81"/>
        <v>6.8493150684931392E-2</v>
      </c>
      <c r="AE82" s="1680">
        <f>+'NEW Fall CHP by DISC'!AE82/15</f>
        <v>81</v>
      </c>
      <c r="AF82" s="1680">
        <f>+'NEW Fall CHP by DISC'!AF82/15</f>
        <v>3.2</v>
      </c>
      <c r="AG82" s="1680">
        <f>+'NEW Fall CHP by DISC'!AG82/12</f>
        <v>0</v>
      </c>
      <c r="AH82" s="1680">
        <f t="shared" si="82"/>
        <v>84.2</v>
      </c>
      <c r="AI82" s="505">
        <f t="shared" si="83"/>
        <v>-4.7511312217194443E-2</v>
      </c>
      <c r="AJ82" s="1680">
        <f>+'NEW Fall CHP by DISC'!AJ82/15</f>
        <v>72.400000000000006</v>
      </c>
      <c r="AK82" s="1680">
        <f>+'NEW Fall CHP by DISC'!AK82/15</f>
        <v>4</v>
      </c>
      <c r="AL82" s="1680">
        <f>+'NEW Fall CHP by DISC'!AL82/12</f>
        <v>0</v>
      </c>
      <c r="AM82" s="1680">
        <f t="shared" si="84"/>
        <v>76.400000000000006</v>
      </c>
      <c r="AN82" s="491">
        <f t="shared" si="85"/>
        <v>-9.2636579572446517E-2</v>
      </c>
      <c r="AO82" s="1680">
        <f>+'NEW Fall CHP by DISC'!AO82/15</f>
        <v>67.599999999999994</v>
      </c>
      <c r="AP82" s="1680">
        <f>+'NEW Fall CHP by DISC'!AP82/15</f>
        <v>5.6</v>
      </c>
      <c r="AQ82" s="1680">
        <f>+'NEW Fall CHP by DISC'!AQ82/12</f>
        <v>0</v>
      </c>
      <c r="AR82" s="1680">
        <f t="shared" si="86"/>
        <v>73.199999999999989</v>
      </c>
      <c r="AS82" s="1679">
        <f t="shared" si="87"/>
        <v>-4.1884816753926919E-2</v>
      </c>
    </row>
    <row r="83" spans="1:45" s="484" customFormat="1" ht="13.8" x14ac:dyDescent="0.25">
      <c r="A83" s="1345" t="s">
        <v>1015</v>
      </c>
      <c r="B83" s="1776">
        <f t="shared" ref="B83:I83" si="88">SUM(B77:B82)</f>
        <v>244.66666666666669</v>
      </c>
      <c r="C83" s="1776">
        <f t="shared" si="88"/>
        <v>14.333333333333332</v>
      </c>
      <c r="D83" s="1776">
        <f t="shared" si="88"/>
        <v>0</v>
      </c>
      <c r="E83" s="1872">
        <f t="shared" si="88"/>
        <v>259</v>
      </c>
      <c r="F83" s="1776">
        <f t="shared" si="88"/>
        <v>273.73333333333335</v>
      </c>
      <c r="G83" s="1776">
        <f t="shared" si="88"/>
        <v>16</v>
      </c>
      <c r="H83" s="1776">
        <f t="shared" si="88"/>
        <v>0</v>
      </c>
      <c r="I83" s="1776">
        <f t="shared" si="88"/>
        <v>289.73333333333329</v>
      </c>
      <c r="J83" s="586">
        <f t="shared" si="75"/>
        <v>0.1186615186615185</v>
      </c>
      <c r="K83" s="1776">
        <f>SUM(K77:K82)</f>
        <v>307.39999999999998</v>
      </c>
      <c r="L83" s="1776">
        <f>SUM(L77:L82)</f>
        <v>15.6</v>
      </c>
      <c r="M83" s="1776">
        <f>SUM(M77:M82)</f>
        <v>0</v>
      </c>
      <c r="N83" s="1776">
        <f>SUM(N77:N82)</f>
        <v>323</v>
      </c>
      <c r="O83" s="586">
        <f t="shared" si="76"/>
        <v>0.11481822365393481</v>
      </c>
      <c r="P83" s="1776">
        <f>SUM(P77:P82)</f>
        <v>339.13333333333333</v>
      </c>
      <c r="Q83" s="1776">
        <f>SUM(Q77:Q82)</f>
        <v>17.399999999999999</v>
      </c>
      <c r="R83" s="1776">
        <f>SUM(R77:R82)</f>
        <v>0</v>
      </c>
      <c r="S83" s="1776">
        <f>SUM(S77:S82)</f>
        <v>356.5333333333333</v>
      </c>
      <c r="T83" s="586">
        <f t="shared" si="77"/>
        <v>0.10381836945304428</v>
      </c>
      <c r="U83" s="1776">
        <f>SUM(U77:U82)</f>
        <v>337.5333333333333</v>
      </c>
      <c r="V83" s="1776">
        <f>SUM(V77:V82)</f>
        <v>16.333333333333332</v>
      </c>
      <c r="W83" s="1776">
        <f>SUM(W77:W82)</f>
        <v>0</v>
      </c>
      <c r="X83" s="1776">
        <f>SUM(X77:X82)</f>
        <v>353.86666666666667</v>
      </c>
      <c r="Y83" s="586">
        <f t="shared" si="79"/>
        <v>-7.4794315632010907E-3</v>
      </c>
      <c r="Z83" s="1776">
        <f>SUM(Z77:Z82)</f>
        <v>335.5333333333333</v>
      </c>
      <c r="AA83" s="1776">
        <f>SUM(AA77:AA82)</f>
        <v>25.4</v>
      </c>
      <c r="AB83" s="1776">
        <f>SUM(AB77:AB82)</f>
        <v>0</v>
      </c>
      <c r="AC83" s="1776">
        <f>SUM(AC77:AC82)</f>
        <v>360.93333333333334</v>
      </c>
      <c r="AD83" s="586">
        <f t="shared" si="81"/>
        <v>1.9969856819894487E-2</v>
      </c>
      <c r="AE83" s="1776">
        <f>SUM(AE77:AE82)</f>
        <v>313.73333333333335</v>
      </c>
      <c r="AF83" s="1776">
        <f>SUM(AF77:AF82)</f>
        <v>15.399999999999999</v>
      </c>
      <c r="AG83" s="1776">
        <f>SUM(AG77:AG82)</f>
        <v>0</v>
      </c>
      <c r="AH83" s="1776">
        <f>SUM(AH77:AH82)</f>
        <v>329.13333333333333</v>
      </c>
      <c r="AI83" s="586">
        <f t="shared" si="83"/>
        <v>-8.8104913188031056E-2</v>
      </c>
      <c r="AJ83" s="1776">
        <f>SUM(AJ77:AJ82)</f>
        <v>290</v>
      </c>
      <c r="AK83" s="1776">
        <f>SUM(AK77:AK82)</f>
        <v>15.4</v>
      </c>
      <c r="AL83" s="1776">
        <f>SUM(AL77:AL82)</f>
        <v>0</v>
      </c>
      <c r="AM83" s="1776">
        <f>SUM(AM77:AM82)</f>
        <v>305.40000000000003</v>
      </c>
      <c r="AN83" s="496">
        <f t="shared" si="85"/>
        <v>-7.2108567956248606E-2</v>
      </c>
      <c r="AO83" s="1776">
        <f>SUM(AO77:AO82)</f>
        <v>288.33333333333331</v>
      </c>
      <c r="AP83" s="1776">
        <f>SUM(AP77:AP82)</f>
        <v>17.266666666666666</v>
      </c>
      <c r="AQ83" s="1776">
        <f>SUM(AQ77:AQ82)</f>
        <v>0</v>
      </c>
      <c r="AR83" s="1776">
        <f>SUM(AR77:AR82)</f>
        <v>305.59999999999997</v>
      </c>
      <c r="AS83" s="1772">
        <f t="shared" si="87"/>
        <v>6.5487884741300512E-4</v>
      </c>
    </row>
    <row r="84" spans="1:45" s="502" customFormat="1" ht="16.2" thickBot="1" x14ac:dyDescent="0.35">
      <c r="A84" s="1328" t="s">
        <v>423</v>
      </c>
      <c r="B84" s="988">
        <f t="shared" ref="B84:I84" si="89">+B54+B61+B68+B75+B83</f>
        <v>550.33333333333326</v>
      </c>
      <c r="C84" s="988">
        <f t="shared" si="89"/>
        <v>140.13333333333335</v>
      </c>
      <c r="D84" s="988">
        <f t="shared" si="89"/>
        <v>7.5</v>
      </c>
      <c r="E84" s="988">
        <f t="shared" si="89"/>
        <v>697.9666666666667</v>
      </c>
      <c r="F84" s="988">
        <f t="shared" si="89"/>
        <v>631.06666666666672</v>
      </c>
      <c r="G84" s="988">
        <f t="shared" si="89"/>
        <v>169</v>
      </c>
      <c r="H84" s="988">
        <f t="shared" si="89"/>
        <v>10.5</v>
      </c>
      <c r="I84" s="988">
        <f t="shared" si="89"/>
        <v>810.56666666666661</v>
      </c>
      <c r="J84" s="975">
        <f t="shared" si="75"/>
        <v>0.1613257557667509</v>
      </c>
      <c r="K84" s="988">
        <f>+K54+K61+K68+K75+K83</f>
        <v>740.4</v>
      </c>
      <c r="L84" s="988">
        <f>+L54+L61+L68+L75+L83</f>
        <v>171.79999999999998</v>
      </c>
      <c r="M84" s="988">
        <f>+M54+M61+M68+M75+M83</f>
        <v>3.75</v>
      </c>
      <c r="N84" s="988">
        <f>+N54+N61+N68+N75+N83</f>
        <v>915.95</v>
      </c>
      <c r="O84" s="975">
        <f t="shared" si="76"/>
        <v>0.13001192581321724</v>
      </c>
      <c r="P84" s="988">
        <f>+P54+P61+P68+P75+P83</f>
        <v>830.13333333333333</v>
      </c>
      <c r="Q84" s="988">
        <f>+Q54+Q61+Q68+Q75+Q83</f>
        <v>150.73333333333335</v>
      </c>
      <c r="R84" s="988">
        <f>+R54+R61+R68+R75+R83</f>
        <v>9</v>
      </c>
      <c r="S84" s="988">
        <f>+S54+S61+S68+S75+S83</f>
        <v>989.86666666666667</v>
      </c>
      <c r="T84" s="975">
        <f t="shared" si="77"/>
        <v>8.0699455938278972E-2</v>
      </c>
      <c r="U84" s="988">
        <f>+U54+U61+U68+U75+U83</f>
        <v>828.06666666666661</v>
      </c>
      <c r="V84" s="988">
        <f>+V54+V61+V68+V75+V83</f>
        <v>142.73333333333332</v>
      </c>
      <c r="W84" s="988">
        <f>+W54+W61+W68+W75+W83</f>
        <v>3.75</v>
      </c>
      <c r="X84" s="988">
        <f>+X54+X61+X68+X75+X83</f>
        <v>974.55000000000007</v>
      </c>
      <c r="Y84" s="975">
        <f t="shared" si="79"/>
        <v>-1.547346443965511E-2</v>
      </c>
      <c r="Z84" s="988">
        <f>+Z54+Z61+Z68+Z75+Z83</f>
        <v>783.06666666666661</v>
      </c>
      <c r="AA84" s="988">
        <f>+AA54+AA61+AA68+AA75+AA83</f>
        <v>165.06666666666666</v>
      </c>
      <c r="AB84" s="988">
        <f>+AB54+AB61+AB68+AB75+AB83</f>
        <v>5.25</v>
      </c>
      <c r="AC84" s="988">
        <f>+AC54+AC61+AC68+AC75+AC83</f>
        <v>953.38333333333344</v>
      </c>
      <c r="AD84" s="975">
        <f t="shared" si="81"/>
        <v>-2.1719426059890849E-2</v>
      </c>
      <c r="AE84" s="988">
        <f>+AE54+AE61+AE68+AE75+AE83</f>
        <v>711.06666666666661</v>
      </c>
      <c r="AF84" s="988">
        <f>+AF54+AF61+AF68+AF75+AF83</f>
        <v>153.46666666666667</v>
      </c>
      <c r="AG84" s="988">
        <f>+AG54+AG61+AG68+AG75+AG83</f>
        <v>3.75</v>
      </c>
      <c r="AH84" s="988">
        <f>+AH54+AH61+AH68+AH75+AH83</f>
        <v>868.2833333333333</v>
      </c>
      <c r="AI84" s="975">
        <f t="shared" si="83"/>
        <v>-8.9261052741989186E-2</v>
      </c>
      <c r="AJ84" s="988">
        <f>+AJ54+AJ61+AJ68+AJ75+AJ83</f>
        <v>681.73333333333335</v>
      </c>
      <c r="AK84" s="988">
        <f>+AK54+AK61+AK68+AK75+AK83</f>
        <v>134.26666666666665</v>
      </c>
      <c r="AL84" s="988">
        <f>+AL54+AL61+AL68+AL75+AL83</f>
        <v>3</v>
      </c>
      <c r="AM84" s="988">
        <f>+AM54+AM61+AM68+AM75+AM83</f>
        <v>819</v>
      </c>
      <c r="AN84" s="975">
        <f t="shared" si="85"/>
        <v>-5.6759506305545389E-2</v>
      </c>
      <c r="AO84" s="988">
        <f>+AO54+AO61+AO68+AO75+AO83</f>
        <v>654.93333333333339</v>
      </c>
      <c r="AP84" s="988">
        <f>+AP54+AP61+AP68+AP75+AP83</f>
        <v>133.53333333333333</v>
      </c>
      <c r="AQ84" s="988">
        <f>+AQ54+AQ61+AQ68+AQ75+AQ83</f>
        <v>0</v>
      </c>
      <c r="AR84" s="988">
        <f>+AR54+AR61+AR68+AR75+AR83</f>
        <v>788.4666666666667</v>
      </c>
      <c r="AS84" s="1050">
        <f t="shared" si="87"/>
        <v>-3.7281237281237244E-2</v>
      </c>
    </row>
    <row r="85" spans="1:45" ht="14.25" customHeight="1" x14ac:dyDescent="0.25">
      <c r="A85" s="507"/>
      <c r="B85" s="286"/>
      <c r="C85" s="286"/>
      <c r="D85" s="286"/>
      <c r="E85" s="286"/>
      <c r="F85" s="286"/>
      <c r="G85" s="286"/>
      <c r="H85" s="286"/>
      <c r="I85" s="286"/>
      <c r="J85" s="504"/>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row>
    <row r="86" spans="1:45" ht="14.25" customHeight="1" thickBot="1" x14ac:dyDescent="0.3">
      <c r="A86" s="507"/>
      <c r="B86" s="286"/>
      <c r="C86" s="286"/>
      <c r="D86" s="286"/>
      <c r="E86" s="286"/>
      <c r="F86" s="286"/>
      <c r="G86" s="286"/>
      <c r="H86" s="286"/>
      <c r="I86" s="286"/>
      <c r="J86" s="504"/>
      <c r="K86" s="280"/>
      <c r="L86" s="280"/>
      <c r="M86" s="280"/>
      <c r="N86" s="280"/>
      <c r="O86" s="280"/>
      <c r="P86" s="280"/>
      <c r="Q86" s="280"/>
      <c r="R86" s="280"/>
      <c r="S86" s="280"/>
      <c r="T86" s="280"/>
      <c r="U86" s="280"/>
      <c r="V86" s="280"/>
      <c r="W86" s="280"/>
      <c r="X86" s="280"/>
      <c r="Y86" s="280"/>
      <c r="Z86" s="280"/>
      <c r="AA86" s="280"/>
      <c r="AB86" s="280"/>
      <c r="AC86" s="280"/>
      <c r="AD86" s="280"/>
      <c r="AE86" s="280"/>
      <c r="AF86" s="280"/>
      <c r="AG86" s="280"/>
      <c r="AH86" s="280"/>
      <c r="AI86" s="280"/>
      <c r="AJ86" s="280"/>
      <c r="AK86" s="280"/>
      <c r="AL86" s="280"/>
    </row>
    <row r="87" spans="1:45" customFormat="1" ht="18" thickBot="1" x14ac:dyDescent="0.35">
      <c r="A87" s="2134" t="s">
        <v>409</v>
      </c>
      <c r="B87" s="2135"/>
      <c r="C87" s="2135"/>
      <c r="D87" s="2135"/>
      <c r="E87" s="2135"/>
      <c r="F87" s="2135"/>
      <c r="G87" s="2135"/>
      <c r="H87" s="2135"/>
      <c r="I87" s="2135"/>
      <c r="J87" s="2135"/>
      <c r="K87" s="2135"/>
      <c r="L87" s="2135"/>
      <c r="M87" s="2135"/>
      <c r="N87" s="2135"/>
      <c r="O87" s="2135"/>
      <c r="P87" s="2135"/>
      <c r="Q87" s="2135"/>
      <c r="R87" s="2135"/>
      <c r="S87" s="2135"/>
      <c r="T87" s="2135"/>
      <c r="U87" s="2135"/>
      <c r="V87" s="2135"/>
      <c r="W87" s="2135"/>
      <c r="X87" s="2135"/>
      <c r="Y87" s="2135"/>
      <c r="Z87" s="2135"/>
      <c r="AA87" s="2135"/>
      <c r="AB87" s="2135"/>
      <c r="AC87" s="2135"/>
      <c r="AD87" s="2135"/>
      <c r="AE87" s="2135"/>
      <c r="AF87" s="2135"/>
      <c r="AG87" s="2135"/>
      <c r="AH87" s="2135"/>
      <c r="AI87" s="2135"/>
      <c r="AJ87" s="2135"/>
      <c r="AK87" s="2135"/>
      <c r="AL87" s="2135"/>
      <c r="AM87" s="2135"/>
      <c r="AN87" s="2135"/>
      <c r="AO87" s="2135"/>
      <c r="AP87" s="2135"/>
      <c r="AQ87" s="2135"/>
      <c r="AR87" s="2135"/>
      <c r="AS87" s="2136"/>
    </row>
    <row r="88" spans="1:45" ht="26.4" x14ac:dyDescent="0.25">
      <c r="A88" s="2142" t="s">
        <v>1006</v>
      </c>
      <c r="B88" s="1711" t="s">
        <v>1008</v>
      </c>
      <c r="C88" s="1711" t="s">
        <v>1009</v>
      </c>
      <c r="D88" s="1711" t="s">
        <v>1010</v>
      </c>
      <c r="E88" s="680" t="s">
        <v>1069</v>
      </c>
      <c r="F88" s="1711" t="s">
        <v>1008</v>
      </c>
      <c r="G88" s="1711" t="s">
        <v>1009</v>
      </c>
      <c r="H88" s="1711" t="s">
        <v>1010</v>
      </c>
      <c r="I88" s="1712" t="s">
        <v>1069</v>
      </c>
      <c r="J88" s="680" t="s">
        <v>1071</v>
      </c>
      <c r="K88" s="1711" t="s">
        <v>1008</v>
      </c>
      <c r="L88" s="1711" t="s">
        <v>1009</v>
      </c>
      <c r="M88" s="1711" t="s">
        <v>1010</v>
      </c>
      <c r="N88" s="1712" t="s">
        <v>1069</v>
      </c>
      <c r="O88" s="680" t="s">
        <v>1071</v>
      </c>
      <c r="P88" s="1711" t="s">
        <v>1008</v>
      </c>
      <c r="Q88" s="1711" t="s">
        <v>1009</v>
      </c>
      <c r="R88" s="1711" t="s">
        <v>1010</v>
      </c>
      <c r="S88" s="1712" t="s">
        <v>1069</v>
      </c>
      <c r="T88" s="680" t="s">
        <v>1071</v>
      </c>
      <c r="U88" s="1711" t="s">
        <v>1008</v>
      </c>
      <c r="V88" s="1711" t="s">
        <v>1009</v>
      </c>
      <c r="W88" s="1711" t="s">
        <v>1010</v>
      </c>
      <c r="X88" s="1712" t="s">
        <v>1069</v>
      </c>
      <c r="Y88" s="680" t="s">
        <v>1071</v>
      </c>
      <c r="Z88" s="1711" t="s">
        <v>1008</v>
      </c>
      <c r="AA88" s="1711" t="s">
        <v>1009</v>
      </c>
      <c r="AB88" s="1711" t="s">
        <v>1010</v>
      </c>
      <c r="AC88" s="1712" t="s">
        <v>1069</v>
      </c>
      <c r="AD88" s="680" t="s">
        <v>1071</v>
      </c>
      <c r="AE88" s="1711" t="s">
        <v>1008</v>
      </c>
      <c r="AF88" s="1711" t="s">
        <v>1009</v>
      </c>
      <c r="AG88" s="1711" t="s">
        <v>1010</v>
      </c>
      <c r="AH88" s="1712" t="s">
        <v>1069</v>
      </c>
      <c r="AI88" s="680" t="s">
        <v>1071</v>
      </c>
      <c r="AJ88" s="1711" t="s">
        <v>1008</v>
      </c>
      <c r="AK88" s="1711" t="s">
        <v>1009</v>
      </c>
      <c r="AL88" s="1711" t="s">
        <v>1010</v>
      </c>
      <c r="AM88" s="1712" t="s">
        <v>1069</v>
      </c>
      <c r="AN88" s="1886" t="s">
        <v>1071</v>
      </c>
      <c r="AO88" s="1711" t="s">
        <v>1008</v>
      </c>
      <c r="AP88" s="1711" t="s">
        <v>1009</v>
      </c>
      <c r="AQ88" s="1711" t="s">
        <v>1010</v>
      </c>
      <c r="AR88" s="1712" t="s">
        <v>1069</v>
      </c>
      <c r="AS88" s="1763" t="s">
        <v>1071</v>
      </c>
    </row>
    <row r="89" spans="1:45" x14ac:dyDescent="0.25">
      <c r="A89" s="2143"/>
      <c r="B89" s="1257" t="s">
        <v>1500</v>
      </c>
      <c r="C89" s="1711"/>
      <c r="D89" s="1711"/>
      <c r="E89" s="584"/>
      <c r="F89" s="1257" t="s">
        <v>1499</v>
      </c>
      <c r="G89" s="1711"/>
      <c r="H89" s="1711"/>
      <c r="I89" s="1711"/>
      <c r="J89" s="679"/>
      <c r="K89" s="2138" t="s">
        <v>1448</v>
      </c>
      <c r="L89" s="2139"/>
      <c r="M89" s="2139"/>
      <c r="N89" s="2139"/>
      <c r="O89" s="2140"/>
      <c r="P89" s="1868" t="s">
        <v>1449</v>
      </c>
      <c r="Q89" s="1711"/>
      <c r="R89" s="1711"/>
      <c r="S89" s="1711"/>
      <c r="T89" s="679"/>
      <c r="U89" s="1868" t="s">
        <v>1450</v>
      </c>
      <c r="V89" s="1711"/>
      <c r="W89" s="1711"/>
      <c r="X89" s="1711"/>
      <c r="Y89" s="679"/>
      <c r="Z89" s="1868" t="s">
        <v>1551</v>
      </c>
      <c r="AA89" s="1711"/>
      <c r="AB89" s="1711"/>
      <c r="AC89" s="1711"/>
      <c r="AD89" s="679"/>
      <c r="AE89" s="1868" t="str">
        <f>+AE49</f>
        <v>Fall 2013</v>
      </c>
      <c r="AF89" s="1711"/>
      <c r="AG89" s="1711"/>
      <c r="AH89" s="1711"/>
      <c r="AI89" s="679"/>
      <c r="AJ89" s="1868" t="str">
        <f>+AJ49</f>
        <v>Fall 2014</v>
      </c>
      <c r="AK89" s="1711"/>
      <c r="AL89" s="1711"/>
      <c r="AM89" s="1711"/>
      <c r="AN89" s="679"/>
      <c r="AO89" s="1868" t="str">
        <f>+AO49</f>
        <v>Fall 2015</v>
      </c>
      <c r="AP89" s="1711"/>
      <c r="AQ89" s="1711"/>
      <c r="AR89" s="1711"/>
      <c r="AS89" s="679"/>
    </row>
    <row r="90" spans="1:45" x14ac:dyDescent="0.25">
      <c r="A90" s="1318" t="s">
        <v>411</v>
      </c>
      <c r="B90" s="1873"/>
      <c r="C90" s="1874"/>
      <c r="D90" s="1874"/>
      <c r="E90" s="1875"/>
      <c r="F90" s="1873"/>
      <c r="G90" s="1874"/>
      <c r="H90" s="1874"/>
      <c r="I90" s="1874"/>
      <c r="J90" s="281"/>
      <c r="K90" s="1873"/>
      <c r="L90" s="1874"/>
      <c r="M90" s="1874"/>
      <c r="N90" s="1874"/>
      <c r="O90" s="281"/>
      <c r="P90" s="1873"/>
      <c r="Q90" s="1874"/>
      <c r="R90" s="1874"/>
      <c r="S90" s="1874"/>
      <c r="T90" s="281"/>
      <c r="U90" s="1873"/>
      <c r="V90" s="1874"/>
      <c r="W90" s="1874"/>
      <c r="X90" s="1874"/>
      <c r="Y90" s="281"/>
      <c r="Z90" s="1873"/>
      <c r="AA90" s="1874"/>
      <c r="AB90" s="1874"/>
      <c r="AC90" s="1874"/>
      <c r="AD90" s="281"/>
      <c r="AE90" s="1873"/>
      <c r="AF90" s="1874"/>
      <c r="AG90" s="1874"/>
      <c r="AH90" s="1874"/>
      <c r="AI90" s="281"/>
      <c r="AJ90" s="1873"/>
      <c r="AK90" s="1874"/>
      <c r="AL90" s="1874"/>
      <c r="AM90" s="1874"/>
      <c r="AN90" s="438"/>
      <c r="AO90" s="1873"/>
      <c r="AP90" s="1874"/>
      <c r="AQ90" s="1874"/>
      <c r="AR90" s="1874"/>
      <c r="AS90" s="1875"/>
    </row>
    <row r="91" spans="1:45" x14ac:dyDescent="0.25">
      <c r="A91" s="1319" t="s">
        <v>1060</v>
      </c>
      <c r="B91" s="1680">
        <f>+'NEW Fall CHP by DISC'!B91/15</f>
        <v>113.06666666666666</v>
      </c>
      <c r="C91" s="1680">
        <f>+'NEW Fall CHP by DISC'!C91/15</f>
        <v>35.466666666666669</v>
      </c>
      <c r="D91" s="1680">
        <f>+'NEW Fall CHP by DISC'!D91/12</f>
        <v>0</v>
      </c>
      <c r="E91" s="1678">
        <f>SUM(B91:D91)</f>
        <v>148.53333333333333</v>
      </c>
      <c r="F91" s="1680">
        <f>+'NEW Fall CHP by DISC'!F91/15</f>
        <v>102.66666666666667</v>
      </c>
      <c r="G91" s="1680">
        <f>+'NEW Fall CHP by DISC'!G91/15</f>
        <v>41.4</v>
      </c>
      <c r="H91" s="1680">
        <f>+'NEW Fall CHP by DISC'!H91/12</f>
        <v>0</v>
      </c>
      <c r="I91" s="1680">
        <f>SUM(F91:H91)</f>
        <v>144.06666666666666</v>
      </c>
      <c r="J91" s="505">
        <f>IF(E91&gt;0,(I91-E91)/E91,(IF(I91=0,"N/A",100%)))</f>
        <v>-3.0071813285457823E-2</v>
      </c>
      <c r="K91" s="1680">
        <f>+'NEW Fall CHP by DISC'!K91/15</f>
        <v>127</v>
      </c>
      <c r="L91" s="1680">
        <f>+'NEW Fall CHP by DISC'!L91/15</f>
        <v>35.466666666666669</v>
      </c>
      <c r="M91" s="1680">
        <f>+'NEW Fall CHP by DISC'!M91/12</f>
        <v>0</v>
      </c>
      <c r="N91" s="1680">
        <f>SUM(K91:M91)</f>
        <v>162.46666666666667</v>
      </c>
      <c r="O91" s="505">
        <f>IF(I91&gt;0,(N91-I91)/I91,(IF(N91=0,"N/A",100%)))</f>
        <v>0.12771864877371591</v>
      </c>
      <c r="P91" s="1680">
        <f>+'NEW Fall CHP by DISC'!P91/15</f>
        <v>149.86666666666667</v>
      </c>
      <c r="Q91" s="1680">
        <f>+'NEW Fall CHP by DISC'!Q91/15</f>
        <v>37.533333333333331</v>
      </c>
      <c r="R91" s="1680">
        <f>+'NEW Fall CHP by DISC'!R91/12</f>
        <v>0</v>
      </c>
      <c r="S91" s="1680">
        <f>SUM(P91:R91)</f>
        <v>187.4</v>
      </c>
      <c r="T91" s="505">
        <f>IF(N91&gt;0,(S91-N91)/N91,(IF(S91=0,"N/A",100%)))</f>
        <v>0.15346737792367668</v>
      </c>
      <c r="U91" s="1680">
        <f>+'NEW Fall CHP by DISC'!U91/15</f>
        <v>140.86666666666667</v>
      </c>
      <c r="V91" s="1680">
        <f>+'NEW Fall CHP by DISC'!V91/15</f>
        <v>19.2</v>
      </c>
      <c r="W91" s="1680">
        <f>+'NEW Fall CHP by DISC'!W91/12</f>
        <v>0</v>
      </c>
      <c r="X91" s="1680">
        <f>SUM(U91:W91)</f>
        <v>160.06666666666666</v>
      </c>
      <c r="Y91" s="505">
        <f>IF(S91&gt;0,(X91-S91)/S91,(IF(X91=0,"N/A",100%)))</f>
        <v>-0.14585556741373182</v>
      </c>
      <c r="Z91" s="1680">
        <f>+'NEW Fall CHP by DISC'!Z91/15</f>
        <v>138.13333333333333</v>
      </c>
      <c r="AA91" s="1680">
        <f>+'NEW Fall CHP by DISC'!AA91/15</f>
        <v>20.733333333333334</v>
      </c>
      <c r="AB91" s="1680">
        <f>+'NEW Fall CHP by DISC'!AB91/12</f>
        <v>0</v>
      </c>
      <c r="AC91" s="1680">
        <f>SUM(Z91:AB91)</f>
        <v>158.86666666666667</v>
      </c>
      <c r="AD91" s="505">
        <f>IF(X91&gt;0,(AC91-X91)/X91,(IF(AC91=0,"N/A",100%)))</f>
        <v>-7.4968763015409541E-3</v>
      </c>
      <c r="AE91" s="1680">
        <f>+'NEW Fall CHP by DISC'!AE91/15</f>
        <v>123.73333333333333</v>
      </c>
      <c r="AF91" s="1680">
        <f>+'NEW Fall CHP by DISC'!AF91/15</f>
        <v>19.066666666666666</v>
      </c>
      <c r="AG91" s="1680">
        <f>+'NEW Fall CHP by DISC'!AG91/12</f>
        <v>0</v>
      </c>
      <c r="AH91" s="1680">
        <f>SUM(AE91:AG91)</f>
        <v>142.80000000000001</v>
      </c>
      <c r="AI91" s="505">
        <f>IF(AC91&gt;0,(AH91-AC91)/AC91,(IF(AH91=0,"N/A",100%)))</f>
        <v>-0.1011330255979857</v>
      </c>
      <c r="AJ91" s="1680">
        <f>+'NEW Fall CHP by DISC'!AJ91/15</f>
        <v>138.66666666666666</v>
      </c>
      <c r="AK91" s="1680">
        <f>+'NEW Fall CHP by DISC'!AK91/15</f>
        <v>20.533333333333335</v>
      </c>
      <c r="AL91" s="1680">
        <f>+'NEW Fall CHP by DISC'!AL91/12</f>
        <v>0</v>
      </c>
      <c r="AM91" s="1680">
        <f>SUM(AJ91:AL91)</f>
        <v>159.19999999999999</v>
      </c>
      <c r="AN91" s="491">
        <f>IF(AH91&gt;0,(AM91-AH91)/AH91,(IF(AM91=0,"N/A",100%)))</f>
        <v>0.11484593837534997</v>
      </c>
      <c r="AO91" s="1680">
        <f>+'NEW Fall CHP by DISC'!AO91/15</f>
        <v>147.46666666666667</v>
      </c>
      <c r="AP91" s="1680">
        <f>+'NEW Fall CHP by DISC'!AP91/15</f>
        <v>21.6</v>
      </c>
      <c r="AQ91" s="1680">
        <f>+'NEW Fall CHP by DISC'!AQ91/12</f>
        <v>0</v>
      </c>
      <c r="AR91" s="1680">
        <f>SUM(AO91:AQ91)</f>
        <v>169.06666666666666</v>
      </c>
      <c r="AS91" s="1679">
        <f>IF(AM91&gt;0,(AR91-AM91)/AM91,(IF(AR91=0,"N/A",100%)))</f>
        <v>6.1976549413735392E-2</v>
      </c>
    </row>
    <row r="92" spans="1:45" x14ac:dyDescent="0.25">
      <c r="A92" s="1318" t="s">
        <v>412</v>
      </c>
      <c r="B92" s="1873"/>
      <c r="C92" s="1874"/>
      <c r="D92" s="1874"/>
      <c r="E92" s="1875"/>
      <c r="F92" s="1873"/>
      <c r="G92" s="1874"/>
      <c r="H92" s="1874"/>
      <c r="I92" s="1874"/>
      <c r="J92" s="281"/>
      <c r="K92" s="1873"/>
      <c r="L92" s="1874"/>
      <c r="M92" s="1874"/>
      <c r="N92" s="1874"/>
      <c r="O92" s="281"/>
      <c r="P92" s="1873"/>
      <c r="Q92" s="1874"/>
      <c r="R92" s="1874"/>
      <c r="S92" s="1874"/>
      <c r="T92" s="281"/>
      <c r="U92" s="1873"/>
      <c r="V92" s="1874"/>
      <c r="W92" s="1874"/>
      <c r="X92" s="1874"/>
      <c r="Y92" s="281"/>
      <c r="Z92" s="1873"/>
      <c r="AA92" s="1874"/>
      <c r="AB92" s="1874"/>
      <c r="AC92" s="1874"/>
      <c r="AD92" s="281"/>
      <c r="AE92" s="1873"/>
      <c r="AF92" s="1874"/>
      <c r="AG92" s="1874"/>
      <c r="AH92" s="1874"/>
      <c r="AI92" s="281"/>
      <c r="AJ92" s="1873"/>
      <c r="AK92" s="1874"/>
      <c r="AL92" s="1874"/>
      <c r="AM92" s="1874"/>
      <c r="AN92" s="438"/>
      <c r="AO92" s="1873"/>
      <c r="AP92" s="1874"/>
      <c r="AQ92" s="1874"/>
      <c r="AR92" s="1874"/>
      <c r="AS92" s="1875"/>
    </row>
    <row r="93" spans="1:45" x14ac:dyDescent="0.25">
      <c r="A93" s="1319" t="s">
        <v>1355</v>
      </c>
      <c r="B93" s="1680">
        <f>+'NEW Fall CHP by DISC'!B93/15</f>
        <v>26.6</v>
      </c>
      <c r="C93" s="1680">
        <f>+'NEW Fall CHP by DISC'!C93/15</f>
        <v>4.4000000000000004</v>
      </c>
      <c r="D93" s="1680">
        <f>+'NEW Fall CHP by DISC'!D93/12</f>
        <v>0</v>
      </c>
      <c r="E93" s="1678">
        <f>SUM(B93:D93)</f>
        <v>31</v>
      </c>
      <c r="F93" s="1680">
        <f>+'NEW Fall CHP by DISC'!F93/15</f>
        <v>38.533333333333331</v>
      </c>
      <c r="G93" s="1680">
        <f>+'NEW Fall CHP by DISC'!G93/15</f>
        <v>4.8</v>
      </c>
      <c r="H93" s="1680">
        <f>+'NEW Fall CHP by DISC'!H93/12</f>
        <v>0</v>
      </c>
      <c r="I93" s="1680">
        <f>SUM(F93:H93)</f>
        <v>43.333333333333329</v>
      </c>
      <c r="J93" s="505">
        <f>IF(E93&gt;0,(I93-E93)/E93,(IF(I93=0,"N/A",100%)))</f>
        <v>0.39784946236559127</v>
      </c>
      <c r="K93" s="1680">
        <f>+'NEW Fall CHP by DISC'!K93/15</f>
        <v>36.266666666666666</v>
      </c>
      <c r="L93" s="1680">
        <f>+'NEW Fall CHP by DISC'!L93/15</f>
        <v>5</v>
      </c>
      <c r="M93" s="1680">
        <f>+'NEW Fall CHP by DISC'!M93/12</f>
        <v>0</v>
      </c>
      <c r="N93" s="1680">
        <f>SUM(K93:M93)</f>
        <v>41.266666666666666</v>
      </c>
      <c r="O93" s="505">
        <f>IF(I93&gt;0,(N93-I93)/I93,(IF(N93=0,"N/A",100%)))</f>
        <v>-4.769230769230761E-2</v>
      </c>
      <c r="P93" s="1680">
        <f>+'NEW Fall CHP by DISC'!P93/15</f>
        <v>41.866666666666667</v>
      </c>
      <c r="Q93" s="1680">
        <f>+'NEW Fall CHP by DISC'!Q93/15</f>
        <v>4.8</v>
      </c>
      <c r="R93" s="1680">
        <f>+'NEW Fall CHP by DISC'!R93/12</f>
        <v>0</v>
      </c>
      <c r="S93" s="1680">
        <f>SUM(P93:R93)</f>
        <v>46.666666666666664</v>
      </c>
      <c r="T93" s="505">
        <f>IF(N93&gt;0,(S93-N93)/N93,(IF(S93=0,"N/A",100%)))</f>
        <v>0.13085621970920838</v>
      </c>
      <c r="U93" s="1680">
        <f>+'NEW Fall CHP by DISC'!U93/15</f>
        <v>36.799999999999997</v>
      </c>
      <c r="V93" s="1680">
        <f>+'NEW Fall CHP by DISC'!V93/15</f>
        <v>8</v>
      </c>
      <c r="W93" s="1680">
        <f>+'NEW Fall CHP by DISC'!W93/12</f>
        <v>0</v>
      </c>
      <c r="X93" s="1680">
        <f>SUM(U93:W93)</f>
        <v>44.8</v>
      </c>
      <c r="Y93" s="505">
        <f>IF(S93&gt;0,(X93-S93)/S93,(IF(X93=0,"N/A",100%)))</f>
        <v>-4.0000000000000015E-2</v>
      </c>
      <c r="Z93" s="1680">
        <f>+'NEW Fall CHP by DISC'!Z93/15</f>
        <v>39.200000000000003</v>
      </c>
      <c r="AA93" s="1680">
        <f>+'NEW Fall CHP by DISC'!AA93/15</f>
        <v>5</v>
      </c>
      <c r="AB93" s="1680">
        <f>+'NEW Fall CHP by DISC'!AB93/12</f>
        <v>0</v>
      </c>
      <c r="AC93" s="1680">
        <f>SUM(Z93:AB93)</f>
        <v>44.2</v>
      </c>
      <c r="AD93" s="505">
        <f>IF(X93&gt;0,(AC93-X93)/X93,(IF(AC93=0,"N/A",100%)))</f>
        <v>-1.3392857142857017E-2</v>
      </c>
      <c r="AE93" s="1680">
        <f>+'NEW Fall CHP by DISC'!AE93/15</f>
        <v>41.6</v>
      </c>
      <c r="AF93" s="1680">
        <f>+'NEW Fall CHP by DISC'!AF93/15</f>
        <v>6.6</v>
      </c>
      <c r="AG93" s="1680">
        <f>+'NEW Fall CHP by DISC'!AG93/12</f>
        <v>0</v>
      </c>
      <c r="AH93" s="1680">
        <f>SUM(AE93:AG93)</f>
        <v>48.2</v>
      </c>
      <c r="AI93" s="505">
        <f>IF(AC93&gt;0,(AH93-AC93)/AC93,(IF(AH93=0,"N/A",100%)))</f>
        <v>9.0497737556561084E-2</v>
      </c>
      <c r="AJ93" s="1680">
        <f>+'NEW Fall CHP by DISC'!AJ93/15</f>
        <v>42.6</v>
      </c>
      <c r="AK93" s="1680">
        <f>+'NEW Fall CHP by DISC'!AK93/15</f>
        <v>8</v>
      </c>
      <c r="AL93" s="1680">
        <f>+'NEW Fall CHP by DISC'!AL93/12</f>
        <v>0</v>
      </c>
      <c r="AM93" s="1680">
        <f>SUM(AJ93:AL93)</f>
        <v>50.6</v>
      </c>
      <c r="AN93" s="491">
        <f>IF(AH93&gt;0,(AM93-AH93)/AH93,(IF(AM93=0,"N/A",100%)))</f>
        <v>4.9792531120331919E-2</v>
      </c>
      <c r="AO93" s="1680">
        <f>+'NEW Fall CHP by DISC'!AO93/15</f>
        <v>31.466666666666665</v>
      </c>
      <c r="AP93" s="1680">
        <f>+'NEW Fall CHP by DISC'!AP93/15</f>
        <v>12.266666666666667</v>
      </c>
      <c r="AQ93" s="1680">
        <f>+'NEW Fall CHP by DISC'!AQ93/12</f>
        <v>0</v>
      </c>
      <c r="AR93" s="1680">
        <f>SUM(AO93:AQ93)</f>
        <v>43.733333333333334</v>
      </c>
      <c r="AS93" s="1679">
        <f>IF(AM93&gt;0,(AR93-AM93)/AM93,(IF(AR93=0,"N/A",100%)))</f>
        <v>-0.13570487483530963</v>
      </c>
    </row>
    <row r="94" spans="1:45" x14ac:dyDescent="0.25">
      <c r="A94" s="1319" t="s">
        <v>854</v>
      </c>
      <c r="B94" s="1680">
        <f>+'NEW Fall CHP by DISC'!B94/15</f>
        <v>171.6</v>
      </c>
      <c r="C94" s="1680">
        <f>+'NEW Fall CHP by DISC'!C94/15</f>
        <v>7.2</v>
      </c>
      <c r="D94" s="1680">
        <f>+'NEW Fall CHP by DISC'!D94/12</f>
        <v>0</v>
      </c>
      <c r="E94" s="1678">
        <f>SUM(B94:D94)</f>
        <v>178.79999999999998</v>
      </c>
      <c r="F94" s="1680">
        <f>+'NEW Fall CHP by DISC'!F94/15</f>
        <v>172.6</v>
      </c>
      <c r="G94" s="1680">
        <f>+'NEW Fall CHP by DISC'!G94/15</f>
        <v>9.4</v>
      </c>
      <c r="H94" s="1680">
        <f>+'NEW Fall CHP by DISC'!H94/12</f>
        <v>0</v>
      </c>
      <c r="I94" s="1680">
        <f>SUM(F94:H94)</f>
        <v>182</v>
      </c>
      <c r="J94" s="505">
        <f>IF(E94&gt;0,(I94-E94)/E94,(IF(I94=0,"N/A",100%)))</f>
        <v>1.7897091722595175E-2</v>
      </c>
      <c r="K94" s="1680">
        <f>+'NEW Fall CHP by DISC'!K94/15</f>
        <v>181.4</v>
      </c>
      <c r="L94" s="1680">
        <f>+'NEW Fall CHP by DISC'!L94/15</f>
        <v>7.4</v>
      </c>
      <c r="M94" s="1680">
        <f>+'NEW Fall CHP by DISC'!M94/12</f>
        <v>0</v>
      </c>
      <c r="N94" s="1680">
        <f>SUM(K94:M94)</f>
        <v>188.8</v>
      </c>
      <c r="O94" s="505">
        <f>IF(I94&gt;0,(N94-I94)/I94,(IF(N94=0,"N/A",100%)))</f>
        <v>3.7362637362637424E-2</v>
      </c>
      <c r="P94" s="1680">
        <f>+'NEW Fall CHP by DISC'!P94/15</f>
        <v>212.13333333333333</v>
      </c>
      <c r="Q94" s="1680">
        <f>+'NEW Fall CHP by DISC'!Q94/15</f>
        <v>7.2</v>
      </c>
      <c r="R94" s="1680">
        <f>+'NEW Fall CHP by DISC'!R94/12</f>
        <v>0</v>
      </c>
      <c r="S94" s="1680">
        <f>SUM(P94:R94)</f>
        <v>219.33333333333331</v>
      </c>
      <c r="T94" s="505">
        <f>IF(N94&gt;0,(S94-N94)/N94,(IF(S94=0,"N/A",100%)))</f>
        <v>0.16172316384180774</v>
      </c>
      <c r="U94" s="1680">
        <f>+'NEW Fall CHP by DISC'!U94/15</f>
        <v>193.66666666666666</v>
      </c>
      <c r="V94" s="1680">
        <f>+'NEW Fall CHP by DISC'!V94/15</f>
        <v>8.8000000000000007</v>
      </c>
      <c r="W94" s="1680">
        <f>+'NEW Fall CHP by DISC'!W94/12</f>
        <v>0</v>
      </c>
      <c r="X94" s="1680">
        <f>SUM(U94:W94)</f>
        <v>202.46666666666667</v>
      </c>
      <c r="Y94" s="505">
        <f>IF(S94&gt;0,(X94-S94)/S94,(IF(X94=0,"N/A",100%)))</f>
        <v>-7.689969604863213E-2</v>
      </c>
      <c r="Z94" s="1680">
        <f>+'NEW Fall CHP by DISC'!Z94/15</f>
        <v>182.26666666666668</v>
      </c>
      <c r="AA94" s="1680">
        <f>+'NEW Fall CHP by DISC'!AA94/15</f>
        <v>12.2</v>
      </c>
      <c r="AB94" s="1680">
        <f>+'NEW Fall CHP by DISC'!AB94/12</f>
        <v>0</v>
      </c>
      <c r="AC94" s="1680">
        <f>SUM(Z94:AB94)</f>
        <v>194.46666666666667</v>
      </c>
      <c r="AD94" s="505">
        <f>IF(X94&gt;0,(AC94-X94)/X94,(IF(AC94=0,"N/A",100%)))</f>
        <v>-3.9512676983865659E-2</v>
      </c>
      <c r="AE94" s="1680">
        <f>+'NEW Fall CHP by DISC'!AE94/15</f>
        <v>176.6</v>
      </c>
      <c r="AF94" s="1680">
        <f>+'NEW Fall CHP by DISC'!AF94/15</f>
        <v>10.199999999999999</v>
      </c>
      <c r="AG94" s="1680">
        <f>+'NEW Fall CHP by DISC'!AG94/12</f>
        <v>0</v>
      </c>
      <c r="AH94" s="1680">
        <f>SUM(AE94:AG94)</f>
        <v>186.79999999999998</v>
      </c>
      <c r="AI94" s="505">
        <f>IF(AC94&gt;0,(AH94-AC94)/AC94,(IF(AH94=0,"N/A",100%)))</f>
        <v>-3.9424065821049119E-2</v>
      </c>
      <c r="AJ94" s="1680">
        <f>+'NEW Fall CHP by DISC'!AJ94/15</f>
        <v>160.80000000000001</v>
      </c>
      <c r="AK94" s="1680">
        <f>+'NEW Fall CHP by DISC'!AK94/15</f>
        <v>15</v>
      </c>
      <c r="AL94" s="1680">
        <f>+'NEW Fall CHP by DISC'!AL94/12</f>
        <v>0</v>
      </c>
      <c r="AM94" s="1680">
        <f>SUM(AJ94:AL94)</f>
        <v>175.8</v>
      </c>
      <c r="AN94" s="491">
        <f>IF(AH94&gt;0,(AM94-AH94)/AH94,(IF(AM94=0,"N/A",100%)))</f>
        <v>-5.8886509635974159E-2</v>
      </c>
      <c r="AO94" s="1680">
        <f>+'NEW Fall CHP by DISC'!AO94/15</f>
        <v>166.06666666666666</v>
      </c>
      <c r="AP94" s="1680">
        <f>+'NEW Fall CHP by DISC'!AP94/15</f>
        <v>10.8</v>
      </c>
      <c r="AQ94" s="1680">
        <f>+'NEW Fall CHP by DISC'!AQ94/12</f>
        <v>0</v>
      </c>
      <c r="AR94" s="1680">
        <f>SUM(AO94:AQ94)</f>
        <v>176.86666666666667</v>
      </c>
      <c r="AS94" s="1679">
        <f>IF(AM94&gt;0,(AR94-AM94)/AM94,(IF(AR94=0,"N/A",100%)))</f>
        <v>6.0675009480470011E-3</v>
      </c>
    </row>
    <row r="95" spans="1:45" s="484" customFormat="1" ht="13.8" x14ac:dyDescent="0.25">
      <c r="A95" s="1345" t="s">
        <v>1015</v>
      </c>
      <c r="B95" s="1776">
        <f t="shared" ref="B95:I95" si="90">SUM(B93:B94)</f>
        <v>198.2</v>
      </c>
      <c r="C95" s="1776">
        <f t="shared" si="90"/>
        <v>11.600000000000001</v>
      </c>
      <c r="D95" s="1776">
        <f t="shared" si="90"/>
        <v>0</v>
      </c>
      <c r="E95" s="1872">
        <f t="shared" si="90"/>
        <v>209.79999999999998</v>
      </c>
      <c r="F95" s="1776">
        <f t="shared" si="90"/>
        <v>211.13333333333333</v>
      </c>
      <c r="G95" s="1776">
        <f t="shared" si="90"/>
        <v>14.2</v>
      </c>
      <c r="H95" s="1776">
        <f t="shared" si="90"/>
        <v>0</v>
      </c>
      <c r="I95" s="1776">
        <f t="shared" si="90"/>
        <v>225.33333333333331</v>
      </c>
      <c r="J95" s="586">
        <f>IF(E95&gt;0,(I95-E95)/E95,(IF(I95=0,"N/A",100%)))</f>
        <v>7.4038767079758497E-2</v>
      </c>
      <c r="K95" s="1776">
        <f>SUM(K93:K94)</f>
        <v>217.66666666666669</v>
      </c>
      <c r="L95" s="1776">
        <f>SUM(L93:L94)</f>
        <v>12.4</v>
      </c>
      <c r="M95" s="1776">
        <f>SUM(M93:M94)</f>
        <v>0</v>
      </c>
      <c r="N95" s="1776">
        <f>SUM(N93:N94)</f>
        <v>230.06666666666666</v>
      </c>
      <c r="O95" s="586">
        <f>IF(I95&gt;0,(N95-I95)/I95,(IF(N95=0,"N/A",100%)))</f>
        <v>2.1005917159763382E-2</v>
      </c>
      <c r="P95" s="1776">
        <f>SUM(P93:P94)</f>
        <v>254</v>
      </c>
      <c r="Q95" s="1776">
        <f>SUM(Q93:Q94)</f>
        <v>12</v>
      </c>
      <c r="R95" s="1776">
        <f>SUM(R93:R94)</f>
        <v>0</v>
      </c>
      <c r="S95" s="1776">
        <f>SUM(S93:S94)</f>
        <v>266</v>
      </c>
      <c r="T95" s="586">
        <f>IF(N95&gt;0,(S95-N95)/N95,(IF(S95=0,"N/A",100%)))</f>
        <v>0.15618661257606492</v>
      </c>
      <c r="U95" s="1776">
        <f>SUM(U93:U94)</f>
        <v>230.46666666666664</v>
      </c>
      <c r="V95" s="1776">
        <f>SUM(V93:V94)</f>
        <v>16.8</v>
      </c>
      <c r="W95" s="1776">
        <f>SUM(W93:W94)</f>
        <v>0</v>
      </c>
      <c r="X95" s="1776">
        <f>SUM(X93:X94)</f>
        <v>247.26666666666665</v>
      </c>
      <c r="Y95" s="586">
        <f>IF(S95&gt;0,(X95-S95)/S95,(IF(X95=0,"N/A",100%)))</f>
        <v>-7.0426065162907323E-2</v>
      </c>
      <c r="Z95" s="1776">
        <f>SUM(Z93:Z94)</f>
        <v>221.4666666666667</v>
      </c>
      <c r="AA95" s="1776">
        <f>SUM(AA93:AA94)</f>
        <v>17.2</v>
      </c>
      <c r="AB95" s="1776">
        <f>SUM(AB93:AB94)</f>
        <v>0</v>
      </c>
      <c r="AC95" s="1776">
        <f>SUM(AC93:AC94)</f>
        <v>238.66666666666669</v>
      </c>
      <c r="AD95" s="586">
        <f>IF(X95&gt;0,(AC95-X95)/X95,(IF(AC95=0,"N/A",100%)))</f>
        <v>-3.4780264222162169E-2</v>
      </c>
      <c r="AE95" s="1776">
        <f>SUM(AE93:AE94)</f>
        <v>218.2</v>
      </c>
      <c r="AF95" s="1776">
        <f>SUM(AF93:AF94)</f>
        <v>16.799999999999997</v>
      </c>
      <c r="AG95" s="1776">
        <f>SUM(AG93:AG94)</f>
        <v>0</v>
      </c>
      <c r="AH95" s="1776">
        <f>SUM(AH93:AH94)</f>
        <v>235</v>
      </c>
      <c r="AI95" s="586">
        <f>IF(AC95&gt;0,(AH95-AC95)/AC95,(IF(AH95=0,"N/A",100%)))</f>
        <v>-1.5363128491620189E-2</v>
      </c>
      <c r="AJ95" s="1776">
        <f>SUM(AJ93:AJ94)</f>
        <v>203.4</v>
      </c>
      <c r="AK95" s="1776">
        <f>SUM(AK93:AK94)</f>
        <v>23</v>
      </c>
      <c r="AL95" s="1776">
        <f>SUM(AL93:AL94)</f>
        <v>0</v>
      </c>
      <c r="AM95" s="1776">
        <f>SUM(AM93:AM94)</f>
        <v>226.4</v>
      </c>
      <c r="AN95" s="496">
        <f>IF(AH95&gt;0,(AM95-AH95)/AH95,(IF(AM95=0,"N/A",100%)))</f>
        <v>-3.6595744680851042E-2</v>
      </c>
      <c r="AO95" s="1776">
        <f>SUM(AO93:AO94)</f>
        <v>197.53333333333333</v>
      </c>
      <c r="AP95" s="1776">
        <f>SUM(AP93:AP94)</f>
        <v>23.06666666666667</v>
      </c>
      <c r="AQ95" s="1776">
        <f>SUM(AQ93:AQ94)</f>
        <v>0</v>
      </c>
      <c r="AR95" s="1776">
        <f>SUM(AR93:AR94)</f>
        <v>220.60000000000002</v>
      </c>
      <c r="AS95" s="1772">
        <f>IF(AM95&gt;0,(AR95-AM95)/AM95,(IF(AR95=0,"N/A",100%)))</f>
        <v>-2.5618374558303812E-2</v>
      </c>
    </row>
    <row r="96" spans="1:45" customFormat="1" x14ac:dyDescent="0.25">
      <c r="A96" s="423" t="s">
        <v>414</v>
      </c>
      <c r="B96" s="1258"/>
      <c r="C96" s="1258"/>
      <c r="D96" s="1258"/>
      <c r="E96" s="516"/>
      <c r="F96" s="1258"/>
      <c r="G96" s="1258"/>
      <c r="H96" s="1258"/>
      <c r="I96" s="1258"/>
      <c r="J96" s="516"/>
      <c r="K96" s="1878"/>
      <c r="L96" s="1258"/>
      <c r="M96" s="1258"/>
      <c r="N96" s="1258"/>
      <c r="O96" s="516"/>
      <c r="P96" s="1878"/>
      <c r="Q96" s="1258"/>
      <c r="R96" s="1258"/>
      <c r="S96" s="1258"/>
      <c r="T96" s="516"/>
      <c r="U96" s="1878"/>
      <c r="V96" s="1258"/>
      <c r="W96" s="1258"/>
      <c r="X96" s="1258"/>
      <c r="Y96" s="516"/>
      <c r="Z96" s="1878"/>
      <c r="AA96" s="1258"/>
      <c r="AB96" s="1258"/>
      <c r="AC96" s="1258"/>
      <c r="AD96" s="516"/>
      <c r="AE96" s="1878"/>
      <c r="AF96" s="1258"/>
      <c r="AG96" s="1258"/>
      <c r="AH96" s="1258"/>
      <c r="AI96" s="516"/>
      <c r="AJ96" s="1878"/>
      <c r="AK96" s="1258"/>
      <c r="AL96" s="1258"/>
      <c r="AM96" s="1258"/>
      <c r="AN96" s="516"/>
      <c r="AO96" s="1878"/>
      <c r="AP96" s="1258"/>
      <c r="AQ96" s="1258"/>
      <c r="AR96" s="1258"/>
      <c r="AS96" s="516"/>
    </row>
    <row r="97" spans="1:45" x14ac:dyDescent="0.25">
      <c r="A97" s="1319" t="s">
        <v>1061</v>
      </c>
      <c r="B97" s="1680">
        <f>+'NEW Fall CHP by DISC'!B97/15</f>
        <v>99.466666666666669</v>
      </c>
      <c r="C97" s="1680">
        <f>+'NEW Fall CHP by DISC'!C97/15</f>
        <v>10.933333333333334</v>
      </c>
      <c r="D97" s="1680">
        <f>+'NEW Fall CHP by DISC'!D97/12</f>
        <v>0</v>
      </c>
      <c r="E97" s="326">
        <f>SUM(B97:D97)</f>
        <v>110.4</v>
      </c>
      <c r="F97" s="1680">
        <f>+'NEW Fall CHP by DISC'!F97/15</f>
        <v>102.66666666666667</v>
      </c>
      <c r="G97" s="1680">
        <f>+'NEW Fall CHP by DISC'!G97/15</f>
        <v>14.133333333333333</v>
      </c>
      <c r="H97" s="1680">
        <f>+'NEW Fall CHP by DISC'!H97/12</f>
        <v>0</v>
      </c>
      <c r="I97" s="1246">
        <f>SUM(F97:H97)</f>
        <v>116.80000000000001</v>
      </c>
      <c r="J97" s="491">
        <f>IF(E97&gt;0,(I97-E97)/E97,(IF(I97=0,"N/A",100%)))</f>
        <v>5.7971014492753672E-2</v>
      </c>
      <c r="K97" s="1680">
        <f>+'NEW Fall CHP by DISC'!K97/15</f>
        <v>121.06666666666666</v>
      </c>
      <c r="L97" s="1680">
        <f>+'NEW Fall CHP by DISC'!L97/15</f>
        <v>11.4</v>
      </c>
      <c r="M97" s="1680">
        <f>+'NEW Fall CHP by DISC'!M97/12</f>
        <v>0</v>
      </c>
      <c r="N97" s="1246">
        <f>SUM(K97:M97)</f>
        <v>132.46666666666667</v>
      </c>
      <c r="O97" s="491">
        <f>IF(I97&gt;0,(N97-I97)/I97,(IF(N97=0,"N/A",100%)))</f>
        <v>0.13413242009132412</v>
      </c>
      <c r="P97" s="1680">
        <f>+'NEW Fall CHP by DISC'!P97/15</f>
        <v>134.4</v>
      </c>
      <c r="Q97" s="1680">
        <f>+'NEW Fall CHP by DISC'!Q97/15</f>
        <v>11.133333333333333</v>
      </c>
      <c r="R97" s="1680">
        <f>+'NEW Fall CHP by DISC'!R97/12</f>
        <v>0</v>
      </c>
      <c r="S97" s="1246">
        <f>SUM(P97:R97)</f>
        <v>145.53333333333333</v>
      </c>
      <c r="T97" s="491">
        <f>IF(N97&gt;0,(S97-N97)/N97,(IF(S97=0,"N/A",100%)))</f>
        <v>9.8641167589330614E-2</v>
      </c>
      <c r="U97" s="1680">
        <f>+'NEW Fall CHP by DISC'!U97/15</f>
        <v>130.93333333333334</v>
      </c>
      <c r="V97" s="1680">
        <f>+'NEW Fall CHP by DISC'!V97/15</f>
        <v>10.4</v>
      </c>
      <c r="W97" s="1680">
        <f>+'NEW Fall CHP by DISC'!W97/12</f>
        <v>0</v>
      </c>
      <c r="X97" s="1246">
        <f>SUM(U97:W97)</f>
        <v>141.33333333333334</v>
      </c>
      <c r="Y97" s="491">
        <f>IF(S97&gt;0,(X97-S97)/S97,(IF(X97=0,"N/A",100%)))</f>
        <v>-2.8859367842418611E-2</v>
      </c>
      <c r="Z97" s="1680">
        <f>+'NEW Fall CHP by DISC'!Z97/15</f>
        <v>139.73333333333332</v>
      </c>
      <c r="AA97" s="1680">
        <f>+'NEW Fall CHP by DISC'!AA97/15</f>
        <v>11.333333333333334</v>
      </c>
      <c r="AB97" s="1680">
        <f>+'NEW Fall CHP by DISC'!AB97/12</f>
        <v>0</v>
      </c>
      <c r="AC97" s="1246">
        <f>SUM(Z97:AB97)</f>
        <v>151.06666666666666</v>
      </c>
      <c r="AD97" s="491">
        <f>IF(X97&gt;0,(AC97-X97)/X97,(IF(AC97=0,"N/A",100%)))</f>
        <v>6.8867924528301788E-2</v>
      </c>
      <c r="AE97" s="1680">
        <f>+'NEW Fall CHP by DISC'!AE97/15</f>
        <v>114.66666666666667</v>
      </c>
      <c r="AF97" s="1680">
        <f>+'NEW Fall CHP by DISC'!AF97/15</f>
        <v>13.133333333333333</v>
      </c>
      <c r="AG97" s="1680">
        <f>+'NEW Fall CHP by DISC'!AG97/12</f>
        <v>0</v>
      </c>
      <c r="AH97" s="1246">
        <f>SUM(AE97:AG97)</f>
        <v>127.80000000000001</v>
      </c>
      <c r="AI97" s="491">
        <f>IF(AC97&gt;0,(AH97-AC97)/AC97,(IF(AH97=0,"N/A",100%)))</f>
        <v>-0.15401588702559565</v>
      </c>
      <c r="AJ97" s="1680">
        <f>+'NEW Fall CHP by DISC'!AJ97/15</f>
        <v>129.06666666666666</v>
      </c>
      <c r="AK97" s="1680">
        <f>+'NEW Fall CHP by DISC'!AK97/15</f>
        <v>9.4</v>
      </c>
      <c r="AL97" s="1680">
        <f>+'NEW Fall CHP by DISC'!AL97/12</f>
        <v>0</v>
      </c>
      <c r="AM97" s="1246">
        <f>SUM(AJ97:AL97)</f>
        <v>138.46666666666667</v>
      </c>
      <c r="AN97" s="491">
        <f>IF(AH97&gt;0,(AM97-AH97)/AH97,(IF(AM97=0,"N/A",100%)))</f>
        <v>8.3463745435576345E-2</v>
      </c>
      <c r="AO97" s="1680">
        <f>+'NEW Fall CHP by DISC'!AO97/15</f>
        <v>128.53333333333333</v>
      </c>
      <c r="AP97" s="1680">
        <f>+'NEW Fall CHP by DISC'!AP97/15</f>
        <v>9</v>
      </c>
      <c r="AQ97" s="1680">
        <f>+'NEW Fall CHP by DISC'!AQ97/12</f>
        <v>0</v>
      </c>
      <c r="AR97" s="1246">
        <f>SUM(AO97:AQ97)</f>
        <v>137.53333333333333</v>
      </c>
      <c r="AS97" s="491">
        <f>IF(AM97&gt;0,(AR97-AM97)/AM97,(IF(AR97=0,"N/A",100%)))</f>
        <v>-6.7404910929225112E-3</v>
      </c>
    </row>
    <row r="98" spans="1:45" x14ac:dyDescent="0.25">
      <c r="A98" s="1319" t="s">
        <v>1062</v>
      </c>
      <c r="B98" s="1680">
        <f>+'NEW Fall CHP by DISC'!B98/15</f>
        <v>0</v>
      </c>
      <c r="C98" s="1680">
        <f>+'NEW Fall CHP by DISC'!C98/15</f>
        <v>0.8</v>
      </c>
      <c r="D98" s="1680">
        <f>+'NEW Fall CHP by DISC'!D98/12</f>
        <v>0</v>
      </c>
      <c r="E98" s="326">
        <f>SUM(B98:D98)</f>
        <v>0.8</v>
      </c>
      <c r="F98" s="1680">
        <f>+'NEW Fall CHP by DISC'!F98/15</f>
        <v>0</v>
      </c>
      <c r="G98" s="1680">
        <f>+'NEW Fall CHP by DISC'!G98/15</f>
        <v>3.6</v>
      </c>
      <c r="H98" s="1680">
        <f>+'NEW Fall CHP by DISC'!H98/12</f>
        <v>0</v>
      </c>
      <c r="I98" s="1246">
        <f>SUM(F98:H98)</f>
        <v>3.6</v>
      </c>
      <c r="J98" s="491">
        <f>IF(E98&gt;0,(I98-E98)/E98,(IF(I98=0,"N/A",100%)))</f>
        <v>3.4999999999999996</v>
      </c>
      <c r="K98" s="1680">
        <f>+'NEW Fall CHP by DISC'!K98/15</f>
        <v>0</v>
      </c>
      <c r="L98" s="1680">
        <f>+'NEW Fall CHP by DISC'!L98/15</f>
        <v>3.5333333333333332</v>
      </c>
      <c r="M98" s="1680">
        <f>+'NEW Fall CHP by DISC'!M98/12</f>
        <v>0</v>
      </c>
      <c r="N98" s="1246">
        <f>SUM(K98:M98)</f>
        <v>3.5333333333333332</v>
      </c>
      <c r="O98" s="491">
        <f>IF(I98&gt;0,(N98-I98)/I98,(IF(N98=0,"N/A",100%)))</f>
        <v>-1.8518518518518576E-2</v>
      </c>
      <c r="P98" s="1680">
        <f>+'NEW Fall CHP by DISC'!P98/15</f>
        <v>0</v>
      </c>
      <c r="Q98" s="1680">
        <f>+'NEW Fall CHP by DISC'!Q98/15</f>
        <v>5.2</v>
      </c>
      <c r="R98" s="1680">
        <f>+'NEW Fall CHP by DISC'!R98/12</f>
        <v>0</v>
      </c>
      <c r="S98" s="1246">
        <f>SUM(P98:R98)</f>
        <v>5.2</v>
      </c>
      <c r="T98" s="491">
        <f>IF(N98&gt;0,(S98-N98)/N98,(IF(S98=0,"N/A",100%)))</f>
        <v>0.47169811320754729</v>
      </c>
      <c r="U98" s="1680">
        <f>+'NEW Fall CHP by DISC'!U98/15</f>
        <v>0</v>
      </c>
      <c r="V98" s="1680">
        <f>+'NEW Fall CHP by DISC'!V98/15</f>
        <v>5</v>
      </c>
      <c r="W98" s="1680">
        <f>+'NEW Fall CHP by DISC'!W98/12</f>
        <v>0</v>
      </c>
      <c r="X98" s="1246">
        <f>SUM(U98:W98)</f>
        <v>5</v>
      </c>
      <c r="Y98" s="491">
        <f>IF(S98&gt;0,(X98-S98)/S98,(IF(X98=0,"N/A",100%)))</f>
        <v>-3.8461538461538491E-2</v>
      </c>
      <c r="Z98" s="1680">
        <f>+'NEW Fall CHP by DISC'!Z98/15</f>
        <v>0</v>
      </c>
      <c r="AA98" s="1680">
        <f>+'NEW Fall CHP by DISC'!AA98/15</f>
        <v>5.8</v>
      </c>
      <c r="AB98" s="1680">
        <f>+'NEW Fall CHP by DISC'!AB98/12</f>
        <v>0</v>
      </c>
      <c r="AC98" s="1246">
        <f>SUM(Z98:AB98)</f>
        <v>5.8</v>
      </c>
      <c r="AD98" s="491">
        <f>IF(X98&gt;0,(AC98-X98)/X98,(IF(AC98=0,"N/A",100%)))</f>
        <v>0.15999999999999998</v>
      </c>
      <c r="AE98" s="1680">
        <f>+'NEW Fall CHP by DISC'!AE98/15</f>
        <v>0</v>
      </c>
      <c r="AF98" s="1680">
        <f>+'NEW Fall CHP by DISC'!AF98/15</f>
        <v>5.2</v>
      </c>
      <c r="AG98" s="1680">
        <f>+'NEW Fall CHP by DISC'!AG98/12</f>
        <v>0</v>
      </c>
      <c r="AH98" s="1246">
        <f>SUM(AE98:AG98)</f>
        <v>5.2</v>
      </c>
      <c r="AI98" s="491">
        <f>IF(AC98&gt;0,(AH98-AC98)/AC98,(IF(AH98=0,"N/A",100%)))</f>
        <v>-0.10344827586206891</v>
      </c>
      <c r="AJ98" s="1680">
        <f>+'NEW Fall CHP by DISC'!AJ98/15</f>
        <v>0</v>
      </c>
      <c r="AK98" s="1680">
        <f>+'NEW Fall CHP by DISC'!AK98/15</f>
        <v>6.333333333333333</v>
      </c>
      <c r="AL98" s="1680">
        <f>+'NEW Fall CHP by DISC'!AL98/12</f>
        <v>0</v>
      </c>
      <c r="AM98" s="1246">
        <f>SUM(AJ98:AL98)</f>
        <v>6.333333333333333</v>
      </c>
      <c r="AN98" s="491">
        <f>IF(AH98&gt;0,(AM98-AH98)/AH98,(IF(AM98=0,"N/A",100%)))</f>
        <v>0.21794871794871784</v>
      </c>
      <c r="AO98" s="1680">
        <f>+'NEW Fall CHP by DISC'!AO98/15</f>
        <v>0</v>
      </c>
      <c r="AP98" s="1680">
        <f>+'NEW Fall CHP by DISC'!AP98/15</f>
        <v>3</v>
      </c>
      <c r="AQ98" s="1680">
        <f>+'NEW Fall CHP by DISC'!AQ98/12</f>
        <v>0</v>
      </c>
      <c r="AR98" s="1246">
        <f>SUM(AO98:AQ98)</f>
        <v>3</v>
      </c>
      <c r="AS98" s="491">
        <f>IF(AM98&gt;0,(AR98-AM98)/AM98,(IF(AR98=0,"N/A",100%)))</f>
        <v>-0.52631578947368418</v>
      </c>
    </row>
    <row r="99" spans="1:45" x14ac:dyDescent="0.25">
      <c r="A99" s="1319" t="s">
        <v>1064</v>
      </c>
      <c r="B99" s="1680">
        <f>+'NEW Fall CHP by DISC'!B99/15</f>
        <v>8.2666666666666675</v>
      </c>
      <c r="C99" s="1680">
        <f>+'NEW Fall CHP by DISC'!C99/15</f>
        <v>0</v>
      </c>
      <c r="D99" s="1680">
        <f>+'NEW Fall CHP by DISC'!D99/12</f>
        <v>0</v>
      </c>
      <c r="E99" s="326">
        <f>SUM(B99:D99)</f>
        <v>8.2666666666666675</v>
      </c>
      <c r="F99" s="1680">
        <f>+'NEW Fall CHP by DISC'!F99/15</f>
        <v>8.5333333333333332</v>
      </c>
      <c r="G99" s="1680">
        <f>+'NEW Fall CHP by DISC'!G99/15</f>
        <v>0</v>
      </c>
      <c r="H99" s="1680">
        <f>+'NEW Fall CHP by DISC'!H99/12</f>
        <v>0</v>
      </c>
      <c r="I99" s="1246">
        <f>SUM(F99:H99)</f>
        <v>8.5333333333333332</v>
      </c>
      <c r="J99" s="491">
        <f>IF(E99&gt;0,(I99-E99)/E99,(IF(I99=0,"N/A",100%)))</f>
        <v>3.2258064516128913E-2</v>
      </c>
      <c r="K99" s="1680">
        <f>+'NEW Fall CHP by DISC'!K99/15</f>
        <v>8.8000000000000007</v>
      </c>
      <c r="L99" s="1680">
        <f>+'NEW Fall CHP by DISC'!L99/15</f>
        <v>0</v>
      </c>
      <c r="M99" s="1680">
        <f>+'NEW Fall CHP by DISC'!M99/12</f>
        <v>0</v>
      </c>
      <c r="N99" s="1246">
        <f>SUM(K99:M99)</f>
        <v>8.8000000000000007</v>
      </c>
      <c r="O99" s="491">
        <f>IF(I99&gt;0,(N99-I99)/I99,(IF(N99=0,"N/A",100%)))</f>
        <v>3.1250000000000097E-2</v>
      </c>
      <c r="P99" s="1680">
        <f>+'NEW Fall CHP by DISC'!P99/15</f>
        <v>10.666666666666666</v>
      </c>
      <c r="Q99" s="1680">
        <f>+'NEW Fall CHP by DISC'!Q99/15</f>
        <v>0.2</v>
      </c>
      <c r="R99" s="1680">
        <f>+'NEW Fall CHP by DISC'!R99/12</f>
        <v>0</v>
      </c>
      <c r="S99" s="1246">
        <f>SUM(P99:R99)</f>
        <v>10.866666666666665</v>
      </c>
      <c r="T99" s="491">
        <f>IF(N99&gt;0,(S99-N99)/N99,(IF(S99=0,"N/A",100%)))</f>
        <v>0.23484848484848461</v>
      </c>
      <c r="U99" s="1680">
        <f>+'NEW Fall CHP by DISC'!U99/15</f>
        <v>14.666666666666666</v>
      </c>
      <c r="V99" s="1680">
        <f>+'NEW Fall CHP by DISC'!V99/15</f>
        <v>0</v>
      </c>
      <c r="W99" s="1680">
        <f>+'NEW Fall CHP by DISC'!W99/12</f>
        <v>0</v>
      </c>
      <c r="X99" s="1246">
        <f>SUM(U99:W99)</f>
        <v>14.666666666666666</v>
      </c>
      <c r="Y99" s="491">
        <f>IF(S99&gt;0,(X99-S99)/S99,(IF(X99=0,"N/A",100%)))</f>
        <v>0.34969325153374242</v>
      </c>
      <c r="Z99" s="1680">
        <f>+'NEW Fall CHP by DISC'!Z99/15</f>
        <v>12.533333333333333</v>
      </c>
      <c r="AA99" s="1680">
        <f>+'NEW Fall CHP by DISC'!AA99/15</f>
        <v>0</v>
      </c>
      <c r="AB99" s="1680">
        <f>+'NEW Fall CHP by DISC'!AB99/12</f>
        <v>0</v>
      </c>
      <c r="AC99" s="1246">
        <f>SUM(Z99:AB99)</f>
        <v>12.533333333333333</v>
      </c>
      <c r="AD99" s="491">
        <f>IF(X99&gt;0,(AC99-X99)/X99,(IF(AC99=0,"N/A",100%)))</f>
        <v>-0.14545454545454542</v>
      </c>
      <c r="AE99" s="1680">
        <f>+'NEW Fall CHP by DISC'!AE99/15</f>
        <v>14.133333333333333</v>
      </c>
      <c r="AF99" s="1680">
        <f>+'NEW Fall CHP by DISC'!AF99/15</f>
        <v>0</v>
      </c>
      <c r="AG99" s="1680">
        <f>+'NEW Fall CHP by DISC'!AG99/12</f>
        <v>0</v>
      </c>
      <c r="AH99" s="1246">
        <f>SUM(AE99:AG99)</f>
        <v>14.133333333333333</v>
      </c>
      <c r="AI99" s="491">
        <f>IF(AC99&gt;0,(AH99-AC99)/AC99,(IF(AH99=0,"N/A",100%)))</f>
        <v>0.12765957446808507</v>
      </c>
      <c r="AJ99" s="1680">
        <f>+'NEW Fall CHP by DISC'!AJ99/15</f>
        <v>12.8</v>
      </c>
      <c r="AK99" s="1680">
        <f>+'NEW Fall CHP by DISC'!AK99/15</f>
        <v>0</v>
      </c>
      <c r="AL99" s="1680">
        <f>+'NEW Fall CHP by DISC'!AL99/12</f>
        <v>0</v>
      </c>
      <c r="AM99" s="1246">
        <f>SUM(AJ99:AL99)</f>
        <v>12.8</v>
      </c>
      <c r="AN99" s="491">
        <f>IF(AH99&gt;0,(AM99-AH99)/AH99,(IF(AM99=0,"N/A",100%)))</f>
        <v>-9.4339622641509358E-2</v>
      </c>
      <c r="AO99" s="1680">
        <f>+'NEW Fall CHP by DISC'!AO99/15</f>
        <v>13.6</v>
      </c>
      <c r="AP99" s="1680">
        <f>+'NEW Fall CHP by DISC'!AP99/15</f>
        <v>0</v>
      </c>
      <c r="AQ99" s="1680">
        <f>+'NEW Fall CHP by DISC'!AQ99/12</f>
        <v>0</v>
      </c>
      <c r="AR99" s="1246">
        <f>SUM(AO99:AQ99)</f>
        <v>13.6</v>
      </c>
      <c r="AS99" s="491">
        <f>IF(AM99&gt;0,(AR99-AM99)/AM99,(IF(AR99=0,"N/A",100%)))</f>
        <v>6.2499999999999917E-2</v>
      </c>
    </row>
    <row r="100" spans="1:45" x14ac:dyDescent="0.25">
      <c r="A100" s="1319" t="s">
        <v>1065</v>
      </c>
      <c r="B100" s="1680">
        <f>+'NEW Fall CHP by DISC'!B100/15</f>
        <v>31.733333333333334</v>
      </c>
      <c r="C100" s="1680">
        <f>+'NEW Fall CHP by DISC'!C100/15</f>
        <v>0</v>
      </c>
      <c r="D100" s="1680">
        <f>+'NEW Fall CHP by DISC'!D100/12</f>
        <v>0</v>
      </c>
      <c r="E100" s="326">
        <f>SUM(B100:D100)</f>
        <v>31.733333333333334</v>
      </c>
      <c r="F100" s="1680">
        <f>+'NEW Fall CHP by DISC'!F100/15</f>
        <v>31.733333333333334</v>
      </c>
      <c r="G100" s="1680">
        <f>+'NEW Fall CHP by DISC'!G100/15</f>
        <v>0</v>
      </c>
      <c r="H100" s="1680">
        <f>+'NEW Fall CHP by DISC'!H100/12</f>
        <v>0</v>
      </c>
      <c r="I100" s="1246">
        <f>SUM(F100:H100)</f>
        <v>31.733333333333334</v>
      </c>
      <c r="J100" s="491">
        <f>IF(E100&gt;0,(I100-E100)/E100,(IF(I100=0,"N/A",100%)))</f>
        <v>0</v>
      </c>
      <c r="K100" s="1680">
        <f>+'NEW Fall CHP by DISC'!K100/15</f>
        <v>32.799999999999997</v>
      </c>
      <c r="L100" s="1680">
        <f>+'NEW Fall CHP by DISC'!L100/15</f>
        <v>0</v>
      </c>
      <c r="M100" s="1680">
        <f>+'NEW Fall CHP by DISC'!M100/12</f>
        <v>0</v>
      </c>
      <c r="N100" s="1246">
        <f>SUM(K100:M100)</f>
        <v>32.799999999999997</v>
      </c>
      <c r="O100" s="491">
        <f>IF(I100&gt;0,(N100-I100)/I100,(IF(N100=0,"N/A",100%)))</f>
        <v>3.3613445378151141E-2</v>
      </c>
      <c r="P100" s="1680">
        <f>+'NEW Fall CHP by DISC'!P100/15</f>
        <v>32</v>
      </c>
      <c r="Q100" s="1680">
        <f>+'NEW Fall CHP by DISC'!Q100/15</f>
        <v>0</v>
      </c>
      <c r="R100" s="1680">
        <f>+'NEW Fall CHP by DISC'!R100/12</f>
        <v>0</v>
      </c>
      <c r="S100" s="1246">
        <f>SUM(P100:R100)</f>
        <v>32</v>
      </c>
      <c r="T100" s="491">
        <f>IF(N100&gt;0,(S100-N100)/N100,(IF(S100=0,"N/A",100%)))</f>
        <v>-2.4390243902438939E-2</v>
      </c>
      <c r="U100" s="1680">
        <f>+'NEW Fall CHP by DISC'!U100/15</f>
        <v>25.866666666666667</v>
      </c>
      <c r="V100" s="1680">
        <f>+'NEW Fall CHP by DISC'!V100/15</f>
        <v>0</v>
      </c>
      <c r="W100" s="1680">
        <f>+'NEW Fall CHP by DISC'!W100/12</f>
        <v>0</v>
      </c>
      <c r="X100" s="1246">
        <f>SUM(U100:W100)</f>
        <v>25.866666666666667</v>
      </c>
      <c r="Y100" s="491">
        <f>IF(S100&gt;0,(X100-S100)/S100,(IF(X100=0,"N/A",100%)))</f>
        <v>-0.19166666666666665</v>
      </c>
      <c r="Z100" s="1680">
        <f>+'NEW Fall CHP by DISC'!Z100/15</f>
        <v>32</v>
      </c>
      <c r="AA100" s="1680">
        <f>+'NEW Fall CHP by DISC'!AA100/15</f>
        <v>0</v>
      </c>
      <c r="AB100" s="1680">
        <f>+'NEW Fall CHP by DISC'!AB100/12</f>
        <v>0</v>
      </c>
      <c r="AC100" s="1246">
        <f>SUM(Z100:AB100)</f>
        <v>32</v>
      </c>
      <c r="AD100" s="491">
        <f>IF(X100&gt;0,(AC100-X100)/X100,(IF(AC100=0,"N/A",100%)))</f>
        <v>0.23711340206185566</v>
      </c>
      <c r="AE100" s="1680">
        <f>+'NEW Fall CHP by DISC'!AE100/15</f>
        <v>26.666666666666668</v>
      </c>
      <c r="AF100" s="1680">
        <f>+'NEW Fall CHP by DISC'!AF100/15</f>
        <v>0</v>
      </c>
      <c r="AG100" s="1680">
        <f>+'NEW Fall CHP by DISC'!AG100/12</f>
        <v>0</v>
      </c>
      <c r="AH100" s="1246">
        <f>SUM(AE100:AG100)</f>
        <v>26.666666666666668</v>
      </c>
      <c r="AI100" s="491">
        <f>IF(AC100&gt;0,(AH100-AC100)/AC100,(IF(AH100=0,"N/A",100%)))</f>
        <v>-0.16666666666666663</v>
      </c>
      <c r="AJ100" s="1680">
        <f>+'NEW Fall CHP by DISC'!AJ100/15</f>
        <v>26.933333333333334</v>
      </c>
      <c r="AK100" s="1680">
        <f>+'NEW Fall CHP by DISC'!AK100/15</f>
        <v>0</v>
      </c>
      <c r="AL100" s="1680">
        <f>+'NEW Fall CHP by DISC'!AL100/12</f>
        <v>0</v>
      </c>
      <c r="AM100" s="1246">
        <f>SUM(AJ100:AL100)</f>
        <v>26.933333333333334</v>
      </c>
      <c r="AN100" s="491">
        <f>IF(AH100&gt;0,(AM100-AH100)/AH100,(IF(AM100=0,"N/A",100%)))</f>
        <v>9.9999999999999638E-3</v>
      </c>
      <c r="AO100" s="1680">
        <f>+'NEW Fall CHP by DISC'!AO100/15</f>
        <v>25.866666666666667</v>
      </c>
      <c r="AP100" s="1680">
        <f>+'NEW Fall CHP by DISC'!AP100/15</f>
        <v>0</v>
      </c>
      <c r="AQ100" s="1680">
        <f>+'NEW Fall CHP by DISC'!AQ100/12</f>
        <v>0</v>
      </c>
      <c r="AR100" s="1246">
        <f>SUM(AO100:AQ100)</f>
        <v>25.866666666666667</v>
      </c>
      <c r="AS100" s="491">
        <f>IF(AM100&gt;0,(AR100-AM100)/AM100,(IF(AR100=0,"N/A",100%)))</f>
        <v>-3.9603960396039598E-2</v>
      </c>
    </row>
    <row r="101" spans="1:45" s="484" customFormat="1" ht="13.8" x14ac:dyDescent="0.25">
      <c r="A101" s="1345" t="s">
        <v>1015</v>
      </c>
      <c r="B101" s="1259">
        <f t="shared" ref="B101:I101" si="91">SUM(B97:B100)</f>
        <v>139.46666666666667</v>
      </c>
      <c r="C101" s="1259">
        <f t="shared" si="91"/>
        <v>11.733333333333334</v>
      </c>
      <c r="D101" s="1259">
        <f t="shared" si="91"/>
        <v>0</v>
      </c>
      <c r="E101" s="495">
        <f t="shared" si="91"/>
        <v>151.19999999999999</v>
      </c>
      <c r="F101" s="1259">
        <f t="shared" si="91"/>
        <v>142.93333333333334</v>
      </c>
      <c r="G101" s="1259">
        <f t="shared" si="91"/>
        <v>17.733333333333334</v>
      </c>
      <c r="H101" s="1259">
        <f t="shared" si="91"/>
        <v>0</v>
      </c>
      <c r="I101" s="1259">
        <f t="shared" si="91"/>
        <v>160.66666666666669</v>
      </c>
      <c r="J101" s="496">
        <f>IF(E101&gt;0,(I101-E101)/E101,(IF(I101=0,"N/A",100%)))</f>
        <v>6.2610229276896148E-2</v>
      </c>
      <c r="K101" s="1732">
        <f>SUM(K97:K100)</f>
        <v>162.66666666666669</v>
      </c>
      <c r="L101" s="1259">
        <f>SUM(L97:L100)</f>
        <v>14.933333333333334</v>
      </c>
      <c r="M101" s="1259">
        <f>SUM(M97:M100)</f>
        <v>0</v>
      </c>
      <c r="N101" s="1259">
        <f>SUM(N97:N100)</f>
        <v>177.60000000000002</v>
      </c>
      <c r="O101" s="496">
        <f>IF(I101&gt;0,(N101-I101)/I101,(IF(N101=0,"N/A",100%)))</f>
        <v>0.10539419087136931</v>
      </c>
      <c r="P101" s="1732">
        <f>SUM(P97:P100)</f>
        <v>177.06666666666666</v>
      </c>
      <c r="Q101" s="1259">
        <f>SUM(Q97:Q100)</f>
        <v>16.533333333333331</v>
      </c>
      <c r="R101" s="1259">
        <f>SUM(R97:R100)</f>
        <v>0</v>
      </c>
      <c r="S101" s="1259">
        <f>SUM(S97:S100)</f>
        <v>193.6</v>
      </c>
      <c r="T101" s="496">
        <f>IF(N101&gt;0,(S101-N101)/N101,(IF(S101=0,"N/A",100%)))</f>
        <v>9.0090090090089919E-2</v>
      </c>
      <c r="U101" s="1732">
        <f>SUM(U97:U100)</f>
        <v>171.46666666666667</v>
      </c>
      <c r="V101" s="1259">
        <f>SUM(V97:V100)</f>
        <v>15.4</v>
      </c>
      <c r="W101" s="1259">
        <f>SUM(W97:W100)</f>
        <v>0</v>
      </c>
      <c r="X101" s="1259">
        <f>SUM(X97:X100)</f>
        <v>186.86666666666667</v>
      </c>
      <c r="Y101" s="496">
        <f>IF(S101&gt;0,(X101-S101)/S101,(IF(X101=0,"N/A",100%)))</f>
        <v>-3.4779614325068806E-2</v>
      </c>
      <c r="Z101" s="1732">
        <f>SUM(Z97:Z100)</f>
        <v>184.26666666666665</v>
      </c>
      <c r="AA101" s="1259">
        <f>SUM(AA97:AA100)</f>
        <v>17.133333333333333</v>
      </c>
      <c r="AB101" s="1259">
        <f>SUM(AB97:AB100)</f>
        <v>0</v>
      </c>
      <c r="AC101" s="1259">
        <f>SUM(AC97:AC100)</f>
        <v>201.4</v>
      </c>
      <c r="AD101" s="496">
        <f>IF(X101&gt;0,(AC101-X101)/X101,(IF(AC101=0,"N/A",100%)))</f>
        <v>7.7773813770959668E-2</v>
      </c>
      <c r="AE101" s="1732">
        <f>SUM(AE97:AE100)</f>
        <v>155.46666666666667</v>
      </c>
      <c r="AF101" s="1259">
        <f>SUM(AF97:AF100)</f>
        <v>18.333333333333332</v>
      </c>
      <c r="AG101" s="1259">
        <f>SUM(AG97:AG100)</f>
        <v>0</v>
      </c>
      <c r="AH101" s="1259">
        <f>SUM(AH97:AH100)</f>
        <v>173.79999999999998</v>
      </c>
      <c r="AI101" s="496">
        <f>IF(AC101&gt;0,(AH101-AC101)/AC101,(IF(AH101=0,"N/A",100%)))</f>
        <v>-0.13704071499503487</v>
      </c>
      <c r="AJ101" s="1732">
        <f>SUM(AJ97:AJ100)</f>
        <v>168.8</v>
      </c>
      <c r="AK101" s="1259">
        <f>SUM(AK97:AK100)</f>
        <v>15.733333333333334</v>
      </c>
      <c r="AL101" s="1259">
        <f>SUM(AL97:AL100)</f>
        <v>0</v>
      </c>
      <c r="AM101" s="1259">
        <f>SUM(AM97:AM100)</f>
        <v>184.53333333333336</v>
      </c>
      <c r="AN101" s="496">
        <f>IF(AH101&gt;0,(AM101-AH101)/AH101,(IF(AM101=0,"N/A",100%)))</f>
        <v>6.175680859225189E-2</v>
      </c>
      <c r="AO101" s="1732">
        <f>SUM(AO97:AO100)</f>
        <v>168</v>
      </c>
      <c r="AP101" s="1259">
        <f>SUM(AP97:AP100)</f>
        <v>12</v>
      </c>
      <c r="AQ101" s="1259">
        <f>SUM(AQ97:AQ100)</f>
        <v>0</v>
      </c>
      <c r="AR101" s="1259">
        <f>SUM(AR97:AR100)</f>
        <v>180</v>
      </c>
      <c r="AS101" s="496">
        <f>IF(AM101&gt;0,(AR101-AM101)/AM101,(IF(AR101=0,"N/A",100%)))</f>
        <v>-2.4566473988439447E-2</v>
      </c>
    </row>
    <row r="102" spans="1:45" customFormat="1" x14ac:dyDescent="0.25">
      <c r="A102" s="423" t="s">
        <v>413</v>
      </c>
      <c r="B102" s="1258"/>
      <c r="C102" s="1258"/>
      <c r="D102" s="1258"/>
      <c r="E102" s="516"/>
      <c r="F102" s="1258"/>
      <c r="G102" s="1258"/>
      <c r="H102" s="1258"/>
      <c r="I102" s="1258"/>
      <c r="J102" s="516"/>
      <c r="K102" s="1878"/>
      <c r="L102" s="1258"/>
      <c r="M102" s="1258"/>
      <c r="N102" s="1258"/>
      <c r="O102" s="516"/>
      <c r="P102" s="1878"/>
      <c r="Q102" s="1258"/>
      <c r="R102" s="1258"/>
      <c r="S102" s="1258"/>
      <c r="T102" s="516"/>
      <c r="U102" s="1878"/>
      <c r="V102" s="1258"/>
      <c r="W102" s="1258"/>
      <c r="X102" s="1258"/>
      <c r="Y102" s="516"/>
      <c r="Z102" s="1878"/>
      <c r="AA102" s="1258"/>
      <c r="AB102" s="1258"/>
      <c r="AC102" s="1258"/>
      <c r="AD102" s="516"/>
      <c r="AE102" s="1878"/>
      <c r="AF102" s="1258"/>
      <c r="AG102" s="1258"/>
      <c r="AH102" s="1258"/>
      <c r="AI102" s="516"/>
      <c r="AJ102" s="1878"/>
      <c r="AK102" s="1258"/>
      <c r="AL102" s="1258"/>
      <c r="AM102" s="1258"/>
      <c r="AN102" s="516"/>
      <c r="AO102" s="1878"/>
      <c r="AP102" s="1258"/>
      <c r="AQ102" s="1258"/>
      <c r="AR102" s="1258"/>
      <c r="AS102" s="516"/>
    </row>
    <row r="103" spans="1:45" customFormat="1" x14ac:dyDescent="0.25">
      <c r="A103" s="1326" t="s">
        <v>1633</v>
      </c>
      <c r="B103" s="1680">
        <f>+'NEW Fall CHP by DISC'!B103/15</f>
        <v>0</v>
      </c>
      <c r="C103" s="1680">
        <f>+'NEW Fall CHP by DISC'!C103/15</f>
        <v>0</v>
      </c>
      <c r="D103" s="1680">
        <f>+'NEW Fall CHP by DISC'!D103/12</f>
        <v>0</v>
      </c>
      <c r="E103" s="326">
        <f>SUM(B103:D103)</f>
        <v>0</v>
      </c>
      <c r="F103" s="1680">
        <f>+'NEW Fall CHP by DISC'!F103/15</f>
        <v>0</v>
      </c>
      <c r="G103" s="1680">
        <f>+'NEW Fall CHP by DISC'!G103/15</f>
        <v>0</v>
      </c>
      <c r="H103" s="1680">
        <f>+'NEW Fall CHP by DISC'!H103/12</f>
        <v>0</v>
      </c>
      <c r="I103" s="1246">
        <f>SUM(F103:H103)</f>
        <v>0</v>
      </c>
      <c r="J103" s="491" t="str">
        <f>IF(E103&gt;0,(I103-E103)/E103,(IF(I103=0,"N/A",100%)))</f>
        <v>N/A</v>
      </c>
      <c r="K103" s="1680">
        <f>+'NEW Fall CHP by DISC'!K103/15</f>
        <v>0</v>
      </c>
      <c r="L103" s="1680">
        <f>+'NEW Fall CHP by DISC'!L103/15</f>
        <v>0</v>
      </c>
      <c r="M103" s="1680">
        <f>+'NEW Fall CHP by DISC'!M103/12</f>
        <v>0</v>
      </c>
      <c r="N103" s="1246">
        <f>SUM(K103:M103)</f>
        <v>0</v>
      </c>
      <c r="O103" s="491" t="str">
        <f>IF(I103&gt;0,(N103-I103)/I103,(IF(N103=0,"N/A",100%)))</f>
        <v>N/A</v>
      </c>
      <c r="P103" s="1680">
        <f>+'NEW Fall CHP by DISC'!P103/15</f>
        <v>0</v>
      </c>
      <c r="Q103" s="1680">
        <f>+'NEW Fall CHP by DISC'!Q103/15</f>
        <v>0</v>
      </c>
      <c r="R103" s="1680">
        <f>+'NEW Fall CHP by DISC'!R103/12</f>
        <v>0</v>
      </c>
      <c r="S103" s="1246">
        <f>SUM(P103:R103)</f>
        <v>0</v>
      </c>
      <c r="T103" s="491" t="str">
        <f>IF(N103&gt;0,(S103-N103)/N103,(IF(S103=0,"N/A",100%)))</f>
        <v>N/A</v>
      </c>
      <c r="U103" s="1680">
        <f>+'NEW Fall CHP by DISC'!U103/15</f>
        <v>0</v>
      </c>
      <c r="V103" s="1680">
        <f>+'NEW Fall CHP by DISC'!V103/15</f>
        <v>0</v>
      </c>
      <c r="W103" s="1680">
        <f>+'NEW Fall CHP by DISC'!W103/12</f>
        <v>0</v>
      </c>
      <c r="X103" s="1246">
        <f>SUM(U103:W103)</f>
        <v>0</v>
      </c>
      <c r="Y103" s="491" t="str">
        <f>IF(S103&gt;0,(X103-S103)/S103,(IF(X103=0,"N/A",100%)))</f>
        <v>N/A</v>
      </c>
      <c r="Z103" s="1680">
        <f>+'NEW Fall CHP by DISC'!Z103/15</f>
        <v>0</v>
      </c>
      <c r="AA103" s="1680">
        <f>+'NEW Fall CHP by DISC'!AA103/15</f>
        <v>0</v>
      </c>
      <c r="AB103" s="1680">
        <f>+'NEW Fall CHP by DISC'!AB103/12</f>
        <v>0</v>
      </c>
      <c r="AC103" s="1246">
        <f>SUM(Z103:AB103)</f>
        <v>0</v>
      </c>
      <c r="AD103" s="491" t="str">
        <f>IF(X103&gt;0,(AC103-X103)/X103,(IF(AC103=0,"N/A",100%)))</f>
        <v>N/A</v>
      </c>
      <c r="AE103" s="1680">
        <f>+'NEW Fall CHP by DISC'!AE103/15</f>
        <v>0</v>
      </c>
      <c r="AF103" s="1680">
        <f>+'NEW Fall CHP by DISC'!AF103/15</f>
        <v>0</v>
      </c>
      <c r="AG103" s="1680">
        <f>+'NEW Fall CHP by DISC'!AG103/12</f>
        <v>0</v>
      </c>
      <c r="AH103" s="1246">
        <f>SUM(AE103:AG103)</f>
        <v>0</v>
      </c>
      <c r="AI103" s="491" t="str">
        <f>IF(AC103&gt;0,(AH103-AC103)/AC103,(IF(AH103=0,"N/A",100%)))</f>
        <v>N/A</v>
      </c>
      <c r="AJ103" s="1680">
        <f>+'NEW Fall CHP by DISC'!AJ103/15</f>
        <v>0</v>
      </c>
      <c r="AK103" s="1680">
        <f>+'NEW Fall CHP by DISC'!AK103/15</f>
        <v>0</v>
      </c>
      <c r="AL103" s="1680">
        <f>+'NEW Fall CHP by DISC'!AL103/12</f>
        <v>1</v>
      </c>
      <c r="AM103" s="1246">
        <f>SUM(AJ103:AL103)</f>
        <v>1</v>
      </c>
      <c r="AN103" s="491">
        <f>IF(AH103&gt;0,(AM103-AH103)/AH103,(IF(AM103=0,"N/A",100%)))</f>
        <v>1</v>
      </c>
      <c r="AO103" s="1680">
        <f>+'NEW Fall CHP by DISC'!AO103/15</f>
        <v>0</v>
      </c>
      <c r="AP103" s="1680">
        <f>+'NEW Fall CHP by DISC'!AP103/15</f>
        <v>0</v>
      </c>
      <c r="AQ103" s="1680">
        <f>+'NEW Fall CHP by DISC'!AQ103/12</f>
        <v>0.5</v>
      </c>
      <c r="AR103" s="1246">
        <f>SUM(AO103:AQ103)</f>
        <v>0.5</v>
      </c>
      <c r="AS103" s="491">
        <f>IF(AM103&gt;0,(AR103-AM103)/AM103,(IF(AR103=0,"N/A",100%)))</f>
        <v>-0.5</v>
      </c>
    </row>
    <row r="104" spans="1:45" x14ac:dyDescent="0.25">
      <c r="A104" s="1326" t="s">
        <v>716</v>
      </c>
      <c r="B104" s="1680">
        <f>+'NEW Fall CHP by DISC'!B104/15</f>
        <v>0.33333333333333331</v>
      </c>
      <c r="C104" s="1680">
        <f>+'NEW Fall CHP by DISC'!C104/15</f>
        <v>13.866666666666667</v>
      </c>
      <c r="D104" s="1680">
        <f>+'NEW Fall CHP by DISC'!D104/12</f>
        <v>0</v>
      </c>
      <c r="E104" s="326">
        <f>SUM(B104:D104)</f>
        <v>14.200000000000001</v>
      </c>
      <c r="F104" s="1680">
        <f>+'NEW Fall CHP by DISC'!F104/15</f>
        <v>0.53333333333333333</v>
      </c>
      <c r="G104" s="1680">
        <f>+'NEW Fall CHP by DISC'!G104/15</f>
        <v>8.5333333333333332</v>
      </c>
      <c r="H104" s="1680">
        <f>+'NEW Fall CHP by DISC'!H104/12</f>
        <v>0</v>
      </c>
      <c r="I104" s="1246">
        <f>SUM(F104:H104)</f>
        <v>9.0666666666666664</v>
      </c>
      <c r="J104" s="491">
        <f>IF(E104&gt;0,(I104-E104)/E104,(IF(I104=0,"N/A",100%)))</f>
        <v>-0.36150234741784043</v>
      </c>
      <c r="K104" s="1680">
        <f>+'NEW Fall CHP by DISC'!K104/15</f>
        <v>0.46666666666666667</v>
      </c>
      <c r="L104" s="1680">
        <f>+'NEW Fall CHP by DISC'!L104/15</f>
        <v>8.4666666666666668</v>
      </c>
      <c r="M104" s="1680">
        <f>+'NEW Fall CHP by DISC'!M104/12</f>
        <v>0</v>
      </c>
      <c r="N104" s="1246">
        <f>SUM(K104:M104)</f>
        <v>8.9333333333333336</v>
      </c>
      <c r="O104" s="491">
        <f>IF(I104&gt;0,(N104-I104)/I104,(IF(N104=0,"N/A",100%)))</f>
        <v>-1.4705882352941124E-2</v>
      </c>
      <c r="P104" s="1680">
        <f>+'NEW Fall CHP by DISC'!P104/15</f>
        <v>0.4</v>
      </c>
      <c r="Q104" s="1680">
        <f>+'NEW Fall CHP by DISC'!Q104/15</f>
        <v>11.533333333333333</v>
      </c>
      <c r="R104" s="1680">
        <f>+'NEW Fall CHP by DISC'!R104/12</f>
        <v>0</v>
      </c>
      <c r="S104" s="1246">
        <f>SUM(P104:R104)</f>
        <v>11.933333333333334</v>
      </c>
      <c r="T104" s="491">
        <f>IF(N104&gt;0,(S104-N104)/N104,(IF(S104=0,"N/A",100%)))</f>
        <v>0.33582089552238803</v>
      </c>
      <c r="U104" s="1680">
        <f>+'NEW Fall CHP by DISC'!U104/15</f>
        <v>4.333333333333333</v>
      </c>
      <c r="V104" s="1680">
        <f>+'NEW Fall CHP by DISC'!V104/15</f>
        <v>16.399999999999999</v>
      </c>
      <c r="W104" s="1680">
        <f>+'NEW Fall CHP by DISC'!W104/12</f>
        <v>0</v>
      </c>
      <c r="X104" s="1246">
        <f>SUM(U104:W104)</f>
        <v>20.733333333333331</v>
      </c>
      <c r="Y104" s="491">
        <f>IF(S104&gt;0,(X104-S104)/S104,(IF(X104=0,"N/A",100%)))</f>
        <v>0.73743016759776514</v>
      </c>
      <c r="Z104" s="1680">
        <f>+'NEW Fall CHP by DISC'!Z104/15</f>
        <v>4.2666666666666666</v>
      </c>
      <c r="AA104" s="1680">
        <f>+'NEW Fall CHP by DISC'!AA104/15</f>
        <v>13.4</v>
      </c>
      <c r="AB104" s="1680">
        <f>+'NEW Fall CHP by DISC'!AB104/12</f>
        <v>0</v>
      </c>
      <c r="AC104" s="1246">
        <f>SUM(Z104:AB104)</f>
        <v>17.666666666666668</v>
      </c>
      <c r="AD104" s="491">
        <f>IF(X104&gt;0,(AC104-X104)/X104,(IF(AC104=0,"N/A",100%)))</f>
        <v>-0.14790996784565899</v>
      </c>
      <c r="AE104" s="1680">
        <f>+'NEW Fall CHP by DISC'!AE104/15</f>
        <v>4.333333333333333</v>
      </c>
      <c r="AF104" s="1680">
        <f>+'NEW Fall CHP by DISC'!AF104/15</f>
        <v>14.8</v>
      </c>
      <c r="AG104" s="1680">
        <f>+'NEW Fall CHP by DISC'!AG104/12</f>
        <v>0</v>
      </c>
      <c r="AH104" s="1246">
        <f>SUM(AE104:AG104)</f>
        <v>19.133333333333333</v>
      </c>
      <c r="AI104" s="491">
        <f>IF(AC104&gt;0,(AH104-AC104)/AC104,(IF(AH104=0,"N/A",100%)))</f>
        <v>8.30188679245282E-2</v>
      </c>
      <c r="AJ104" s="1680">
        <f>+'NEW Fall CHP by DISC'!AJ104/15</f>
        <v>3.2</v>
      </c>
      <c r="AK104" s="1680">
        <f>+'NEW Fall CHP by DISC'!AK104/15</f>
        <v>12.266666666666667</v>
      </c>
      <c r="AL104" s="1680">
        <f>+'NEW Fall CHP by DISC'!AL104/12</f>
        <v>0</v>
      </c>
      <c r="AM104" s="1246">
        <f>SUM(AJ104:AL104)</f>
        <v>15.466666666666669</v>
      </c>
      <c r="AN104" s="491">
        <f>IF(AH104&gt;0,(AM104-AH104)/AH104,(IF(AM104=0,"N/A",100%)))</f>
        <v>-0.19163763066202077</v>
      </c>
      <c r="AO104" s="1680">
        <f>+'NEW Fall CHP by DISC'!AO104/15</f>
        <v>3.1333333333333333</v>
      </c>
      <c r="AP104" s="1680">
        <f>+'NEW Fall CHP by DISC'!AP104/15</f>
        <v>10.266666666666667</v>
      </c>
      <c r="AQ104" s="1680">
        <f>+'NEW Fall CHP by DISC'!AQ104/12</f>
        <v>0</v>
      </c>
      <c r="AR104" s="1246">
        <f>SUM(AO104:AQ104)</f>
        <v>13.4</v>
      </c>
      <c r="AS104" s="491">
        <f>IF(AM104&gt;0,(AR104-AM104)/AM104,(IF(AR104=0,"N/A",100%)))</f>
        <v>-0.13362068965517249</v>
      </c>
    </row>
    <row r="105" spans="1:45" x14ac:dyDescent="0.25">
      <c r="A105" s="1326" t="s">
        <v>1051</v>
      </c>
      <c r="B105" s="1680">
        <f>+'NEW Fall CHP by DISC'!B105/15</f>
        <v>25.933333333333334</v>
      </c>
      <c r="C105" s="1680">
        <f>+'NEW Fall CHP by DISC'!C105/15</f>
        <v>45.466666666666669</v>
      </c>
      <c r="D105" s="1680">
        <f>+'NEW Fall CHP by DISC'!D105/12</f>
        <v>0</v>
      </c>
      <c r="E105" s="326">
        <f>SUM(B105:D105)</f>
        <v>71.400000000000006</v>
      </c>
      <c r="F105" s="1680">
        <f>+'NEW Fall CHP by DISC'!F105/15</f>
        <v>30.066666666666666</v>
      </c>
      <c r="G105" s="1680">
        <f>+'NEW Fall CHP by DISC'!G105/15</f>
        <v>47.4</v>
      </c>
      <c r="H105" s="1680">
        <f>+'NEW Fall CHP by DISC'!H105/12</f>
        <v>0</v>
      </c>
      <c r="I105" s="1246">
        <f>SUM(F105:H105)</f>
        <v>77.466666666666669</v>
      </c>
      <c r="J105" s="491">
        <f>IF(E105&gt;0,(I105-E105)/E105,(IF(I105=0,"N/A",100%)))</f>
        <v>8.4967320261437843E-2</v>
      </c>
      <c r="K105" s="1680">
        <f>+'NEW Fall CHP by DISC'!K105/15</f>
        <v>31.2</v>
      </c>
      <c r="L105" s="1680">
        <f>+'NEW Fall CHP by DISC'!L105/15</f>
        <v>59.333333333333336</v>
      </c>
      <c r="M105" s="1680">
        <f>+'NEW Fall CHP by DISC'!M105/12</f>
        <v>0</v>
      </c>
      <c r="N105" s="1246">
        <f>SUM(K105:M105)</f>
        <v>90.533333333333331</v>
      </c>
      <c r="O105" s="491">
        <f>IF(I105&gt;0,(N105-I105)/I105,(IF(N105=0,"N/A",100%)))</f>
        <v>0.16867469879518068</v>
      </c>
      <c r="P105" s="1680">
        <f>+'NEW Fall CHP by DISC'!P105/15</f>
        <v>26.2</v>
      </c>
      <c r="Q105" s="1680">
        <f>+'NEW Fall CHP by DISC'!Q105/15</f>
        <v>76.733333333333334</v>
      </c>
      <c r="R105" s="1680">
        <f>+'NEW Fall CHP by DISC'!R105/12</f>
        <v>0</v>
      </c>
      <c r="S105" s="1246">
        <f>SUM(P105:R105)</f>
        <v>102.93333333333334</v>
      </c>
      <c r="T105" s="491">
        <f>IF(N105&gt;0,(S105-N105)/N105,(IF(S105=0,"N/A",100%)))</f>
        <v>0.13696612665684837</v>
      </c>
      <c r="U105" s="1680">
        <f>+'NEW Fall CHP by DISC'!U105/15</f>
        <v>39.666666666666664</v>
      </c>
      <c r="V105" s="1680">
        <f>+'NEW Fall CHP by DISC'!V105/15</f>
        <v>88.13333333333334</v>
      </c>
      <c r="W105" s="1680">
        <f>+'NEW Fall CHP by DISC'!W105/12</f>
        <v>0</v>
      </c>
      <c r="X105" s="1246">
        <f>SUM(U105:W105)</f>
        <v>127.80000000000001</v>
      </c>
      <c r="Y105" s="491">
        <f>IF(S105&gt;0,(X105-S105)/S105,(IF(X105=0,"N/A",100%)))</f>
        <v>0.24158031088082907</v>
      </c>
      <c r="Z105" s="1680">
        <f>+'NEW Fall CHP by DISC'!Z105/15</f>
        <v>43.533333333333331</v>
      </c>
      <c r="AA105" s="1680">
        <f>+'NEW Fall CHP by DISC'!AA105/15</f>
        <v>89</v>
      </c>
      <c r="AB105" s="1680">
        <f>+'NEW Fall CHP by DISC'!AB105/12</f>
        <v>0</v>
      </c>
      <c r="AC105" s="1246">
        <f>SUM(Z105:AB105)</f>
        <v>132.53333333333333</v>
      </c>
      <c r="AD105" s="491">
        <f>IF(X105&gt;0,(AC105-X105)/X105,(IF(AC105=0,"N/A",100%)))</f>
        <v>3.7037037037036931E-2</v>
      </c>
      <c r="AE105" s="1680">
        <f>+'NEW Fall CHP by DISC'!AE105/15</f>
        <v>45.266666666666666</v>
      </c>
      <c r="AF105" s="1680">
        <f>+'NEW Fall CHP by DISC'!AF105/15</f>
        <v>94.266666666666666</v>
      </c>
      <c r="AG105" s="1680">
        <f>+'NEW Fall CHP by DISC'!AG105/12</f>
        <v>0</v>
      </c>
      <c r="AH105" s="1246">
        <f>SUM(AE105:AG105)</f>
        <v>139.53333333333333</v>
      </c>
      <c r="AI105" s="491">
        <f>IF(AC105&gt;0,(AH105-AC105)/AC105,(IF(AH105=0,"N/A",100%)))</f>
        <v>5.2816901408450703E-2</v>
      </c>
      <c r="AJ105" s="1680">
        <f>+'NEW Fall CHP by DISC'!AJ105/15</f>
        <v>32.799999999999997</v>
      </c>
      <c r="AK105" s="1680">
        <f>+'NEW Fall CHP by DISC'!AK105/15</f>
        <v>92.6</v>
      </c>
      <c r="AL105" s="1680">
        <f>+'NEW Fall CHP by DISC'!AL105/12</f>
        <v>0</v>
      </c>
      <c r="AM105" s="1246">
        <f>SUM(AJ105:AL105)</f>
        <v>125.39999999999999</v>
      </c>
      <c r="AN105" s="491">
        <f>IF(AH105&gt;0,(AM105-AH105)/AH105,(IF(AM105=0,"N/A",100%)))</f>
        <v>-0.10129001433349265</v>
      </c>
      <c r="AO105" s="1680">
        <f>+'NEW Fall CHP by DISC'!AO105/15</f>
        <v>40.333333333333336</v>
      </c>
      <c r="AP105" s="1680">
        <f>+'NEW Fall CHP by DISC'!AP105/15</f>
        <v>70.666666666666671</v>
      </c>
      <c r="AQ105" s="1680">
        <f>+'NEW Fall CHP by DISC'!AQ105/12</f>
        <v>0</v>
      </c>
      <c r="AR105" s="1246">
        <f>SUM(AO105:AQ105)</f>
        <v>111</v>
      </c>
      <c r="AS105" s="491">
        <f>IF(AM105&gt;0,(AR105-AM105)/AM105,(IF(AR105=0,"N/A",100%)))</f>
        <v>-0.1148325358851674</v>
      </c>
    </row>
    <row r="106" spans="1:45" s="484" customFormat="1" ht="13.8" x14ac:dyDescent="0.25">
      <c r="A106" s="1327" t="s">
        <v>1015</v>
      </c>
      <c r="B106" s="1259">
        <f t="shared" ref="B106:I106" si="92">+B105+B104+B103</f>
        <v>26.266666666666666</v>
      </c>
      <c r="C106" s="1259">
        <f t="shared" si="92"/>
        <v>59.333333333333336</v>
      </c>
      <c r="D106" s="1259">
        <f t="shared" si="92"/>
        <v>0</v>
      </c>
      <c r="E106" s="495">
        <f t="shared" si="92"/>
        <v>85.600000000000009</v>
      </c>
      <c r="F106" s="1732">
        <f t="shared" si="92"/>
        <v>30.6</v>
      </c>
      <c r="G106" s="1259">
        <f t="shared" si="92"/>
        <v>55.93333333333333</v>
      </c>
      <c r="H106" s="1259">
        <f t="shared" si="92"/>
        <v>0</v>
      </c>
      <c r="I106" s="1259">
        <f t="shared" si="92"/>
        <v>86.533333333333331</v>
      </c>
      <c r="J106" s="496">
        <f>IF(E106&gt;0,(I106-E106)/E106,(IF(I106=0,"N/A",100%)))</f>
        <v>1.0903426791277135E-2</v>
      </c>
      <c r="K106" s="1259">
        <f>+K105+K104+K103</f>
        <v>31.666666666666664</v>
      </c>
      <c r="L106" s="1259">
        <f>+L105+L104+L103</f>
        <v>67.8</v>
      </c>
      <c r="M106" s="1259">
        <f>+M105+M104+M103</f>
        <v>0</v>
      </c>
      <c r="N106" s="1259">
        <f>+N105+N104+N103</f>
        <v>99.466666666666669</v>
      </c>
      <c r="O106" s="496">
        <f>IF(I106&gt;0,(N106-I106)/I106,(IF(N106=0,"N/A",100%)))</f>
        <v>0.14946070878274273</v>
      </c>
      <c r="P106" s="1259">
        <f>+P105+P104+P103</f>
        <v>26.599999999999998</v>
      </c>
      <c r="Q106" s="1259">
        <f>+Q105+Q104+Q103</f>
        <v>88.266666666666666</v>
      </c>
      <c r="R106" s="1259">
        <f>+R105+R104+R103</f>
        <v>0</v>
      </c>
      <c r="S106" s="1259">
        <f>+S105+S104+S103</f>
        <v>114.86666666666667</v>
      </c>
      <c r="T106" s="496">
        <f>IF(N106&gt;0,(S106-N106)/N106,(IF(S106=0,"N/A",100%)))</f>
        <v>0.1548257372654156</v>
      </c>
      <c r="U106" s="1259">
        <f>+U105+U104+U103</f>
        <v>44</v>
      </c>
      <c r="V106" s="1259">
        <f>+V105+V104+V103</f>
        <v>104.53333333333333</v>
      </c>
      <c r="W106" s="1259">
        <f>+W105+W104+W103</f>
        <v>0</v>
      </c>
      <c r="X106" s="1259">
        <f>+X105+X104+X103</f>
        <v>148.53333333333333</v>
      </c>
      <c r="Y106" s="496">
        <f>IF(S106&gt;0,(X106-S106)/S106,(IF(X106=0,"N/A",100%)))</f>
        <v>0.29309344167150309</v>
      </c>
      <c r="Z106" s="1259">
        <f>+Z105+Z104+Z103</f>
        <v>47.8</v>
      </c>
      <c r="AA106" s="1259">
        <f>+AA105+AA104+AA103</f>
        <v>102.4</v>
      </c>
      <c r="AB106" s="1259">
        <f>+AB105+AB104+AB103</f>
        <v>0</v>
      </c>
      <c r="AC106" s="1259">
        <f>+AC105+AC104+AC103</f>
        <v>150.19999999999999</v>
      </c>
      <c r="AD106" s="496">
        <f>IF(X106&gt;0,(AC106-X106)/X106,(IF(AC106=0,"N/A",100%)))</f>
        <v>1.1220825852782701E-2</v>
      </c>
      <c r="AE106" s="1259">
        <f>+AE105+AE104+AE103</f>
        <v>49.6</v>
      </c>
      <c r="AF106" s="1259">
        <f>+AF105+AF104+AF103</f>
        <v>109.06666666666666</v>
      </c>
      <c r="AG106" s="1259">
        <f>+AG105+AG104+AG103</f>
        <v>0</v>
      </c>
      <c r="AH106" s="1259">
        <f>+AH105+AH104+AH103</f>
        <v>158.66666666666666</v>
      </c>
      <c r="AI106" s="496">
        <f>IF(AC106&gt;0,(AH106-AC106)/AC106,(IF(AH106=0,"N/A",100%)))</f>
        <v>5.6369285397248128E-2</v>
      </c>
      <c r="AJ106" s="1259">
        <f>+AJ105+AJ104+AJ103</f>
        <v>36</v>
      </c>
      <c r="AK106" s="1259">
        <f>+AK105+AK104+AK103</f>
        <v>104.86666666666666</v>
      </c>
      <c r="AL106" s="1259">
        <f>+AL105+AL104+AL103</f>
        <v>1</v>
      </c>
      <c r="AM106" s="1259">
        <f>+AM105+AM104+AM103</f>
        <v>141.86666666666667</v>
      </c>
      <c r="AN106" s="496">
        <f>IF(AH106&gt;0,(AM106-AH106)/AH106,(IF(AM106=0,"N/A",100%)))</f>
        <v>-0.10588235294117637</v>
      </c>
      <c r="AO106" s="1732">
        <f>+AO105+AO104+AO103</f>
        <v>43.466666666666669</v>
      </c>
      <c r="AP106" s="1259">
        <f>+AP105+AP104+AP103</f>
        <v>80.933333333333337</v>
      </c>
      <c r="AQ106" s="1259">
        <f>+AQ105+AQ104+AQ103</f>
        <v>0.5</v>
      </c>
      <c r="AR106" s="1259">
        <f>+AR105+AR104+AR103</f>
        <v>124.9</v>
      </c>
      <c r="AS106" s="496">
        <f>IF(AM106&gt;0,(AR106-AM106)/AM106,(IF(AR106=0,"N/A",100%)))</f>
        <v>-0.11959586466165414</v>
      </c>
    </row>
    <row r="107" spans="1:45" s="502" customFormat="1" ht="16.2" thickBot="1" x14ac:dyDescent="0.35">
      <c r="A107" s="1328" t="s">
        <v>437</v>
      </c>
      <c r="B107" s="974">
        <f t="shared" ref="B107:I107" si="93">+B91+B95+B101+B106</f>
        <v>477</v>
      </c>
      <c r="C107" s="974">
        <f t="shared" si="93"/>
        <v>118.13333333333334</v>
      </c>
      <c r="D107" s="974">
        <f t="shared" si="93"/>
        <v>0</v>
      </c>
      <c r="E107" s="989">
        <f t="shared" si="93"/>
        <v>595.13333333333333</v>
      </c>
      <c r="F107" s="974">
        <f t="shared" si="93"/>
        <v>487.33333333333337</v>
      </c>
      <c r="G107" s="974">
        <f t="shared" si="93"/>
        <v>129.26666666666665</v>
      </c>
      <c r="H107" s="974">
        <f t="shared" si="93"/>
        <v>0</v>
      </c>
      <c r="I107" s="974">
        <f t="shared" si="93"/>
        <v>616.59999999999991</v>
      </c>
      <c r="J107" s="975">
        <f>IF(E107&gt;0,(I107-E107)/E107,(IF(I107=0,"N/A",100%)))</f>
        <v>3.6070348381314975E-2</v>
      </c>
      <c r="K107" s="988">
        <f>+K91+K95+K101+K106</f>
        <v>539</v>
      </c>
      <c r="L107" s="974">
        <f>+L91+L95+L101+L106</f>
        <v>130.6</v>
      </c>
      <c r="M107" s="974">
        <f>+M91+M95+M101+M106</f>
        <v>0</v>
      </c>
      <c r="N107" s="974">
        <f>+N91+N95+N101+N106</f>
        <v>669.6</v>
      </c>
      <c r="O107" s="975">
        <f>IF(I107&gt;0,(N107-I107)/I107,(IF(N107=0,"N/A",100%)))</f>
        <v>8.5955238404151993E-2</v>
      </c>
      <c r="P107" s="988">
        <f>+P91+P95+P101+P106</f>
        <v>607.53333333333342</v>
      </c>
      <c r="Q107" s="974">
        <f>+Q91+Q95+Q101+Q106</f>
        <v>154.33333333333331</v>
      </c>
      <c r="R107" s="974">
        <f>+R91+R95+R101+R106</f>
        <v>0</v>
      </c>
      <c r="S107" s="974">
        <f>+S91+S95+S101+S106</f>
        <v>761.86666666666667</v>
      </c>
      <c r="T107" s="975">
        <f>IF(N107&gt;0,(S107-N107)/N107,(IF(S107=0,"N/A",100%)))</f>
        <v>0.13779370768618077</v>
      </c>
      <c r="U107" s="988">
        <f>+U91+U95+U101+U106</f>
        <v>586.79999999999995</v>
      </c>
      <c r="V107" s="974">
        <f>+V91+V95+V101+V106</f>
        <v>155.93333333333334</v>
      </c>
      <c r="W107" s="974">
        <f>+W91+W95+W101+W106</f>
        <v>0</v>
      </c>
      <c r="X107" s="974">
        <f>+X91+X95+X101+X106</f>
        <v>742.73333333333335</v>
      </c>
      <c r="Y107" s="975">
        <f>IF(S107&gt;0,(X107-S107)/S107,(IF(X107=0,"N/A",100%)))</f>
        <v>-2.511375568778438E-2</v>
      </c>
      <c r="Z107" s="988">
        <f>+Z91+Z95+Z101+Z106</f>
        <v>591.66666666666663</v>
      </c>
      <c r="AA107" s="974">
        <f>+AA91+AA95+AA101+AA106</f>
        <v>157.46666666666667</v>
      </c>
      <c r="AB107" s="974">
        <f>+AB91+AB95+AB101+AB106</f>
        <v>0</v>
      </c>
      <c r="AC107" s="974">
        <f>+AC91+AC95+AC101+AC106</f>
        <v>749.13333333333344</v>
      </c>
      <c r="AD107" s="975">
        <f>IF(X107&gt;0,(AC107-X107)/X107,(IF(AC107=0,"N/A",100%)))</f>
        <v>8.6168207521767678E-3</v>
      </c>
      <c r="AE107" s="988">
        <f>+AE91+AE95+AE101+AE106</f>
        <v>547</v>
      </c>
      <c r="AF107" s="974">
        <f>+AF91+AF95+AF101+AF106</f>
        <v>163.26666666666665</v>
      </c>
      <c r="AG107" s="974">
        <f>+AG91+AG95+AG101+AG106</f>
        <v>0</v>
      </c>
      <c r="AH107" s="974">
        <f>+AH91+AH95+AH101+AH106</f>
        <v>710.26666666666665</v>
      </c>
      <c r="AI107" s="975">
        <f>IF(AC107&gt;0,(AH107-AC107)/AC107,(IF(AH107=0,"N/A",100%)))</f>
        <v>-5.1882174957729087E-2</v>
      </c>
      <c r="AJ107" s="988">
        <f>+AJ91+AJ95+AJ101+AJ106</f>
        <v>546.86666666666667</v>
      </c>
      <c r="AK107" s="974">
        <f>+AK91+AK95+AK101+AK106</f>
        <v>164.13333333333333</v>
      </c>
      <c r="AL107" s="974">
        <f>+AL91+AL95+AL101+AL106</f>
        <v>1</v>
      </c>
      <c r="AM107" s="974">
        <f>+AM91+AM95+AM101+AM106</f>
        <v>712.00000000000011</v>
      </c>
      <c r="AN107" s="975">
        <f>IF(AH107&gt;0,(AM107-AH107)/AH107,(IF(AM107=0,"N/A",100%)))</f>
        <v>2.4403979725926349E-3</v>
      </c>
      <c r="AO107" s="988">
        <f>+AO91+AO95+AO101+AO106</f>
        <v>556.4666666666667</v>
      </c>
      <c r="AP107" s="974">
        <f>+AP91+AP95+AP101+AP106</f>
        <v>137.60000000000002</v>
      </c>
      <c r="AQ107" s="974">
        <f>+AQ91+AQ95+AQ101+AQ106</f>
        <v>0.5</v>
      </c>
      <c r="AR107" s="974">
        <f>+AR91+AR95+AR101+AR106</f>
        <v>694.56666666666672</v>
      </c>
      <c r="AS107" s="975">
        <f>IF(AM107&gt;0,(AR107-AM107)/AM107,(IF(AR107=0,"N/A",100%)))</f>
        <v>-2.4485018726591843E-2</v>
      </c>
    </row>
    <row r="108" spans="1:45" ht="14.25" customHeight="1" x14ac:dyDescent="0.25">
      <c r="A108" s="507"/>
      <c r="B108" s="286"/>
      <c r="C108" s="286"/>
      <c r="D108" s="286"/>
      <c r="E108" s="286"/>
      <c r="F108" s="286"/>
      <c r="G108" s="286"/>
      <c r="H108" s="286"/>
      <c r="I108" s="286"/>
      <c r="J108" s="504"/>
      <c r="K108" s="286"/>
      <c r="L108" s="286"/>
      <c r="M108" s="286"/>
      <c r="N108" s="286"/>
      <c r="O108" s="504"/>
      <c r="P108" s="286"/>
      <c r="Q108" s="286"/>
      <c r="R108" s="286"/>
      <c r="S108" s="286"/>
      <c r="T108" s="504"/>
      <c r="U108" s="286"/>
      <c r="V108" s="286"/>
      <c r="W108" s="286"/>
      <c r="X108" s="286"/>
      <c r="Y108" s="504"/>
      <c r="Z108" s="280"/>
      <c r="AA108" s="280"/>
      <c r="AB108" s="280"/>
      <c r="AC108" s="280"/>
      <c r="AD108" s="280"/>
      <c r="AE108" s="280"/>
      <c r="AF108" s="280"/>
      <c r="AG108" s="280"/>
      <c r="AH108" s="280"/>
      <c r="AI108" s="280"/>
      <c r="AJ108" s="280"/>
      <c r="AK108" s="280"/>
      <c r="AL108" s="280"/>
      <c r="AO108" s="280"/>
      <c r="AP108" s="280"/>
      <c r="AQ108" s="280"/>
    </row>
    <row r="109" spans="1:45" ht="14.25" customHeight="1" thickBot="1" x14ac:dyDescent="0.3">
      <c r="A109" s="507"/>
      <c r="B109" s="286"/>
      <c r="C109" s="286"/>
      <c r="D109" s="286"/>
      <c r="E109" s="286"/>
      <c r="F109" s="286"/>
      <c r="G109" s="286"/>
      <c r="H109" s="286"/>
      <c r="I109" s="286"/>
      <c r="J109" s="504"/>
      <c r="K109" s="286"/>
      <c r="L109" s="286"/>
      <c r="M109" s="286"/>
      <c r="N109" s="286"/>
      <c r="O109" s="504"/>
      <c r="P109" s="286"/>
      <c r="Q109" s="286"/>
      <c r="R109" s="286"/>
      <c r="S109" s="286"/>
      <c r="T109" s="504"/>
      <c r="U109" s="286"/>
      <c r="V109" s="286"/>
      <c r="W109" s="286"/>
      <c r="X109" s="286"/>
      <c r="Y109" s="504"/>
      <c r="Z109" s="280"/>
      <c r="AA109" s="280"/>
      <c r="AB109" s="280"/>
      <c r="AC109" s="280"/>
      <c r="AD109" s="280"/>
      <c r="AE109" s="280"/>
      <c r="AF109" s="280"/>
      <c r="AG109" s="280"/>
      <c r="AH109" s="280"/>
      <c r="AI109" s="280"/>
      <c r="AJ109" s="280"/>
      <c r="AK109" s="280"/>
      <c r="AL109" s="280"/>
      <c r="AO109" s="280"/>
      <c r="AP109" s="280"/>
      <c r="AQ109" s="280"/>
    </row>
    <row r="110" spans="1:45" x14ac:dyDescent="0.25">
      <c r="A110" s="1350" t="s">
        <v>984</v>
      </c>
      <c r="B110" s="993"/>
      <c r="C110" s="1351"/>
      <c r="D110" s="1351"/>
      <c r="E110" s="1879"/>
      <c r="F110" s="993"/>
      <c r="G110" s="1351"/>
      <c r="H110" s="1351"/>
      <c r="I110" s="1351"/>
      <c r="J110" s="983"/>
      <c r="K110" s="993"/>
      <c r="L110" s="1351"/>
      <c r="M110" s="1351"/>
      <c r="N110" s="1351"/>
      <c r="O110" s="1351"/>
      <c r="P110" s="993"/>
      <c r="Q110" s="1351"/>
      <c r="R110" s="1351"/>
      <c r="S110" s="1351"/>
      <c r="T110" s="1351"/>
      <c r="U110" s="993"/>
      <c r="V110" s="1351"/>
      <c r="W110" s="1351"/>
      <c r="X110" s="1351"/>
      <c r="Y110" s="983"/>
      <c r="Z110" s="993"/>
      <c r="AA110" s="1351"/>
      <c r="AB110" s="1351"/>
      <c r="AC110" s="1351"/>
      <c r="AD110" s="1351"/>
      <c r="AE110" s="993"/>
      <c r="AF110" s="1351"/>
      <c r="AG110" s="1351"/>
      <c r="AH110" s="1351"/>
      <c r="AI110" s="982"/>
      <c r="AJ110" s="993"/>
      <c r="AK110" s="1351"/>
      <c r="AL110" s="1351"/>
      <c r="AM110" s="1351"/>
      <c r="AN110" s="1351"/>
      <c r="AO110" s="993"/>
      <c r="AP110" s="1351"/>
      <c r="AQ110" s="1351"/>
      <c r="AR110" s="1351"/>
      <c r="AS110" s="1879"/>
    </row>
    <row r="111" spans="1:45" x14ac:dyDescent="0.25">
      <c r="A111" s="1319" t="s">
        <v>1556</v>
      </c>
      <c r="B111" s="1680">
        <f>+'NEW Fall CHP by DISC'!B111/15</f>
        <v>0</v>
      </c>
      <c r="C111" s="1680">
        <f>+'NEW Fall CHP by DISC'!C111/15</f>
        <v>0</v>
      </c>
      <c r="D111" s="1680">
        <f>+'NEW Fall CHP by DISC'!D111/12</f>
        <v>0</v>
      </c>
      <c r="E111" s="1678">
        <f t="shared" ref="E111:E119" si="94">SUM(B111:D111)</f>
        <v>0</v>
      </c>
      <c r="F111" s="1680">
        <f>+'NEW Fall CHP by DISC'!F111/15</f>
        <v>0</v>
      </c>
      <c r="G111" s="1680">
        <f>+'NEW Fall CHP by DISC'!G111/15</f>
        <v>0</v>
      </c>
      <c r="H111" s="1680">
        <f>+'NEW Fall CHP by DISC'!H111/12</f>
        <v>0</v>
      </c>
      <c r="I111" s="1680">
        <f t="shared" ref="I111:I119" si="95">SUM(F111:H111)</f>
        <v>0</v>
      </c>
      <c r="J111" s="505" t="str">
        <f t="shared" ref="J111:J121" si="96">IF(E111&gt;0,(I111-E111)/E111,(IF(I111=0,"N/A",100%)))</f>
        <v>N/A</v>
      </c>
      <c r="K111" s="1680">
        <f>+'NEW Fall CHP by DISC'!K111/15</f>
        <v>0</v>
      </c>
      <c r="L111" s="1680">
        <f>+'NEW Fall CHP by DISC'!L111/15</f>
        <v>0</v>
      </c>
      <c r="M111" s="1680">
        <f>+'NEW Fall CHP by DISC'!M111/12</f>
        <v>0</v>
      </c>
      <c r="N111" s="1680">
        <f t="shared" ref="N111:N119" si="97">SUM(K111:M111)</f>
        <v>0</v>
      </c>
      <c r="O111" s="505" t="str">
        <f t="shared" ref="O111:O121" si="98">IF(I111&gt;0,(N111-I111)/I111,(IF(N111=0,"N/A",100%)))</f>
        <v>N/A</v>
      </c>
      <c r="P111" s="1680">
        <f>+'NEW Fall CHP by DISC'!P111/15</f>
        <v>0</v>
      </c>
      <c r="Q111" s="1680">
        <f>+'NEW Fall CHP by DISC'!Q111/15</f>
        <v>0</v>
      </c>
      <c r="R111" s="1680">
        <f>+'NEW Fall CHP by DISC'!R111/12</f>
        <v>0</v>
      </c>
      <c r="S111" s="1680">
        <f t="shared" ref="S111:S119" si="99">SUM(P111:R111)</f>
        <v>0</v>
      </c>
      <c r="T111" s="505" t="str">
        <f t="shared" ref="T111:T121" si="100">IF(N111&gt;0,(S111-N111)/N111,(IF(S111=0,"N/A",100%)))</f>
        <v>N/A</v>
      </c>
      <c r="U111" s="1680">
        <f>+'NEW Fall CHP by DISC'!U111/15</f>
        <v>0</v>
      </c>
      <c r="V111" s="1680">
        <f>+'NEW Fall CHP by DISC'!V111/15</f>
        <v>0</v>
      </c>
      <c r="W111" s="1680">
        <f>+'NEW Fall CHP by DISC'!W111/12</f>
        <v>0</v>
      </c>
      <c r="X111" s="1680">
        <f t="shared" ref="X111:X119" si="101">SUM(U111:W111)</f>
        <v>0</v>
      </c>
      <c r="Y111" s="505" t="str">
        <f t="shared" ref="Y111:Y121" si="102">IF(S111&gt;0,(X111-S111)/S111,(IF(X111=0,"N/A",100%)))</f>
        <v>N/A</v>
      </c>
      <c r="Z111" s="1680">
        <f>+'NEW Fall CHP by DISC'!Z111/15</f>
        <v>0.4</v>
      </c>
      <c r="AA111" s="1680">
        <f>+'NEW Fall CHP by DISC'!AA111/15</f>
        <v>0</v>
      </c>
      <c r="AB111" s="1680">
        <f>+'NEW Fall CHP by DISC'!AB111/12</f>
        <v>0</v>
      </c>
      <c r="AC111" s="1680">
        <f t="shared" ref="AC111:AC119" si="103">SUM(Z111:AB111)</f>
        <v>0.4</v>
      </c>
      <c r="AD111" s="505">
        <f t="shared" ref="AD111:AD121" si="104">IF(X111&gt;0,(AC111-X111)/X111,(IF(AC111=0,"N/A",100%)))</f>
        <v>1</v>
      </c>
      <c r="AE111" s="1680">
        <f>+'NEW Fall CHP by DISC'!AE111/15</f>
        <v>0</v>
      </c>
      <c r="AF111" s="1680">
        <f>+'NEW Fall CHP by DISC'!AF111/15</f>
        <v>0</v>
      </c>
      <c r="AG111" s="1680">
        <f>+'NEW Fall CHP by DISC'!AG111/12</f>
        <v>0</v>
      </c>
      <c r="AH111" s="1680">
        <f t="shared" ref="AH111:AH119" si="105">SUM(AE111:AG111)</f>
        <v>0</v>
      </c>
      <c r="AI111" s="1888">
        <f t="shared" ref="AI111:AI121" si="106">IF(AC111&gt;0,(AH111-AC111)/AC111,(IF(AH111=0,"N/A",100%)))</f>
        <v>-1</v>
      </c>
      <c r="AJ111" s="1680">
        <f>+'NEW Fall CHP by DISC'!AJ111/15</f>
        <v>0</v>
      </c>
      <c r="AK111" s="1680">
        <f>+'NEW Fall CHP by DISC'!AK111/15</f>
        <v>0</v>
      </c>
      <c r="AL111" s="1680">
        <f>+'NEW Fall CHP by DISC'!AL111/12</f>
        <v>0</v>
      </c>
      <c r="AM111" s="1680">
        <f t="shared" ref="AM111:AM119" si="107">SUM(AJ111:AL111)</f>
        <v>0</v>
      </c>
      <c r="AN111" s="491" t="str">
        <f t="shared" ref="AN111:AN121" si="108">IF(AH111&gt;0,(AM111-AH111)/AH111,(IF(AM111=0,"N/A",100%)))</f>
        <v>N/A</v>
      </c>
      <c r="AO111" s="1680">
        <f>+'NEW Fall CHP by DISC'!AO111/15</f>
        <v>1.0666666666666667</v>
      </c>
      <c r="AP111" s="1680">
        <f>+'NEW Fall CHP by DISC'!AP111/15</f>
        <v>0</v>
      </c>
      <c r="AQ111" s="1680">
        <f>+'NEW Fall CHP by DISC'!AQ111/12</f>
        <v>0</v>
      </c>
      <c r="AR111" s="1680">
        <f t="shared" ref="AR111:AR120" si="109">SUM(AO111:AQ111)</f>
        <v>1.0666666666666667</v>
      </c>
      <c r="AS111" s="1679">
        <f t="shared" ref="AS111:AS121" si="110">IF(AM111&gt;0,(AR111-AM111)/AM111,(IF(AR111=0,"N/A",100%)))</f>
        <v>1</v>
      </c>
    </row>
    <row r="112" spans="1:45" x14ac:dyDescent="0.25">
      <c r="A112" s="1319" t="s">
        <v>1052</v>
      </c>
      <c r="B112" s="1680">
        <f>+'NEW Fall CHP by DISC'!B112/15</f>
        <v>2.6666666666666665</v>
      </c>
      <c r="C112" s="1680">
        <f>+'NEW Fall CHP by DISC'!C112/15</f>
        <v>0</v>
      </c>
      <c r="D112" s="1680">
        <f>+'NEW Fall CHP by DISC'!D112/12</f>
        <v>0</v>
      </c>
      <c r="E112" s="1678">
        <f>SUM(B112:D112)</f>
        <v>2.6666666666666665</v>
      </c>
      <c r="F112" s="1680">
        <f>+'NEW Fall CHP by DISC'!F112/15</f>
        <v>3.2</v>
      </c>
      <c r="G112" s="1680">
        <f>+'NEW Fall CHP by DISC'!G112/15</f>
        <v>0</v>
      </c>
      <c r="H112" s="1680">
        <f>+'NEW Fall CHP by DISC'!H112/12</f>
        <v>0</v>
      </c>
      <c r="I112" s="1680">
        <f>SUM(F112:H112)</f>
        <v>3.2</v>
      </c>
      <c r="J112" s="505">
        <f>IF(E112&gt;0,(I112-E112)/E112,(IF(I112=0,"N/A",100%)))</f>
        <v>0.20000000000000012</v>
      </c>
      <c r="K112" s="1680">
        <f>+'NEW Fall CHP by DISC'!K112/15</f>
        <v>7.4666666666666668</v>
      </c>
      <c r="L112" s="1680">
        <f>+'NEW Fall CHP by DISC'!L112/15</f>
        <v>0</v>
      </c>
      <c r="M112" s="1680">
        <f>+'NEW Fall CHP by DISC'!M112/12</f>
        <v>0</v>
      </c>
      <c r="N112" s="1680">
        <f>SUM(K112:M112)</f>
        <v>7.4666666666666668</v>
      </c>
      <c r="O112" s="505">
        <f>IF(I112&gt;0,(N112-I112)/I112,(IF(N112=0,"N/A",100%)))</f>
        <v>1.3333333333333333</v>
      </c>
      <c r="P112" s="1680">
        <f>+'NEW Fall CHP by DISC'!P112/15</f>
        <v>9.7333333333333325</v>
      </c>
      <c r="Q112" s="1680">
        <f>+'NEW Fall CHP by DISC'!Q112/15</f>
        <v>0</v>
      </c>
      <c r="R112" s="1680">
        <f>+'NEW Fall CHP by DISC'!R112/12</f>
        <v>0</v>
      </c>
      <c r="S112" s="1680">
        <f>SUM(P112:R112)</f>
        <v>9.7333333333333325</v>
      </c>
      <c r="T112" s="505">
        <f>IF(N112&gt;0,(S112-N112)/N112,(IF(S112=0,"N/A",100%)))</f>
        <v>0.30357142857142844</v>
      </c>
      <c r="U112" s="1680">
        <f>+'NEW Fall CHP by DISC'!U112/15</f>
        <v>13.6</v>
      </c>
      <c r="V112" s="1680">
        <f>+'NEW Fall CHP by DISC'!V112/15</f>
        <v>0</v>
      </c>
      <c r="W112" s="1680">
        <f>+'NEW Fall CHP by DISC'!W112/12</f>
        <v>0</v>
      </c>
      <c r="X112" s="1680">
        <f>SUM(U112:W112)</f>
        <v>13.6</v>
      </c>
      <c r="Y112" s="505">
        <f>IF(S112&gt;0,(X112-S112)/S112,(IF(X112=0,"N/A",100%)))</f>
        <v>0.39726027397260283</v>
      </c>
      <c r="Z112" s="1680">
        <f>+'NEW Fall CHP by DISC'!Z112/15</f>
        <v>8.9333333333333336</v>
      </c>
      <c r="AA112" s="1680">
        <f>+'NEW Fall CHP by DISC'!AA112/15</f>
        <v>0</v>
      </c>
      <c r="AB112" s="1680">
        <f>+'NEW Fall CHP by DISC'!AB112/12</f>
        <v>0</v>
      </c>
      <c r="AC112" s="1680">
        <f>SUM(Z112:AB112)</f>
        <v>8.9333333333333336</v>
      </c>
      <c r="AD112" s="505">
        <f>IF(X112&gt;0,(AC112-X112)/X112,(IF(AC112=0,"N/A",100%)))</f>
        <v>-0.34313725490196073</v>
      </c>
      <c r="AE112" s="1680">
        <f>+'NEW Fall CHP by DISC'!AE112/15</f>
        <v>9.0666666666666664</v>
      </c>
      <c r="AF112" s="1680">
        <f>+'NEW Fall CHP by DISC'!AF112/15</f>
        <v>0</v>
      </c>
      <c r="AG112" s="1680">
        <f>+'NEW Fall CHP by DISC'!AG112/12</f>
        <v>0</v>
      </c>
      <c r="AH112" s="1680">
        <f t="shared" si="105"/>
        <v>9.0666666666666664</v>
      </c>
      <c r="AI112" s="1888">
        <f t="shared" si="106"/>
        <v>1.4925373134328304E-2</v>
      </c>
      <c r="AJ112" s="1680">
        <f>+'NEW Fall CHP by DISC'!AJ112/15</f>
        <v>7.7333333333333334</v>
      </c>
      <c r="AK112" s="1680">
        <f>+'NEW Fall CHP by DISC'!AK112/15</f>
        <v>0</v>
      </c>
      <c r="AL112" s="1680">
        <f>+'NEW Fall CHP by DISC'!AL112/12</f>
        <v>0</v>
      </c>
      <c r="AM112" s="1680">
        <f t="shared" si="107"/>
        <v>7.7333333333333334</v>
      </c>
      <c r="AN112" s="491">
        <f t="shared" si="108"/>
        <v>-0.14705882352941174</v>
      </c>
      <c r="AO112" s="1680">
        <f>+'NEW Fall CHP by DISC'!AO112/15</f>
        <v>3.4666666666666668</v>
      </c>
      <c r="AP112" s="1680">
        <f>+'NEW Fall CHP by DISC'!AP112/15</f>
        <v>0</v>
      </c>
      <c r="AQ112" s="1680">
        <f>+'NEW Fall CHP by DISC'!AQ112/12</f>
        <v>0</v>
      </c>
      <c r="AR112" s="1680">
        <f t="shared" si="109"/>
        <v>3.4666666666666668</v>
      </c>
      <c r="AS112" s="1679">
        <f t="shared" si="110"/>
        <v>-0.55172413793103448</v>
      </c>
    </row>
    <row r="113" spans="1:45" x14ac:dyDescent="0.25">
      <c r="A113" s="1319" t="s">
        <v>1625</v>
      </c>
      <c r="B113" s="1680">
        <f>+'NEW Fall CHP by DISC'!B113/15</f>
        <v>0</v>
      </c>
      <c r="C113" s="1680">
        <f>+'NEW Fall CHP by DISC'!C113/15</f>
        <v>0</v>
      </c>
      <c r="D113" s="1680">
        <f>+'NEW Fall CHP by DISC'!D113/12</f>
        <v>0</v>
      </c>
      <c r="E113" s="1678">
        <f>SUM(B113:D113)</f>
        <v>0</v>
      </c>
      <c r="F113" s="1680">
        <f>+'NEW Fall CHP by DISC'!F113/15</f>
        <v>0</v>
      </c>
      <c r="G113" s="1680">
        <f>+'NEW Fall CHP by DISC'!G113/15</f>
        <v>0</v>
      </c>
      <c r="H113" s="1680">
        <f>+'NEW Fall CHP by DISC'!H113/12</f>
        <v>0</v>
      </c>
      <c r="I113" s="1680">
        <f>SUM(F113:H113)</f>
        <v>0</v>
      </c>
      <c r="J113" s="505" t="str">
        <f>IF(E113&gt;0,(I113-E113)/E113,(IF(I113=0,"N/A",100%)))</f>
        <v>N/A</v>
      </c>
      <c r="K113" s="1680">
        <f>+'NEW Fall CHP by DISC'!K113/15</f>
        <v>0</v>
      </c>
      <c r="L113" s="1680">
        <f>+'NEW Fall CHP by DISC'!L113/15</f>
        <v>0</v>
      </c>
      <c r="M113" s="1680">
        <f>+'NEW Fall CHP by DISC'!M113/12</f>
        <v>0</v>
      </c>
      <c r="N113" s="1680">
        <f>SUM(K113:M113)</f>
        <v>0</v>
      </c>
      <c r="O113" s="505" t="str">
        <f>IF(I113&gt;0,(N113-I113)/I113,(IF(N113=0,"N/A",100%)))</f>
        <v>N/A</v>
      </c>
      <c r="P113" s="1680">
        <f>+'NEW Fall CHP by DISC'!P113/15</f>
        <v>0</v>
      </c>
      <c r="Q113" s="1680">
        <f>+'NEW Fall CHP by DISC'!Q113/15</f>
        <v>0</v>
      </c>
      <c r="R113" s="1680">
        <f>+'NEW Fall CHP by DISC'!R113/12</f>
        <v>0</v>
      </c>
      <c r="S113" s="1680">
        <f>SUM(P113:R113)</f>
        <v>0</v>
      </c>
      <c r="T113" s="505" t="str">
        <f>IF(N113&gt;0,(S113-N113)/N113,(IF(S113=0,"N/A",100%)))</f>
        <v>N/A</v>
      </c>
      <c r="U113" s="1680">
        <f>+'NEW Fall CHP by DISC'!U113/15</f>
        <v>0</v>
      </c>
      <c r="V113" s="1680">
        <f>+'NEW Fall CHP by DISC'!V113/15</f>
        <v>0</v>
      </c>
      <c r="W113" s="1680">
        <f>+'NEW Fall CHP by DISC'!W113/12</f>
        <v>0</v>
      </c>
      <c r="X113" s="1680">
        <f>SUM(U113:W113)</f>
        <v>0</v>
      </c>
      <c r="Y113" s="505" t="str">
        <f>IF(S113&gt;0,(X113-S113)/S113,(IF(X113=0,"N/A",100%)))</f>
        <v>N/A</v>
      </c>
      <c r="Z113" s="1680">
        <f>+'NEW Fall CHP by DISC'!Z113/15</f>
        <v>0</v>
      </c>
      <c r="AA113" s="1680">
        <f>+'NEW Fall CHP by DISC'!AA113/15</f>
        <v>0</v>
      </c>
      <c r="AB113" s="1680">
        <f>+'NEW Fall CHP by DISC'!AB113/12</f>
        <v>0</v>
      </c>
      <c r="AC113" s="1680">
        <f>SUM(Z113:AB113)</f>
        <v>0</v>
      </c>
      <c r="AD113" s="505" t="str">
        <f>IF(X113&gt;0,(AC113-X113)/X113,(IF(AC113=0,"N/A",100%)))</f>
        <v>N/A</v>
      </c>
      <c r="AE113" s="1680">
        <f>+'NEW Fall CHP by DISC'!AE113/15</f>
        <v>11.733333333333333</v>
      </c>
      <c r="AF113" s="1680">
        <f>+'NEW Fall CHP by DISC'!AF113/15</f>
        <v>0</v>
      </c>
      <c r="AG113" s="1680">
        <f>+'NEW Fall CHP by DISC'!AG113/12</f>
        <v>0</v>
      </c>
      <c r="AH113" s="1680">
        <f>SUM(AE113:AG113)</f>
        <v>11.733333333333333</v>
      </c>
      <c r="AI113" s="1888">
        <f>IF(AC113&gt;0,(AH113-AC113)/AC113,(IF(AH113=0,"N/A",100%)))</f>
        <v>1</v>
      </c>
      <c r="AJ113" s="1680">
        <f>+'NEW Fall CHP by DISC'!AJ113/15</f>
        <v>12.733333333333333</v>
      </c>
      <c r="AK113" s="1680">
        <f>+'NEW Fall CHP by DISC'!AK113/15</f>
        <v>0.53333333333333333</v>
      </c>
      <c r="AL113" s="1680">
        <f>+'NEW Fall CHP by DISC'!AL113/12</f>
        <v>0</v>
      </c>
      <c r="AM113" s="1680">
        <f t="shared" si="107"/>
        <v>13.266666666666666</v>
      </c>
      <c r="AN113" s="491">
        <f t="shared" si="108"/>
        <v>0.13068181818181818</v>
      </c>
      <c r="AO113" s="1680">
        <f>+'NEW Fall CHP by DISC'!AO113/15</f>
        <v>11.133333333333333</v>
      </c>
      <c r="AP113" s="1680">
        <f>+'NEW Fall CHP by DISC'!AP113/15</f>
        <v>2.8</v>
      </c>
      <c r="AQ113" s="1680">
        <f>+'NEW Fall CHP by DISC'!AQ113/12</f>
        <v>0</v>
      </c>
      <c r="AR113" s="1680">
        <f t="shared" si="109"/>
        <v>13.933333333333334</v>
      </c>
      <c r="AS113" s="1679">
        <f t="shared" si="110"/>
        <v>5.0251256281407128E-2</v>
      </c>
    </row>
    <row r="114" spans="1:45" x14ac:dyDescent="0.25">
      <c r="A114" s="1319" t="s">
        <v>758</v>
      </c>
      <c r="B114" s="1680">
        <f>+'NEW Fall CHP by DISC'!B114/15</f>
        <v>3.4</v>
      </c>
      <c r="C114" s="1680">
        <f>+'NEW Fall CHP by DISC'!C114/15</f>
        <v>0</v>
      </c>
      <c r="D114" s="1680">
        <f>+'NEW Fall CHP by DISC'!D114/12</f>
        <v>0</v>
      </c>
      <c r="E114" s="1678">
        <f t="shared" si="94"/>
        <v>3.4</v>
      </c>
      <c r="F114" s="1680">
        <f>+'NEW Fall CHP by DISC'!F114/15</f>
        <v>4.5999999999999996</v>
      </c>
      <c r="G114" s="1680">
        <f>+'NEW Fall CHP by DISC'!G114/15</f>
        <v>0</v>
      </c>
      <c r="H114" s="1680">
        <f>+'NEW Fall CHP by DISC'!H114/12</f>
        <v>0</v>
      </c>
      <c r="I114" s="1680">
        <f t="shared" si="95"/>
        <v>4.5999999999999996</v>
      </c>
      <c r="J114" s="505">
        <f t="shared" si="96"/>
        <v>0.35294117647058815</v>
      </c>
      <c r="K114" s="1680">
        <f>+'NEW Fall CHP by DISC'!K114/15</f>
        <v>4.4000000000000004</v>
      </c>
      <c r="L114" s="1680">
        <f>+'NEW Fall CHP by DISC'!L114/15</f>
        <v>0</v>
      </c>
      <c r="M114" s="1680">
        <f>+'NEW Fall CHP by DISC'!M114/12</f>
        <v>0</v>
      </c>
      <c r="N114" s="1680">
        <f t="shared" si="97"/>
        <v>4.4000000000000004</v>
      </c>
      <c r="O114" s="505">
        <f t="shared" si="98"/>
        <v>-4.3478260869565064E-2</v>
      </c>
      <c r="P114" s="1680">
        <f>+'NEW Fall CHP by DISC'!P114/15</f>
        <v>3.2</v>
      </c>
      <c r="Q114" s="1680">
        <f>+'NEW Fall CHP by DISC'!Q114/15</f>
        <v>0</v>
      </c>
      <c r="R114" s="1680">
        <f>+'NEW Fall CHP by DISC'!R114/12</f>
        <v>0</v>
      </c>
      <c r="S114" s="1680">
        <f t="shared" si="99"/>
        <v>3.2</v>
      </c>
      <c r="T114" s="505">
        <f t="shared" si="100"/>
        <v>-0.27272727272727276</v>
      </c>
      <c r="U114" s="1680">
        <f>+'NEW Fall CHP by DISC'!U114/15</f>
        <v>6.4</v>
      </c>
      <c r="V114" s="1680">
        <f>+'NEW Fall CHP by DISC'!V114/15</f>
        <v>0</v>
      </c>
      <c r="W114" s="1680">
        <f>+'NEW Fall CHP by DISC'!W114/12</f>
        <v>0</v>
      </c>
      <c r="X114" s="1680">
        <f t="shared" si="101"/>
        <v>6.4</v>
      </c>
      <c r="Y114" s="505">
        <f t="shared" si="102"/>
        <v>1</v>
      </c>
      <c r="Z114" s="1680">
        <f>+'NEW Fall CHP by DISC'!Z114/15</f>
        <v>6.8</v>
      </c>
      <c r="AA114" s="1680">
        <f>+'NEW Fall CHP by DISC'!AA114/15</f>
        <v>0</v>
      </c>
      <c r="AB114" s="1680">
        <f>+'NEW Fall CHP by DISC'!AB114/12</f>
        <v>0</v>
      </c>
      <c r="AC114" s="1680">
        <f t="shared" si="103"/>
        <v>6.8</v>
      </c>
      <c r="AD114" s="505">
        <f t="shared" si="104"/>
        <v>6.2499999999999917E-2</v>
      </c>
      <c r="AE114" s="1680">
        <f>+'NEW Fall CHP by DISC'!AE114/15</f>
        <v>0</v>
      </c>
      <c r="AF114" s="1680">
        <f>+'NEW Fall CHP by DISC'!AF114/15</f>
        <v>0</v>
      </c>
      <c r="AG114" s="1680">
        <f>+'NEW Fall CHP by DISC'!AG114/12</f>
        <v>0</v>
      </c>
      <c r="AH114" s="1680">
        <f t="shared" si="105"/>
        <v>0</v>
      </c>
      <c r="AI114" s="1888">
        <f t="shared" si="106"/>
        <v>-1</v>
      </c>
      <c r="AJ114" s="1680">
        <f>+'NEW Fall CHP by DISC'!AJ114/15</f>
        <v>0</v>
      </c>
      <c r="AK114" s="1680">
        <f>+'NEW Fall CHP by DISC'!AK114/15</f>
        <v>0</v>
      </c>
      <c r="AL114" s="1680">
        <f>+'NEW Fall CHP by DISC'!AL114/12</f>
        <v>0</v>
      </c>
      <c r="AM114" s="1680">
        <f t="shared" si="107"/>
        <v>0</v>
      </c>
      <c r="AN114" s="491" t="str">
        <f t="shared" si="108"/>
        <v>N/A</v>
      </c>
      <c r="AO114" s="1680">
        <f>+'NEW Fall CHP by DISC'!AO114/15</f>
        <v>0</v>
      </c>
      <c r="AP114" s="1680">
        <f>+'NEW Fall CHP by DISC'!AP114/15</f>
        <v>0</v>
      </c>
      <c r="AQ114" s="1680">
        <f>+'NEW Fall CHP by DISC'!AQ114/12</f>
        <v>0</v>
      </c>
      <c r="AR114" s="1680">
        <f t="shared" si="109"/>
        <v>0</v>
      </c>
      <c r="AS114" s="1679" t="str">
        <f t="shared" si="110"/>
        <v>N/A</v>
      </c>
    </row>
    <row r="115" spans="1:45" x14ac:dyDescent="0.25">
      <c r="A115" s="1319" t="s">
        <v>1054</v>
      </c>
      <c r="B115" s="1680">
        <f>+'NEW Fall CHP by DISC'!B115/15</f>
        <v>0</v>
      </c>
      <c r="C115" s="1680">
        <f>+'NEW Fall CHP by DISC'!C115/15</f>
        <v>0</v>
      </c>
      <c r="D115" s="1680">
        <f>+'NEW Fall CHP by DISC'!D115/12</f>
        <v>0</v>
      </c>
      <c r="E115" s="1678">
        <f t="shared" si="94"/>
        <v>0</v>
      </c>
      <c r="F115" s="1680">
        <f>+'NEW Fall CHP by DISC'!F115/15</f>
        <v>0</v>
      </c>
      <c r="G115" s="1680">
        <f>+'NEW Fall CHP by DISC'!G115/15</f>
        <v>0</v>
      </c>
      <c r="H115" s="1680">
        <f>+'NEW Fall CHP by DISC'!H115/12</f>
        <v>0</v>
      </c>
      <c r="I115" s="1680">
        <f t="shared" si="95"/>
        <v>0</v>
      </c>
      <c r="J115" s="505" t="str">
        <f t="shared" si="96"/>
        <v>N/A</v>
      </c>
      <c r="K115" s="1680">
        <f>+'NEW Fall CHP by DISC'!K115/15</f>
        <v>0</v>
      </c>
      <c r="L115" s="1680">
        <f>+'NEW Fall CHP by DISC'!L115/15</f>
        <v>0</v>
      </c>
      <c r="M115" s="1680">
        <f>+'NEW Fall CHP by DISC'!M115/12</f>
        <v>0</v>
      </c>
      <c r="N115" s="1680">
        <f t="shared" si="97"/>
        <v>0</v>
      </c>
      <c r="O115" s="505" t="str">
        <f t="shared" si="98"/>
        <v>N/A</v>
      </c>
      <c r="P115" s="1680">
        <f>+'NEW Fall CHP by DISC'!P115/15</f>
        <v>0</v>
      </c>
      <c r="Q115" s="1680">
        <f>+'NEW Fall CHP by DISC'!Q115/15</f>
        <v>0</v>
      </c>
      <c r="R115" s="1680">
        <f>+'NEW Fall CHP by DISC'!R115/12</f>
        <v>0</v>
      </c>
      <c r="S115" s="1680">
        <f t="shared" si="99"/>
        <v>0</v>
      </c>
      <c r="T115" s="505" t="str">
        <f t="shared" si="100"/>
        <v>N/A</v>
      </c>
      <c r="U115" s="1680">
        <f>+'NEW Fall CHP by DISC'!U115/15</f>
        <v>0</v>
      </c>
      <c r="V115" s="1680">
        <f>+'NEW Fall CHP by DISC'!V115/15</f>
        <v>0</v>
      </c>
      <c r="W115" s="1680">
        <f>+'NEW Fall CHP by DISC'!W115/12</f>
        <v>0</v>
      </c>
      <c r="X115" s="1680">
        <f t="shared" si="101"/>
        <v>0</v>
      </c>
      <c r="Y115" s="505" t="str">
        <f t="shared" si="102"/>
        <v>N/A</v>
      </c>
      <c r="Z115" s="1680">
        <f>+'NEW Fall CHP by DISC'!Z115/15</f>
        <v>0</v>
      </c>
      <c r="AA115" s="1680">
        <f>+'NEW Fall CHP by DISC'!AA115/15</f>
        <v>0</v>
      </c>
      <c r="AB115" s="1680">
        <f>+'NEW Fall CHP by DISC'!AB115/12</f>
        <v>0</v>
      </c>
      <c r="AC115" s="1680">
        <f t="shared" si="103"/>
        <v>0</v>
      </c>
      <c r="AD115" s="505" t="str">
        <f t="shared" si="104"/>
        <v>N/A</v>
      </c>
      <c r="AE115" s="1680">
        <f>+'NEW Fall CHP by DISC'!AE115/15</f>
        <v>0</v>
      </c>
      <c r="AF115" s="1680">
        <f>+'NEW Fall CHP by DISC'!AF115/15</f>
        <v>0</v>
      </c>
      <c r="AG115" s="1680">
        <f>+'NEW Fall CHP by DISC'!AG115/12</f>
        <v>0</v>
      </c>
      <c r="AH115" s="1680">
        <f t="shared" si="105"/>
        <v>0</v>
      </c>
      <c r="AI115" s="1888" t="str">
        <f t="shared" si="106"/>
        <v>N/A</v>
      </c>
      <c r="AJ115" s="1680">
        <f>+'NEW Fall CHP by DISC'!AJ115/15</f>
        <v>2</v>
      </c>
      <c r="AK115" s="1680">
        <f>+'NEW Fall CHP by DISC'!AK115/15</f>
        <v>0.4</v>
      </c>
      <c r="AL115" s="1680">
        <f>+'NEW Fall CHP by DISC'!AL115/12</f>
        <v>0</v>
      </c>
      <c r="AM115" s="1680">
        <f t="shared" si="107"/>
        <v>2.4</v>
      </c>
      <c r="AN115" s="491">
        <f t="shared" si="108"/>
        <v>1</v>
      </c>
      <c r="AO115" s="1680">
        <f>+'NEW Fall CHP by DISC'!AO115/15</f>
        <v>4</v>
      </c>
      <c r="AP115" s="1680">
        <f>+'NEW Fall CHP by DISC'!AP115/15</f>
        <v>0</v>
      </c>
      <c r="AQ115" s="1680">
        <f>+'NEW Fall CHP by DISC'!AQ115/12</f>
        <v>0</v>
      </c>
      <c r="AR115" s="1680">
        <f t="shared" si="109"/>
        <v>4</v>
      </c>
      <c r="AS115" s="1679">
        <f t="shared" si="110"/>
        <v>0.66666666666666674</v>
      </c>
    </row>
    <row r="116" spans="1:45" x14ac:dyDescent="0.25">
      <c r="A116" s="1319" t="s">
        <v>1055</v>
      </c>
      <c r="B116" s="1680">
        <f>+'NEW Fall CHP by DISC'!B116/15</f>
        <v>0</v>
      </c>
      <c r="C116" s="1680">
        <f>+'NEW Fall CHP by DISC'!C116/15</f>
        <v>5.8</v>
      </c>
      <c r="D116" s="1680">
        <f>+'NEW Fall CHP by DISC'!D116/12</f>
        <v>0</v>
      </c>
      <c r="E116" s="1678">
        <f t="shared" si="94"/>
        <v>5.8</v>
      </c>
      <c r="F116" s="1680">
        <f>+'NEW Fall CHP by DISC'!F116/15</f>
        <v>0</v>
      </c>
      <c r="G116" s="1680">
        <f>+'NEW Fall CHP by DISC'!G116/15</f>
        <v>3.2</v>
      </c>
      <c r="H116" s="1680">
        <f>+'NEW Fall CHP by DISC'!H116/12</f>
        <v>0</v>
      </c>
      <c r="I116" s="1680">
        <f t="shared" si="95"/>
        <v>3.2</v>
      </c>
      <c r="J116" s="505">
        <f t="shared" si="96"/>
        <v>-0.44827586206896547</v>
      </c>
      <c r="K116" s="1680">
        <f>+'NEW Fall CHP by DISC'!K116/15</f>
        <v>0</v>
      </c>
      <c r="L116" s="1680">
        <f>+'NEW Fall CHP by DISC'!L116/15</f>
        <v>7.2</v>
      </c>
      <c r="M116" s="1680">
        <f>+'NEW Fall CHP by DISC'!M116/12</f>
        <v>0</v>
      </c>
      <c r="N116" s="1680">
        <f t="shared" si="97"/>
        <v>7.2</v>
      </c>
      <c r="O116" s="505">
        <f t="shared" si="98"/>
        <v>1.25</v>
      </c>
      <c r="P116" s="1680">
        <f>+'NEW Fall CHP by DISC'!P116/15</f>
        <v>0</v>
      </c>
      <c r="Q116" s="1680">
        <f>+'NEW Fall CHP by DISC'!Q116/15</f>
        <v>5.8</v>
      </c>
      <c r="R116" s="1680">
        <f>+'NEW Fall CHP by DISC'!R116/12</f>
        <v>0</v>
      </c>
      <c r="S116" s="1680">
        <f t="shared" si="99"/>
        <v>5.8</v>
      </c>
      <c r="T116" s="505">
        <f t="shared" si="100"/>
        <v>-0.19444444444444448</v>
      </c>
      <c r="U116" s="1680">
        <f>+'NEW Fall CHP by DISC'!U116/15</f>
        <v>0</v>
      </c>
      <c r="V116" s="1680">
        <f>+'NEW Fall CHP by DISC'!V116/15</f>
        <v>4</v>
      </c>
      <c r="W116" s="1680">
        <f>+'NEW Fall CHP by DISC'!W116/12</f>
        <v>0</v>
      </c>
      <c r="X116" s="1680">
        <f t="shared" si="101"/>
        <v>4</v>
      </c>
      <c r="Y116" s="505">
        <f t="shared" si="102"/>
        <v>-0.31034482758620685</v>
      </c>
      <c r="Z116" s="1680">
        <f>+'NEW Fall CHP by DISC'!Z116/15</f>
        <v>0</v>
      </c>
      <c r="AA116" s="1680">
        <f>+'NEW Fall CHP by DISC'!AA116/15</f>
        <v>8.8000000000000007</v>
      </c>
      <c r="AB116" s="1680">
        <f>+'NEW Fall CHP by DISC'!AB116/12</f>
        <v>0</v>
      </c>
      <c r="AC116" s="1680">
        <f t="shared" si="103"/>
        <v>8.8000000000000007</v>
      </c>
      <c r="AD116" s="505">
        <f t="shared" si="104"/>
        <v>1.2000000000000002</v>
      </c>
      <c r="AE116" s="1680">
        <f>+'NEW Fall CHP by DISC'!AE116/15</f>
        <v>0</v>
      </c>
      <c r="AF116" s="1680">
        <f>+'NEW Fall CHP by DISC'!AF116/15</f>
        <v>8</v>
      </c>
      <c r="AG116" s="1680">
        <f>+'NEW Fall CHP by DISC'!AG116/12</f>
        <v>0</v>
      </c>
      <c r="AH116" s="1680">
        <f t="shared" si="105"/>
        <v>8</v>
      </c>
      <c r="AI116" s="1888">
        <f t="shared" si="106"/>
        <v>-9.0909090909090981E-2</v>
      </c>
      <c r="AJ116" s="1680">
        <f>+'NEW Fall CHP by DISC'!AJ116/15</f>
        <v>0</v>
      </c>
      <c r="AK116" s="1680">
        <f>+'NEW Fall CHP by DISC'!AK116/15</f>
        <v>5.7333333333333334</v>
      </c>
      <c r="AL116" s="1680">
        <f>+'NEW Fall CHP by DISC'!AL116/12</f>
        <v>0</v>
      </c>
      <c r="AM116" s="1680">
        <f t="shared" si="107"/>
        <v>5.7333333333333334</v>
      </c>
      <c r="AN116" s="491">
        <f t="shared" si="108"/>
        <v>-0.28333333333333333</v>
      </c>
      <c r="AO116" s="1680">
        <f>+'NEW Fall CHP by DISC'!AO116/15</f>
        <v>0</v>
      </c>
      <c r="AP116" s="1680">
        <f>+'NEW Fall CHP by DISC'!AP116/15</f>
        <v>6.4</v>
      </c>
      <c r="AQ116" s="1680">
        <f>+'NEW Fall CHP by DISC'!AQ116/12</f>
        <v>0</v>
      </c>
      <c r="AR116" s="1680">
        <f t="shared" si="109"/>
        <v>6.4</v>
      </c>
      <c r="AS116" s="1679">
        <f t="shared" si="110"/>
        <v>0.11627906976744191</v>
      </c>
    </row>
    <row r="117" spans="1:45" x14ac:dyDescent="0.25">
      <c r="A117" s="1319" t="s">
        <v>1056</v>
      </c>
      <c r="B117" s="1680">
        <f>+'NEW Fall CHP by DISC'!B117/15</f>
        <v>0</v>
      </c>
      <c r="C117" s="1680">
        <f>+'NEW Fall CHP by DISC'!C117/15</f>
        <v>0</v>
      </c>
      <c r="D117" s="1680">
        <f>+'NEW Fall CHP by DISC'!D117/12</f>
        <v>0</v>
      </c>
      <c r="E117" s="1678">
        <f t="shared" si="94"/>
        <v>0</v>
      </c>
      <c r="F117" s="1680">
        <f>+'NEW Fall CHP by DISC'!F117/15</f>
        <v>0</v>
      </c>
      <c r="G117" s="1680">
        <f>+'NEW Fall CHP by DISC'!G117/15</f>
        <v>0</v>
      </c>
      <c r="H117" s="1680">
        <f>+'NEW Fall CHP by DISC'!H117/12</f>
        <v>0</v>
      </c>
      <c r="I117" s="1680">
        <f t="shared" si="95"/>
        <v>0</v>
      </c>
      <c r="J117" s="505" t="str">
        <f t="shared" si="96"/>
        <v>N/A</v>
      </c>
      <c r="K117" s="1680">
        <f>+'NEW Fall CHP by DISC'!K117/15</f>
        <v>0</v>
      </c>
      <c r="L117" s="1680">
        <f>+'NEW Fall CHP by DISC'!L117/15</f>
        <v>0</v>
      </c>
      <c r="M117" s="1680">
        <f>+'NEW Fall CHP by DISC'!M117/12</f>
        <v>0</v>
      </c>
      <c r="N117" s="1680">
        <f t="shared" si="97"/>
        <v>0</v>
      </c>
      <c r="O117" s="505" t="str">
        <f t="shared" si="98"/>
        <v>N/A</v>
      </c>
      <c r="P117" s="1680">
        <f>+'NEW Fall CHP by DISC'!P117/15</f>
        <v>0</v>
      </c>
      <c r="Q117" s="1680">
        <f>+'NEW Fall CHP by DISC'!Q117/15</f>
        <v>0</v>
      </c>
      <c r="R117" s="1680">
        <f>+'NEW Fall CHP by DISC'!R117/12</f>
        <v>0</v>
      </c>
      <c r="S117" s="1680">
        <f t="shared" si="99"/>
        <v>0</v>
      </c>
      <c r="T117" s="505" t="str">
        <f t="shared" si="100"/>
        <v>N/A</v>
      </c>
      <c r="U117" s="1680">
        <f>+'NEW Fall CHP by DISC'!U117/15</f>
        <v>0.8666666666666667</v>
      </c>
      <c r="V117" s="1680">
        <f>+'NEW Fall CHP by DISC'!V117/15</f>
        <v>0</v>
      </c>
      <c r="W117" s="1680">
        <f>+'NEW Fall CHP by DISC'!W117/12</f>
        <v>0</v>
      </c>
      <c r="X117" s="1680">
        <f t="shared" si="101"/>
        <v>0.8666666666666667</v>
      </c>
      <c r="Y117" s="505">
        <f t="shared" si="102"/>
        <v>1</v>
      </c>
      <c r="Z117" s="1680">
        <f>+'NEW Fall CHP by DISC'!Z117/15</f>
        <v>0</v>
      </c>
      <c r="AA117" s="1680">
        <f>+'NEW Fall CHP by DISC'!AA117/15</f>
        <v>0</v>
      </c>
      <c r="AB117" s="1680">
        <f>+'NEW Fall CHP by DISC'!AB117/12</f>
        <v>0</v>
      </c>
      <c r="AC117" s="1680">
        <f t="shared" si="103"/>
        <v>0</v>
      </c>
      <c r="AD117" s="505">
        <f t="shared" si="104"/>
        <v>-1</v>
      </c>
      <c r="AE117" s="1680">
        <f>+'NEW Fall CHP by DISC'!AE117/15</f>
        <v>6.6666666666666666E-2</v>
      </c>
      <c r="AF117" s="1680">
        <f>+'NEW Fall CHP by DISC'!AF117/15</f>
        <v>0</v>
      </c>
      <c r="AG117" s="1680">
        <f>+'NEW Fall CHP by DISC'!AG117/12</f>
        <v>0</v>
      </c>
      <c r="AH117" s="1680">
        <f t="shared" si="105"/>
        <v>6.6666666666666666E-2</v>
      </c>
      <c r="AI117" s="1888">
        <f t="shared" si="106"/>
        <v>1</v>
      </c>
      <c r="AJ117" s="1680">
        <f>+'NEW Fall CHP by DISC'!AJ117/15</f>
        <v>0</v>
      </c>
      <c r="AK117" s="1680">
        <f>+'NEW Fall CHP by DISC'!AK117/15</f>
        <v>0</v>
      </c>
      <c r="AL117" s="1680">
        <f>+'NEW Fall CHP by DISC'!AL117/12</f>
        <v>0</v>
      </c>
      <c r="AM117" s="1680">
        <f t="shared" si="107"/>
        <v>0</v>
      </c>
      <c r="AN117" s="491">
        <f t="shared" si="108"/>
        <v>-1</v>
      </c>
      <c r="AO117" s="1680">
        <f>+'NEW Fall CHP by DISC'!AO117/15</f>
        <v>0</v>
      </c>
      <c r="AP117" s="1680">
        <f>+'NEW Fall CHP by DISC'!AP117/15</f>
        <v>0</v>
      </c>
      <c r="AQ117" s="1680">
        <f>+'NEW Fall CHP by DISC'!AQ117/12</f>
        <v>0</v>
      </c>
      <c r="AR117" s="1680">
        <f t="shared" si="109"/>
        <v>0</v>
      </c>
      <c r="AS117" s="1679" t="str">
        <f t="shared" si="110"/>
        <v>N/A</v>
      </c>
    </row>
    <row r="118" spans="1:45" x14ac:dyDescent="0.25">
      <c r="A118" s="1319" t="s">
        <v>1195</v>
      </c>
      <c r="B118" s="1680">
        <f>+'NEW Fall CHP by DISC'!B118/15</f>
        <v>0</v>
      </c>
      <c r="C118" s="1680">
        <f>+'NEW Fall CHP by DISC'!C118/15</f>
        <v>0</v>
      </c>
      <c r="D118" s="1680">
        <f>+'NEW Fall CHP by DISC'!D118/12</f>
        <v>0</v>
      </c>
      <c r="E118" s="1678">
        <f t="shared" si="94"/>
        <v>0</v>
      </c>
      <c r="F118" s="1680">
        <f>+'NEW Fall CHP by DISC'!F118/15</f>
        <v>0</v>
      </c>
      <c r="G118" s="1680">
        <f>+'NEW Fall CHP by DISC'!G118/15</f>
        <v>0</v>
      </c>
      <c r="H118" s="1680">
        <f>+'NEW Fall CHP by DISC'!H118/12</f>
        <v>0</v>
      </c>
      <c r="I118" s="1680">
        <f t="shared" si="95"/>
        <v>0</v>
      </c>
      <c r="J118" s="505" t="str">
        <f t="shared" si="96"/>
        <v>N/A</v>
      </c>
      <c r="K118" s="1680">
        <f>+'NEW Fall CHP by DISC'!K118/15</f>
        <v>0</v>
      </c>
      <c r="L118" s="1680">
        <f>+'NEW Fall CHP by DISC'!L118/15</f>
        <v>0</v>
      </c>
      <c r="M118" s="1680">
        <f>+'NEW Fall CHP by DISC'!M118/12</f>
        <v>0</v>
      </c>
      <c r="N118" s="1680">
        <f t="shared" si="97"/>
        <v>0</v>
      </c>
      <c r="O118" s="505" t="str">
        <f t="shared" si="98"/>
        <v>N/A</v>
      </c>
      <c r="P118" s="1680">
        <f>+'NEW Fall CHP by DISC'!P118/15</f>
        <v>0</v>
      </c>
      <c r="Q118" s="1680">
        <f>+'NEW Fall CHP by DISC'!Q118/15</f>
        <v>0</v>
      </c>
      <c r="R118" s="1680">
        <f>+'NEW Fall CHP by DISC'!R118/12</f>
        <v>0</v>
      </c>
      <c r="S118" s="1680">
        <f t="shared" si="99"/>
        <v>0</v>
      </c>
      <c r="T118" s="505" t="str">
        <f t="shared" si="100"/>
        <v>N/A</v>
      </c>
      <c r="U118" s="1680">
        <f>+'NEW Fall CHP by DISC'!U118/15</f>
        <v>0</v>
      </c>
      <c r="V118" s="1680">
        <f>+'NEW Fall CHP by DISC'!V118/15</f>
        <v>0</v>
      </c>
      <c r="W118" s="1680">
        <f>+'NEW Fall CHP by DISC'!W118/12</f>
        <v>0</v>
      </c>
      <c r="X118" s="1680">
        <f t="shared" si="101"/>
        <v>0</v>
      </c>
      <c r="Y118" s="505" t="str">
        <f t="shared" si="102"/>
        <v>N/A</v>
      </c>
      <c r="Z118" s="1680">
        <f>+'NEW Fall CHP by DISC'!Z118/15</f>
        <v>3.8666666666666667</v>
      </c>
      <c r="AA118" s="1680">
        <f>+'NEW Fall CHP by DISC'!AA118/15</f>
        <v>0</v>
      </c>
      <c r="AB118" s="1680">
        <f>+'NEW Fall CHP by DISC'!AB118/12</f>
        <v>0</v>
      </c>
      <c r="AC118" s="1680">
        <f t="shared" si="103"/>
        <v>3.8666666666666667</v>
      </c>
      <c r="AD118" s="505">
        <f t="shared" si="104"/>
        <v>1</v>
      </c>
      <c r="AE118" s="1680">
        <f>+'NEW Fall CHP by DISC'!AE118/15</f>
        <v>3.7333333333333334</v>
      </c>
      <c r="AF118" s="1680">
        <f>+'NEW Fall CHP by DISC'!AF118/15</f>
        <v>0</v>
      </c>
      <c r="AG118" s="1680">
        <f>+'NEW Fall CHP by DISC'!AG118/12</f>
        <v>0</v>
      </c>
      <c r="AH118" s="1680">
        <f t="shared" si="105"/>
        <v>3.7333333333333334</v>
      </c>
      <c r="AI118" s="1888">
        <f t="shared" si="106"/>
        <v>-3.4482758620689648E-2</v>
      </c>
      <c r="AJ118" s="1680">
        <f>+'NEW Fall CHP by DISC'!AJ118/15</f>
        <v>2.1333333333333333</v>
      </c>
      <c r="AK118" s="1680">
        <f>+'NEW Fall CHP by DISC'!AK118/15</f>
        <v>0</v>
      </c>
      <c r="AL118" s="1680">
        <f>+'NEW Fall CHP by DISC'!AL118/12</f>
        <v>0</v>
      </c>
      <c r="AM118" s="1680">
        <f t="shared" si="107"/>
        <v>2.1333333333333333</v>
      </c>
      <c r="AN118" s="491">
        <f t="shared" si="108"/>
        <v>-0.4285714285714286</v>
      </c>
      <c r="AO118" s="1680">
        <f>+'NEW Fall CHP by DISC'!AO118/15</f>
        <v>7</v>
      </c>
      <c r="AP118" s="1680">
        <f>+'NEW Fall CHP by DISC'!AP118/15</f>
        <v>0</v>
      </c>
      <c r="AQ118" s="1680">
        <f>+'NEW Fall CHP by DISC'!AQ118/12</f>
        <v>0</v>
      </c>
      <c r="AR118" s="1680">
        <f t="shared" si="109"/>
        <v>7</v>
      </c>
      <c r="AS118" s="1679">
        <f t="shared" si="110"/>
        <v>2.2812500000000004</v>
      </c>
    </row>
    <row r="119" spans="1:45" x14ac:dyDescent="0.25">
      <c r="A119" s="1326" t="s">
        <v>1057</v>
      </c>
      <c r="B119" s="1680">
        <f>+'NEW Fall CHP by DISC'!B119/15</f>
        <v>4.1333333333333337</v>
      </c>
      <c r="C119" s="1680">
        <f>+'NEW Fall CHP by DISC'!C119/15</f>
        <v>3.4</v>
      </c>
      <c r="D119" s="1680">
        <f>+'NEW Fall CHP by DISC'!D119/12</f>
        <v>0</v>
      </c>
      <c r="E119" s="1880">
        <f t="shared" si="94"/>
        <v>7.5333333333333332</v>
      </c>
      <c r="F119" s="1680">
        <f>+'NEW Fall CHP by DISC'!F119/15</f>
        <v>2.8</v>
      </c>
      <c r="G119" s="1680">
        <f>+'NEW Fall CHP by DISC'!G119/15</f>
        <v>3.2</v>
      </c>
      <c r="H119" s="1680">
        <f>+'NEW Fall CHP by DISC'!H119/12</f>
        <v>0</v>
      </c>
      <c r="I119" s="1683">
        <f t="shared" si="95"/>
        <v>6</v>
      </c>
      <c r="J119" s="491">
        <f t="shared" si="96"/>
        <v>-0.20353982300884954</v>
      </c>
      <c r="K119" s="1680">
        <f>+'NEW Fall CHP by DISC'!K119/15</f>
        <v>3.8</v>
      </c>
      <c r="L119" s="1680">
        <f>+'NEW Fall CHP by DISC'!L119/15</f>
        <v>2.7333333333333334</v>
      </c>
      <c r="M119" s="1680">
        <f>+'NEW Fall CHP by DISC'!M119/12</f>
        <v>0</v>
      </c>
      <c r="N119" s="1683">
        <f t="shared" si="97"/>
        <v>6.5333333333333332</v>
      </c>
      <c r="O119" s="491">
        <f t="shared" si="98"/>
        <v>8.8888888888888865E-2</v>
      </c>
      <c r="P119" s="1680">
        <f>+'NEW Fall CHP by DISC'!P119/15</f>
        <v>3.6666666666666665</v>
      </c>
      <c r="Q119" s="1680">
        <f>+'NEW Fall CHP by DISC'!Q119/15</f>
        <v>3.0666666666666669</v>
      </c>
      <c r="R119" s="1680">
        <f>+'NEW Fall CHP by DISC'!R119/12</f>
        <v>0</v>
      </c>
      <c r="S119" s="1683">
        <f t="shared" si="99"/>
        <v>6.7333333333333334</v>
      </c>
      <c r="T119" s="491">
        <f t="shared" si="100"/>
        <v>3.0612244897959211E-2</v>
      </c>
      <c r="U119" s="1680">
        <f>+'NEW Fall CHP by DISC'!U119/15</f>
        <v>3</v>
      </c>
      <c r="V119" s="1680">
        <f>+'NEW Fall CHP by DISC'!V119/15</f>
        <v>2.5333333333333332</v>
      </c>
      <c r="W119" s="1680">
        <f>+'NEW Fall CHP by DISC'!W119/12</f>
        <v>0</v>
      </c>
      <c r="X119" s="1683">
        <f t="shared" si="101"/>
        <v>5.5333333333333332</v>
      </c>
      <c r="Y119" s="491">
        <f t="shared" si="102"/>
        <v>-0.17821782178217824</v>
      </c>
      <c r="Z119" s="1680">
        <f>+'NEW Fall CHP by DISC'!Z119/15</f>
        <v>3.2666666666666666</v>
      </c>
      <c r="AA119" s="1680">
        <f>+'NEW Fall CHP by DISC'!AA119/15</f>
        <v>2.4666666666666668</v>
      </c>
      <c r="AB119" s="1680">
        <f>+'NEW Fall CHP by DISC'!AB119/12</f>
        <v>0</v>
      </c>
      <c r="AC119" s="1683">
        <f t="shared" si="103"/>
        <v>5.7333333333333334</v>
      </c>
      <c r="AD119" s="491">
        <f t="shared" si="104"/>
        <v>3.6144578313253045E-2</v>
      </c>
      <c r="AE119" s="1680">
        <f>+'NEW Fall CHP by DISC'!AE119/15</f>
        <v>3.3333333333333335</v>
      </c>
      <c r="AF119" s="1680">
        <f>+'NEW Fall CHP by DISC'!AF119/15</f>
        <v>4.4666666666666668</v>
      </c>
      <c r="AG119" s="1680">
        <f>+'NEW Fall CHP by DISC'!AG119/12</f>
        <v>0</v>
      </c>
      <c r="AH119" s="1683">
        <f t="shared" si="105"/>
        <v>7.8000000000000007</v>
      </c>
      <c r="AI119" s="1887">
        <f t="shared" si="106"/>
        <v>0.36046511627906985</v>
      </c>
      <c r="AJ119" s="1680">
        <f>+'NEW Fall CHP by DISC'!AJ119/15</f>
        <v>3.0666666666666669</v>
      </c>
      <c r="AK119" s="1680">
        <f>+'NEW Fall CHP by DISC'!AK119/15</f>
        <v>5.2</v>
      </c>
      <c r="AL119" s="1680">
        <f>+'NEW Fall CHP by DISC'!AL119/12</f>
        <v>0</v>
      </c>
      <c r="AM119" s="1683">
        <f t="shared" si="107"/>
        <v>8.2666666666666675</v>
      </c>
      <c r="AN119" s="491">
        <f t="shared" si="108"/>
        <v>5.9829059829059839E-2</v>
      </c>
      <c r="AO119" s="1680">
        <f>+'NEW Fall CHP by DISC'!AO119/15</f>
        <v>2.6</v>
      </c>
      <c r="AP119" s="1680">
        <f>+'NEW Fall CHP by DISC'!AP119/15</f>
        <v>3.7333333333333334</v>
      </c>
      <c r="AQ119" s="1680">
        <f>+'NEW Fall CHP by DISC'!AQ119/12</f>
        <v>0</v>
      </c>
      <c r="AR119" s="1683">
        <f t="shared" si="109"/>
        <v>6.3333333333333339</v>
      </c>
      <c r="AS119" s="1881">
        <f t="shared" si="110"/>
        <v>-0.2338709677419355</v>
      </c>
    </row>
    <row r="120" spans="1:45" x14ac:dyDescent="0.25">
      <c r="A120" s="1336" t="s">
        <v>1653</v>
      </c>
      <c r="B120" s="1680">
        <f>+'NEW Fall CHP by DISC'!B120/15</f>
        <v>0</v>
      </c>
      <c r="C120" s="1680">
        <f>+'NEW Fall CHP by DISC'!C120/15</f>
        <v>0</v>
      </c>
      <c r="D120" s="1680">
        <f>+'NEW Fall CHP by DISC'!D120/12</f>
        <v>0</v>
      </c>
      <c r="E120" s="1880">
        <f>SUM(B120:D120)</f>
        <v>0</v>
      </c>
      <c r="F120" s="1680">
        <f>+'NEW Fall CHP by DISC'!F120/15</f>
        <v>0</v>
      </c>
      <c r="G120" s="1680">
        <f>+'NEW Fall CHP by DISC'!G120/15</f>
        <v>0</v>
      </c>
      <c r="H120" s="1680">
        <f>+'NEW Fall CHP by DISC'!H120/12</f>
        <v>0</v>
      </c>
      <c r="I120" s="1683">
        <f>SUM(F120:H120)</f>
        <v>0</v>
      </c>
      <c r="J120" s="491" t="str">
        <f>IF(E120&gt;0,(I120-E120)/E120,(IF(I120=0,"N/A",100%)))</f>
        <v>N/A</v>
      </c>
      <c r="K120" s="1680">
        <f>+'NEW Fall CHP by DISC'!K120/15</f>
        <v>0</v>
      </c>
      <c r="L120" s="1680">
        <f>+'NEW Fall CHP by DISC'!L120/15</f>
        <v>0</v>
      </c>
      <c r="M120" s="1680">
        <f>+'NEW Fall CHP by DISC'!M120/12</f>
        <v>0</v>
      </c>
      <c r="N120" s="1683">
        <f>SUM(K120:M120)</f>
        <v>0</v>
      </c>
      <c r="O120" s="491" t="str">
        <f>IF(I120&gt;0,(N120-I120)/I120,(IF(N120=0,"N/A",100%)))</f>
        <v>N/A</v>
      </c>
      <c r="P120" s="1680">
        <f>+'NEW Fall CHP by DISC'!P120/15</f>
        <v>0</v>
      </c>
      <c r="Q120" s="1680">
        <f>+'NEW Fall CHP by DISC'!Q120/15</f>
        <v>0</v>
      </c>
      <c r="R120" s="1680">
        <f>+'NEW Fall CHP by DISC'!R120/12</f>
        <v>0</v>
      </c>
      <c r="S120" s="1683">
        <f>SUM(P120:R120)</f>
        <v>0</v>
      </c>
      <c r="T120" s="491" t="str">
        <f>IF(N120&gt;0,(S120-N120)/N120,(IF(S120=0,"N/A",100%)))</f>
        <v>N/A</v>
      </c>
      <c r="U120" s="1680">
        <f>+'NEW Fall CHP by DISC'!U120/15</f>
        <v>0</v>
      </c>
      <c r="V120" s="1680">
        <f>+'NEW Fall CHP by DISC'!V120/15</f>
        <v>0</v>
      </c>
      <c r="W120" s="1680">
        <f>+'NEW Fall CHP by DISC'!W120/12</f>
        <v>0</v>
      </c>
      <c r="X120" s="1683">
        <f>SUM(U120:W120)</f>
        <v>0</v>
      </c>
      <c r="Y120" s="491" t="str">
        <f>IF(S120&gt;0,(X120-S120)/S120,(IF(X120=0,"N/A",100%)))</f>
        <v>N/A</v>
      </c>
      <c r="Z120" s="1680">
        <f>+'NEW Fall CHP by DISC'!Z120/15</f>
        <v>0</v>
      </c>
      <c r="AA120" s="1680">
        <f>+'NEW Fall CHP by DISC'!AA120/15</f>
        <v>0</v>
      </c>
      <c r="AB120" s="1680">
        <f>+'NEW Fall CHP by DISC'!AB120/12</f>
        <v>0</v>
      </c>
      <c r="AC120" s="1683">
        <f>SUM(Z120:AB120)</f>
        <v>0</v>
      </c>
      <c r="AD120" s="491" t="str">
        <f>IF(X120&gt;0,(AC120-X120)/X120,(IF(AC120=0,"N/A",100%)))</f>
        <v>N/A</v>
      </c>
      <c r="AE120" s="1680">
        <f>+'NEW Fall CHP by DISC'!AE120/15</f>
        <v>0</v>
      </c>
      <c r="AF120" s="1680">
        <f>+'NEW Fall CHP by DISC'!AF120/15</f>
        <v>0</v>
      </c>
      <c r="AG120" s="1680">
        <f>+'NEW Fall CHP by DISC'!AG120/12</f>
        <v>0</v>
      </c>
      <c r="AH120" s="1683">
        <f>SUM(AE120:AG120)</f>
        <v>0</v>
      </c>
      <c r="AI120" s="1887" t="str">
        <f>IF(AC120&gt;0,(AH120-AC120)/AC120,(IF(AH120=0,"N/A",100%)))</f>
        <v>N/A</v>
      </c>
      <c r="AJ120" s="1680">
        <f>+'NEW Fall CHP by DISC'!AJ120/15</f>
        <v>40.866666666666667</v>
      </c>
      <c r="AK120" s="1680">
        <f>+'NEW Fall CHP by DISC'!AK120/15</f>
        <v>0</v>
      </c>
      <c r="AL120" s="1680">
        <f>+'NEW Fall CHP by DISC'!AL120/12</f>
        <v>0</v>
      </c>
      <c r="AM120" s="1683">
        <f>SUM(AJ120:AL120)</f>
        <v>40.866666666666667</v>
      </c>
      <c r="AN120" s="491">
        <f>IF(AH120&gt;0,(AM120-AH120)/AH120,(IF(AM120=0,"N/A",100%)))</f>
        <v>1</v>
      </c>
      <c r="AO120" s="1680">
        <f>+'NEW Fall CHP by DISC'!AO120/15</f>
        <v>43.866666666666667</v>
      </c>
      <c r="AP120" s="1680">
        <f>+'NEW Fall CHP by DISC'!AP120/15</f>
        <v>0</v>
      </c>
      <c r="AQ120" s="1680">
        <f>+'NEW Fall CHP by DISC'!AQ120/12</f>
        <v>0</v>
      </c>
      <c r="AR120" s="1683">
        <f t="shared" si="109"/>
        <v>43.866666666666667</v>
      </c>
      <c r="AS120" s="1881">
        <f t="shared" si="110"/>
        <v>7.3409461663947795E-2</v>
      </c>
    </row>
    <row r="121" spans="1:45" s="484" customFormat="1" ht="14.4" thickBot="1" x14ac:dyDescent="0.3">
      <c r="A121" s="1353" t="s">
        <v>1015</v>
      </c>
      <c r="B121" s="1354">
        <f t="shared" ref="B121:I121" si="111">SUM(B111:B120)</f>
        <v>10.199999999999999</v>
      </c>
      <c r="C121" s="1354">
        <f t="shared" si="111"/>
        <v>9.1999999999999993</v>
      </c>
      <c r="D121" s="1354">
        <f t="shared" si="111"/>
        <v>0</v>
      </c>
      <c r="E121" s="1024">
        <f t="shared" si="111"/>
        <v>19.399999999999999</v>
      </c>
      <c r="F121" s="1354">
        <f t="shared" si="111"/>
        <v>10.6</v>
      </c>
      <c r="G121" s="1354">
        <f t="shared" si="111"/>
        <v>6.4</v>
      </c>
      <c r="H121" s="1354">
        <f t="shared" si="111"/>
        <v>0</v>
      </c>
      <c r="I121" s="1354">
        <f t="shared" si="111"/>
        <v>17</v>
      </c>
      <c r="J121" s="1356">
        <f t="shared" si="96"/>
        <v>-0.1237113402061855</v>
      </c>
      <c r="K121" s="1354">
        <f>SUM(K111:K120)</f>
        <v>15.666666666666668</v>
      </c>
      <c r="L121" s="1354">
        <f>SUM(L111:L120)</f>
        <v>9.9333333333333336</v>
      </c>
      <c r="M121" s="1354">
        <f>SUM(M111:M120)</f>
        <v>0</v>
      </c>
      <c r="N121" s="1354">
        <f>SUM(N111:N120)</f>
        <v>25.6</v>
      </c>
      <c r="O121" s="1356">
        <f t="shared" si="98"/>
        <v>0.50588235294117656</v>
      </c>
      <c r="P121" s="1354">
        <f>SUM(P111:P120)</f>
        <v>16.600000000000001</v>
      </c>
      <c r="Q121" s="1354">
        <f>SUM(Q111:Q120)</f>
        <v>8.8666666666666671</v>
      </c>
      <c r="R121" s="1354">
        <f>SUM(R111:R120)</f>
        <v>0</v>
      </c>
      <c r="S121" s="1354">
        <f>SUM(S111:S120)</f>
        <v>25.466666666666669</v>
      </c>
      <c r="T121" s="1356">
        <f t="shared" si="100"/>
        <v>-5.2083333333333148E-3</v>
      </c>
      <c r="U121" s="1354">
        <f>SUM(U111:U120)</f>
        <v>23.866666666666667</v>
      </c>
      <c r="V121" s="1354">
        <f>SUM(V111:V120)</f>
        <v>6.5333333333333332</v>
      </c>
      <c r="W121" s="1354">
        <f>SUM(W111:W120)</f>
        <v>0</v>
      </c>
      <c r="X121" s="1354">
        <f>SUM(X111:X120)</f>
        <v>30.4</v>
      </c>
      <c r="Y121" s="1356">
        <f t="shared" si="102"/>
        <v>0.19371727748691084</v>
      </c>
      <c r="Z121" s="1354">
        <f>SUM(Z111:Z120)</f>
        <v>23.266666666666666</v>
      </c>
      <c r="AA121" s="1354">
        <f>SUM(AA111:AA120)</f>
        <v>11.266666666666667</v>
      </c>
      <c r="AB121" s="1354">
        <f>SUM(AB111:AB120)</f>
        <v>0</v>
      </c>
      <c r="AC121" s="1354">
        <f>SUM(AC111:AC120)</f>
        <v>34.533333333333331</v>
      </c>
      <c r="AD121" s="1356">
        <f t="shared" si="104"/>
        <v>0.13596491228070173</v>
      </c>
      <c r="AE121" s="1354">
        <f>SUM(AE111:AE120)</f>
        <v>27.93333333333333</v>
      </c>
      <c r="AF121" s="1354">
        <f>SUM(AF111:AF120)</f>
        <v>12.466666666666667</v>
      </c>
      <c r="AG121" s="1354">
        <f>SUM(AG111:AG120)</f>
        <v>0</v>
      </c>
      <c r="AH121" s="1354">
        <f>SUM(AH111:AH120)</f>
        <v>40.399999999999991</v>
      </c>
      <c r="AI121" s="1889">
        <f t="shared" si="106"/>
        <v>0.16988416988416971</v>
      </c>
      <c r="AJ121" s="1354">
        <f>SUM(AJ111:AJ120)</f>
        <v>68.533333333333331</v>
      </c>
      <c r="AK121" s="1354">
        <f>SUM(AK111:AK120)</f>
        <v>11.866666666666667</v>
      </c>
      <c r="AL121" s="1354">
        <f>SUM(AL111:AL120)</f>
        <v>0</v>
      </c>
      <c r="AM121" s="1354">
        <f>SUM(AM111:AM120)</f>
        <v>80.400000000000006</v>
      </c>
      <c r="AN121" s="986">
        <f t="shared" si="108"/>
        <v>0.99009900990099065</v>
      </c>
      <c r="AO121" s="1354">
        <f>SUM(AO111:AO120)</f>
        <v>73.133333333333326</v>
      </c>
      <c r="AP121" s="1354">
        <f>SUM(AP111:AP120)</f>
        <v>12.933333333333334</v>
      </c>
      <c r="AQ121" s="1354">
        <f>SUM(AQ111:AQ120)</f>
        <v>0</v>
      </c>
      <c r="AR121" s="1354">
        <f>SUM(AR111:AR120)</f>
        <v>86.066666666666663</v>
      </c>
      <c r="AS121" s="1355">
        <f t="shared" si="110"/>
        <v>7.0480928689883787E-2</v>
      </c>
    </row>
    <row r="122" spans="1:45" s="484" customFormat="1" ht="14.25" customHeight="1" x14ac:dyDescent="0.25">
      <c r="A122" s="518"/>
      <c r="B122" s="519"/>
      <c r="C122" s="519"/>
      <c r="D122" s="519"/>
      <c r="E122" s="519"/>
      <c r="F122" s="519"/>
      <c r="G122" s="519"/>
      <c r="H122" s="519"/>
      <c r="I122" s="519"/>
      <c r="J122" s="520"/>
      <c r="K122" s="519"/>
      <c r="L122" s="519"/>
      <c r="M122" s="519"/>
      <c r="N122" s="519"/>
      <c r="O122" s="520"/>
      <c r="P122" s="519"/>
      <c r="Q122" s="519"/>
      <c r="R122" s="519"/>
      <c r="S122" s="519"/>
      <c r="T122" s="520"/>
      <c r="U122" s="519"/>
      <c r="V122" s="519"/>
      <c r="W122" s="519"/>
      <c r="X122" s="519"/>
      <c r="Y122" s="520"/>
      <c r="Z122" s="519"/>
      <c r="AA122" s="519"/>
      <c r="AB122" s="519"/>
      <c r="AC122" s="519"/>
      <c r="AD122" s="520"/>
      <c r="AE122" s="519"/>
      <c r="AF122" s="519"/>
      <c r="AG122" s="519"/>
      <c r="AH122" s="519"/>
      <c r="AI122" s="520"/>
      <c r="AJ122" s="519"/>
      <c r="AK122" s="519"/>
      <c r="AL122" s="519"/>
      <c r="AM122" s="519"/>
      <c r="AN122" s="520"/>
      <c r="AO122" s="519"/>
      <c r="AP122" s="519"/>
      <c r="AQ122" s="519"/>
      <c r="AR122" s="519"/>
      <c r="AS122" s="520"/>
    </row>
    <row r="123" spans="1:45" ht="14.25" customHeight="1" thickBot="1" x14ac:dyDescent="0.3">
      <c r="A123" s="507"/>
      <c r="B123" s="286"/>
      <c r="C123" s="286"/>
      <c r="D123" s="286"/>
      <c r="E123" s="286"/>
      <c r="F123" s="286"/>
      <c r="G123" s="286"/>
      <c r="H123" s="286"/>
      <c r="I123" s="286"/>
      <c r="J123" s="504"/>
      <c r="K123" s="286"/>
      <c r="L123" s="286"/>
      <c r="M123" s="286"/>
      <c r="N123" s="286"/>
      <c r="O123" s="504"/>
      <c r="P123" s="286"/>
      <c r="Q123" s="286"/>
      <c r="R123" s="286"/>
      <c r="S123" s="286"/>
      <c r="T123" s="504"/>
      <c r="U123" s="286"/>
      <c r="V123" s="286"/>
      <c r="W123" s="286"/>
      <c r="X123" s="286"/>
      <c r="Y123" s="504"/>
      <c r="Z123" s="286"/>
      <c r="AA123" s="286"/>
      <c r="AB123" s="286"/>
      <c r="AC123" s="286"/>
      <c r="AD123" s="504"/>
      <c r="AE123" s="286"/>
      <c r="AF123" s="286"/>
      <c r="AG123" s="286"/>
      <c r="AH123" s="286"/>
      <c r="AI123" s="504"/>
      <c r="AJ123" s="286"/>
      <c r="AK123" s="286"/>
      <c r="AL123" s="286"/>
      <c r="AM123" s="286"/>
      <c r="AN123" s="504"/>
      <c r="AO123" s="286"/>
      <c r="AP123" s="286"/>
      <c r="AQ123" s="286"/>
      <c r="AR123" s="286"/>
      <c r="AS123" s="504"/>
    </row>
    <row r="124" spans="1:45" s="523" customFormat="1" ht="17.399999999999999" thickBot="1" x14ac:dyDescent="0.35">
      <c r="A124" s="1882" t="s">
        <v>1003</v>
      </c>
      <c r="B124" s="1054">
        <f t="shared" ref="B124:I124" si="112">+B121+B107+B84+B44+B23</f>
        <v>1514.1000000000001</v>
      </c>
      <c r="C124" s="1054">
        <f t="shared" si="112"/>
        <v>640.23333333333335</v>
      </c>
      <c r="D124" s="1054">
        <f t="shared" si="112"/>
        <v>21.75</v>
      </c>
      <c r="E124" s="1883">
        <f t="shared" si="112"/>
        <v>2176.0833333333335</v>
      </c>
      <c r="F124" s="1054">
        <f t="shared" si="112"/>
        <v>1658.0666666666666</v>
      </c>
      <c r="G124" s="1054">
        <f t="shared" si="112"/>
        <v>685.33333333333337</v>
      </c>
      <c r="H124" s="1054">
        <f t="shared" si="112"/>
        <v>34</v>
      </c>
      <c r="I124" s="1054">
        <f t="shared" si="112"/>
        <v>2377.3999999999996</v>
      </c>
      <c r="J124" s="1884">
        <f>IF(E124&gt;0,(I124-E124)/E124,(IF(I124=0,"N/A",100%)))</f>
        <v>9.2513307547964371E-2</v>
      </c>
      <c r="K124" s="1054">
        <f>+K121+K107+K84+K44+K23</f>
        <v>1922.6333333333334</v>
      </c>
      <c r="L124" s="1054">
        <f>+L121+L107+L84+L44+L23</f>
        <v>705.76666666666665</v>
      </c>
      <c r="M124" s="1054">
        <f>+M121+M107+M84+M44+M23</f>
        <v>17.5</v>
      </c>
      <c r="N124" s="1054">
        <f>+N121+N107+N84+N44+N23</f>
        <v>2645.9</v>
      </c>
      <c r="O124" s="979">
        <f>IF(I124&gt;0,(N124-I124)/I124,(IF(N124=0,"N/A",100%)))</f>
        <v>0.11293850424833873</v>
      </c>
      <c r="P124" s="1054">
        <f>+P121+P107+P84+P44+P23</f>
        <v>2126.1333333333337</v>
      </c>
      <c r="Q124" s="1054">
        <f>+Q121+Q107+Q84+Q44+Q23</f>
        <v>687.13333333333333</v>
      </c>
      <c r="R124" s="1054">
        <f>+R121+R107+R84+R44+R23</f>
        <v>33.5</v>
      </c>
      <c r="S124" s="1054">
        <f>+S121+S107+S84+S44+S23</f>
        <v>2846.7666666666669</v>
      </c>
      <c r="T124" s="979">
        <f>IF(N124&gt;0,(S124-N124)/N124,(IF(S124=0,"N/A",100%)))</f>
        <v>7.5916197387152495E-2</v>
      </c>
      <c r="U124" s="1054">
        <f>+U121+U107+U84+U44+U23</f>
        <v>2110.2666666666664</v>
      </c>
      <c r="V124" s="1054">
        <f>+V121+V107+V84+V44+V23</f>
        <v>718.66666666666674</v>
      </c>
      <c r="W124" s="1054">
        <f>+W121+W107+W84+W44+W23</f>
        <v>13</v>
      </c>
      <c r="X124" s="1054">
        <f>+X121+X107+X84+X44+X23</f>
        <v>2841.9333333333334</v>
      </c>
      <c r="Y124" s="979">
        <f>IF(S124&gt;0,(X124-S124)/S124,(IF(X124=0,"N/A",100%)))</f>
        <v>-1.697832628830422E-3</v>
      </c>
      <c r="Z124" s="1054">
        <f>+Z121+Z107+Z84+Z44+Z23</f>
        <v>2025.3333333333333</v>
      </c>
      <c r="AA124" s="1054">
        <f>+AA121+AA107+AA84+AA44+AA23</f>
        <v>761.86666666666667</v>
      </c>
      <c r="AB124" s="1054">
        <f>+AB121+AB107+AB84+AB44+AB23</f>
        <v>30.5</v>
      </c>
      <c r="AC124" s="1054">
        <f>+AC121+AC107+AC84+AC44+AC23</f>
        <v>2817.7000000000003</v>
      </c>
      <c r="AD124" s="979">
        <f>IF(X124&gt;0,(AC124-X124)/X124,(IF(AC124=0,"N/A",100%)))</f>
        <v>-8.5270590443124825E-3</v>
      </c>
      <c r="AE124" s="1054">
        <f>+AE121+AE107+AE84+AE44+AE23</f>
        <v>1884.3666666666668</v>
      </c>
      <c r="AF124" s="1054">
        <f>+AF121+AF107+AF84+AF44+AF23</f>
        <v>761.5333333333333</v>
      </c>
      <c r="AG124" s="1054">
        <f>+AG121+AG107+AG84+AG44+AG23</f>
        <v>30.75</v>
      </c>
      <c r="AH124" s="1054">
        <f>+AH121+AH107+AH84+AH44+AH23</f>
        <v>2676.6499999999996</v>
      </c>
      <c r="AI124" s="979">
        <f>IF(AC124&gt;0,(AH124-AC124)/AC124,(IF(AH124=0,"N/A",100%)))</f>
        <v>-5.0058558398694192E-2</v>
      </c>
      <c r="AJ124" s="1054">
        <f>+AJ121+AJ107+AJ84+AJ44+AJ23</f>
        <v>1859.3666666666663</v>
      </c>
      <c r="AK124" s="1054">
        <f>+AK121+AK107+AK84+AK44+AK23</f>
        <v>716.13333333333333</v>
      </c>
      <c r="AL124" s="1054">
        <f>+AL121+AL107+AL84+AL44+AL23</f>
        <v>29.25</v>
      </c>
      <c r="AM124" s="1054">
        <f>+AM121+AM107+AM84+AM44+AM23</f>
        <v>2604.75</v>
      </c>
      <c r="AN124" s="979">
        <f>IF(AH124&gt;0,(AM124-AH124)/AH124,(IF(AM124=0,"N/A",100%)))</f>
        <v>-2.6861935628490704E-2</v>
      </c>
      <c r="AO124" s="1054">
        <f>+AO121+AO107+AO84+AO44+AO23</f>
        <v>1847.0333333333333</v>
      </c>
      <c r="AP124" s="1054">
        <f>+AP121+AP107+AP84+AP44+AP23</f>
        <v>684.40000000000009</v>
      </c>
      <c r="AQ124" s="1054">
        <f>+AQ121+AQ107+AQ84+AQ44+AQ23</f>
        <v>13.25</v>
      </c>
      <c r="AR124" s="1054">
        <f>+AR121+AR107+AR84+AR44+AR23</f>
        <v>2544.6833333333334</v>
      </c>
      <c r="AS124" s="1885">
        <f>IF(AM124&gt;0,(AR124-AM124)/AM124,(IF(AR124=0,"N/A",100%)))</f>
        <v>-2.3060434462680336E-2</v>
      </c>
    </row>
    <row r="125" spans="1:45" x14ac:dyDescent="0.25">
      <c r="A125" s="2144" t="s">
        <v>1066</v>
      </c>
      <c r="B125" s="2144"/>
      <c r="C125" s="2144"/>
      <c r="D125" s="2144"/>
      <c r="E125" s="2144"/>
      <c r="F125" s="2144"/>
      <c r="G125" s="2144"/>
      <c r="H125" s="2144"/>
      <c r="I125" s="2144"/>
      <c r="J125" s="2144"/>
      <c r="K125" s="659"/>
      <c r="L125" s="659"/>
      <c r="M125" s="280"/>
      <c r="N125" s="280"/>
      <c r="O125" s="280"/>
      <c r="P125" s="659"/>
      <c r="Q125" s="659"/>
      <c r="R125" s="280"/>
      <c r="S125" s="280"/>
      <c r="T125" s="280"/>
      <c r="U125" s="659"/>
      <c r="V125" s="659"/>
      <c r="W125" s="280"/>
      <c r="X125" s="280"/>
      <c r="Y125" s="280"/>
      <c r="Z125" s="280"/>
      <c r="AA125" s="280"/>
      <c r="AB125" s="280"/>
      <c r="AC125" s="280"/>
      <c r="AD125" s="280"/>
      <c r="AE125" s="280"/>
      <c r="AF125" s="659"/>
      <c r="AG125" s="659"/>
      <c r="AH125" s="659"/>
      <c r="AI125" s="280"/>
      <c r="AJ125" s="280"/>
      <c r="AK125" s="280"/>
      <c r="AL125" s="280"/>
      <c r="AM125" s="280"/>
    </row>
    <row r="126" spans="1:45" x14ac:dyDescent="0.25">
      <c r="A126" s="2141"/>
      <c r="B126" s="2141"/>
      <c r="C126" s="2141"/>
      <c r="D126" s="2141"/>
      <c r="E126" s="2141"/>
      <c r="F126" s="2141"/>
      <c r="G126" s="2141"/>
      <c r="H126" s="2141"/>
      <c r="I126" s="2141"/>
      <c r="J126" s="2141"/>
      <c r="K126" s="659"/>
      <c r="L126" s="280"/>
      <c r="M126" s="280"/>
      <c r="N126" s="280"/>
      <c r="O126" s="280"/>
      <c r="P126" s="659"/>
      <c r="Q126" s="280"/>
      <c r="R126" s="280"/>
      <c r="S126" s="280"/>
      <c r="T126" s="280"/>
      <c r="U126" s="659"/>
      <c r="V126" s="280"/>
      <c r="W126" s="280"/>
      <c r="X126" s="280"/>
      <c r="Y126" s="280"/>
      <c r="Z126" s="280"/>
      <c r="AA126" s="280"/>
      <c r="AB126" s="280"/>
      <c r="AC126" s="280"/>
      <c r="AD126" s="280"/>
      <c r="AE126" s="280"/>
      <c r="AF126" s="280"/>
      <c r="AG126" s="280"/>
      <c r="AH126" s="280"/>
      <c r="AI126" s="280"/>
      <c r="AJ126" s="659"/>
      <c r="AK126" s="280"/>
      <c r="AL126" s="280"/>
      <c r="AM126" s="280"/>
      <c r="AP126" s="958"/>
    </row>
    <row r="127" spans="1:45" x14ac:dyDescent="0.25">
      <c r="A127" s="121"/>
      <c r="B127" s="286"/>
      <c r="C127" s="121"/>
      <c r="D127" s="121"/>
      <c r="E127" s="121"/>
      <c r="F127" s="286"/>
      <c r="G127" s="286"/>
      <c r="H127" s="121"/>
      <c r="I127" s="286"/>
      <c r="J127" s="121"/>
      <c r="K127" s="659"/>
      <c r="L127" s="280"/>
      <c r="M127" s="280"/>
      <c r="N127" s="280"/>
      <c r="O127" s="280"/>
      <c r="P127" s="659"/>
      <c r="Q127" s="280"/>
      <c r="R127" s="280"/>
      <c r="S127" s="280"/>
      <c r="T127" s="280"/>
      <c r="U127" s="659"/>
      <c r="V127" s="280"/>
      <c r="W127" s="280"/>
      <c r="X127" s="280"/>
      <c r="Y127" s="280"/>
      <c r="Z127" s="659"/>
      <c r="AA127" s="280"/>
      <c r="AB127" s="280"/>
      <c r="AC127" s="280"/>
      <c r="AD127" s="280"/>
      <c r="AE127" s="280"/>
      <c r="AF127" s="280"/>
      <c r="AG127" s="280"/>
      <c r="AH127" s="121"/>
      <c r="AI127" s="121"/>
      <c r="AJ127" s="121"/>
      <c r="AK127" s="121"/>
      <c r="AL127" s="121"/>
      <c r="AM127" s="121"/>
    </row>
    <row r="128" spans="1:45" x14ac:dyDescent="0.25">
      <c r="A128" s="121"/>
      <c r="B128" s="121"/>
      <c r="C128" s="121"/>
      <c r="D128" s="121"/>
      <c r="E128" s="121"/>
      <c r="F128" s="121"/>
      <c r="G128" s="121"/>
      <c r="H128" s="121"/>
      <c r="I128" s="121"/>
      <c r="J128" s="121"/>
      <c r="K128" s="280"/>
      <c r="L128" s="280"/>
      <c r="M128" s="280"/>
      <c r="N128" s="280"/>
      <c r="O128" s="280"/>
      <c r="P128" s="280"/>
      <c r="Q128" s="280"/>
      <c r="R128" s="280"/>
      <c r="S128" s="280"/>
      <c r="T128" s="280"/>
      <c r="U128" s="280"/>
      <c r="V128" s="280"/>
      <c r="W128" s="280"/>
      <c r="X128" s="280"/>
      <c r="Y128" s="280"/>
      <c r="Z128" s="280"/>
      <c r="AA128" s="280"/>
      <c r="AB128" s="280"/>
      <c r="AC128" s="280"/>
      <c r="AD128" s="280"/>
      <c r="AE128" s="280"/>
      <c r="AF128" s="280"/>
      <c r="AG128" s="280"/>
      <c r="AH128" s="121"/>
      <c r="AI128" s="121"/>
      <c r="AJ128" s="121"/>
      <c r="AK128" s="121"/>
      <c r="AL128" s="121"/>
      <c r="AM128" s="121"/>
    </row>
    <row r="129" spans="1:39" x14ac:dyDescent="0.25">
      <c r="A129" s="121"/>
      <c r="B129" s="121"/>
      <c r="C129" s="121"/>
      <c r="D129" s="121"/>
      <c r="E129" s="121"/>
      <c r="F129" s="121"/>
      <c r="G129" s="121"/>
      <c r="H129" s="121"/>
      <c r="I129" s="121"/>
      <c r="J129" s="121"/>
      <c r="K129" s="280"/>
      <c r="L129" s="280"/>
      <c r="M129" s="280"/>
      <c r="N129" s="280"/>
      <c r="O129" s="280"/>
      <c r="P129" s="280"/>
      <c r="Q129" s="280"/>
      <c r="R129" s="280"/>
      <c r="S129" s="280"/>
      <c r="T129" s="280"/>
      <c r="U129" s="280"/>
      <c r="V129" s="280"/>
      <c r="W129" s="280"/>
      <c r="X129" s="280"/>
      <c r="Y129" s="280"/>
      <c r="Z129" s="280"/>
      <c r="AA129" s="280"/>
      <c r="AB129" s="280"/>
      <c r="AC129" s="280"/>
      <c r="AD129" s="280"/>
      <c r="AE129" s="280"/>
      <c r="AF129" s="280"/>
      <c r="AG129" s="280"/>
      <c r="AH129" s="121"/>
      <c r="AI129" s="121"/>
      <c r="AJ129" s="121"/>
      <c r="AK129" s="121"/>
      <c r="AL129" s="121"/>
      <c r="AM129" s="121"/>
    </row>
    <row r="130" spans="1:39" x14ac:dyDescent="0.25">
      <c r="A130" s="121"/>
      <c r="B130" s="121"/>
      <c r="C130" s="121"/>
      <c r="D130" s="121"/>
      <c r="E130" s="121"/>
      <c r="F130" s="121"/>
      <c r="G130" s="121"/>
      <c r="H130" s="121"/>
      <c r="I130" s="121"/>
      <c r="J130" s="121"/>
      <c r="K130" s="280"/>
      <c r="L130" s="280"/>
      <c r="M130" s="280"/>
      <c r="N130" s="280"/>
      <c r="O130" s="280"/>
      <c r="P130" s="280"/>
      <c r="Q130" s="280"/>
      <c r="R130" s="280"/>
      <c r="S130" s="280"/>
      <c r="T130" s="280"/>
      <c r="U130" s="280"/>
      <c r="V130" s="280"/>
      <c r="W130" s="280"/>
      <c r="X130" s="280"/>
      <c r="Y130" s="280"/>
      <c r="Z130" s="280"/>
      <c r="AA130" s="280"/>
      <c r="AB130" s="280"/>
      <c r="AC130" s="280"/>
      <c r="AD130" s="280"/>
      <c r="AE130" s="280"/>
      <c r="AF130" s="280"/>
      <c r="AG130" s="280"/>
      <c r="AH130" s="121"/>
      <c r="AI130" s="121"/>
      <c r="AJ130" s="121"/>
      <c r="AK130" s="121"/>
      <c r="AL130" s="121"/>
      <c r="AM130" s="121"/>
    </row>
    <row r="131" spans="1:39" x14ac:dyDescent="0.25">
      <c r="A131" s="121"/>
      <c r="B131" s="121"/>
      <c r="C131" s="121"/>
      <c r="D131" s="121"/>
      <c r="E131" s="121"/>
      <c r="F131" s="121"/>
      <c r="G131" s="121"/>
      <c r="H131" s="121"/>
      <c r="I131" s="121"/>
      <c r="J131" s="121"/>
      <c r="K131" s="280"/>
      <c r="L131" s="280"/>
      <c r="M131" s="280"/>
      <c r="N131" s="280"/>
      <c r="O131" s="280"/>
      <c r="P131" s="280"/>
      <c r="Q131" s="280"/>
      <c r="R131" s="280"/>
      <c r="S131" s="280"/>
      <c r="T131" s="280"/>
      <c r="U131" s="280"/>
      <c r="V131" s="280"/>
      <c r="W131" s="280"/>
      <c r="X131" s="280"/>
      <c r="Y131" s="280"/>
      <c r="Z131" s="280"/>
      <c r="AA131" s="280"/>
      <c r="AB131" s="280"/>
      <c r="AC131" s="280"/>
      <c r="AD131" s="280"/>
      <c r="AE131" s="280"/>
      <c r="AF131" s="280"/>
      <c r="AG131" s="280"/>
      <c r="AH131" s="121"/>
      <c r="AI131" s="121"/>
      <c r="AJ131" s="121"/>
      <c r="AK131" s="121"/>
      <c r="AL131" s="121"/>
      <c r="AM131" s="121"/>
    </row>
    <row r="132" spans="1:39" x14ac:dyDescent="0.25">
      <c r="A132" s="121"/>
      <c r="B132" s="121"/>
      <c r="C132" s="121"/>
      <c r="D132" s="121"/>
      <c r="E132" s="121"/>
      <c r="F132" s="121"/>
      <c r="G132" s="121"/>
      <c r="H132" s="121"/>
      <c r="I132" s="286"/>
      <c r="J132" s="121"/>
      <c r="K132" s="121"/>
      <c r="L132" s="121"/>
      <c r="M132" s="121"/>
      <c r="N132" s="280"/>
      <c r="O132" s="280"/>
      <c r="P132" s="121"/>
      <c r="Q132" s="121"/>
      <c r="R132" s="121"/>
      <c r="S132" s="280"/>
      <c r="T132" s="280"/>
      <c r="U132" s="121"/>
      <c r="V132" s="121"/>
      <c r="W132" s="121"/>
      <c r="X132" s="280"/>
      <c r="Y132" s="280"/>
      <c r="Z132" s="280"/>
      <c r="AA132" s="280"/>
      <c r="AB132" s="121"/>
      <c r="AC132" s="121"/>
      <c r="AD132" s="121"/>
      <c r="AE132" s="280"/>
      <c r="AF132" s="280"/>
      <c r="AG132" s="280"/>
      <c r="AH132" s="121"/>
      <c r="AI132" s="121"/>
      <c r="AJ132" s="121"/>
      <c r="AK132" s="121"/>
      <c r="AL132" s="121"/>
      <c r="AM132" s="121"/>
    </row>
    <row r="133" spans="1:39" x14ac:dyDescent="0.25">
      <c r="A133" s="121"/>
      <c r="B133" s="121"/>
      <c r="C133" s="121"/>
      <c r="D133" s="121"/>
      <c r="E133" s="121"/>
      <c r="F133" s="121"/>
      <c r="G133" s="121"/>
      <c r="H133" s="121"/>
      <c r="I133" s="286"/>
      <c r="J133" s="121"/>
      <c r="K133" s="121"/>
      <c r="L133" s="121"/>
      <c r="M133" s="121"/>
      <c r="N133" s="280"/>
      <c r="O133" s="280"/>
      <c r="P133" s="121"/>
      <c r="Q133" s="121"/>
      <c r="R133" s="121"/>
      <c r="S133" s="280"/>
      <c r="T133" s="280"/>
      <c r="U133" s="121"/>
      <c r="V133" s="121"/>
      <c r="W133" s="121"/>
      <c r="X133" s="280"/>
      <c r="Y133" s="280"/>
      <c r="Z133" s="280"/>
      <c r="AA133" s="280"/>
      <c r="AB133" s="121"/>
      <c r="AC133" s="121"/>
      <c r="AD133" s="121"/>
      <c r="AE133" s="280"/>
      <c r="AF133" s="280"/>
      <c r="AG133" s="280"/>
      <c r="AH133" s="121"/>
      <c r="AI133" s="121"/>
      <c r="AJ133" s="121"/>
      <c r="AK133" s="121"/>
      <c r="AL133" s="121"/>
      <c r="AM133" s="121"/>
    </row>
    <row r="134" spans="1:39" x14ac:dyDescent="0.25">
      <c r="A134" s="121"/>
      <c r="B134" s="121"/>
      <c r="C134" s="121"/>
      <c r="D134" s="121"/>
      <c r="E134" s="121"/>
      <c r="F134" s="121"/>
      <c r="G134" s="121"/>
      <c r="H134" s="121"/>
      <c r="I134" s="121"/>
      <c r="J134" s="121"/>
      <c r="K134" s="121"/>
      <c r="L134" s="121"/>
      <c r="M134" s="121"/>
      <c r="N134" s="280"/>
      <c r="O134" s="280"/>
      <c r="P134" s="121"/>
      <c r="Q134" s="121"/>
      <c r="R134" s="121"/>
      <c r="S134" s="280"/>
      <c r="T134" s="280"/>
      <c r="U134" s="121"/>
      <c r="V134" s="121"/>
      <c r="W134" s="121"/>
      <c r="X134" s="280"/>
      <c r="Y134" s="280"/>
      <c r="Z134" s="280"/>
      <c r="AA134" s="280"/>
      <c r="AB134" s="121"/>
      <c r="AC134" s="121"/>
      <c r="AD134" s="121"/>
      <c r="AE134" s="280"/>
      <c r="AF134" s="280"/>
      <c r="AG134" s="280"/>
      <c r="AH134" s="121"/>
      <c r="AI134" s="121"/>
      <c r="AJ134" s="121"/>
      <c r="AK134" s="121"/>
      <c r="AL134" s="121"/>
      <c r="AM134" s="121"/>
    </row>
    <row r="135" spans="1:39" x14ac:dyDescent="0.25">
      <c r="A135" s="121"/>
      <c r="B135" s="121"/>
      <c r="C135" s="121"/>
      <c r="D135" s="121"/>
      <c r="E135" s="121"/>
      <c r="F135" s="121"/>
      <c r="G135" s="121"/>
      <c r="H135" s="121"/>
      <c r="I135" s="121"/>
      <c r="J135" s="121"/>
      <c r="K135" s="121"/>
      <c r="L135" s="121"/>
      <c r="M135" s="121"/>
      <c r="N135" s="280"/>
      <c r="O135" s="280"/>
      <c r="P135" s="121"/>
      <c r="Q135" s="121"/>
      <c r="R135" s="121"/>
      <c r="S135" s="280"/>
      <c r="T135" s="280"/>
      <c r="U135" s="121"/>
      <c r="V135" s="121"/>
      <c r="W135" s="121"/>
      <c r="X135" s="280"/>
      <c r="Y135" s="280"/>
      <c r="Z135" s="280"/>
      <c r="AA135" s="280"/>
      <c r="AB135" s="121"/>
      <c r="AC135" s="121"/>
      <c r="AD135" s="121"/>
      <c r="AE135" s="280"/>
      <c r="AF135" s="280"/>
      <c r="AG135" s="280"/>
      <c r="AH135" s="121"/>
      <c r="AI135" s="121"/>
      <c r="AJ135" s="121"/>
      <c r="AK135" s="121"/>
      <c r="AL135" s="121"/>
      <c r="AM135" s="121"/>
    </row>
    <row r="136" spans="1:39" x14ac:dyDescent="0.25">
      <c r="A136" s="121"/>
      <c r="B136" s="121"/>
      <c r="C136" s="121"/>
      <c r="D136" s="121"/>
      <c r="E136" s="121"/>
      <c r="F136" s="121"/>
      <c r="G136" s="121"/>
      <c r="H136" s="121"/>
      <c r="I136" s="121"/>
      <c r="J136" s="121"/>
      <c r="K136" s="121"/>
      <c r="L136" s="121"/>
      <c r="M136" s="121"/>
      <c r="N136" s="280"/>
      <c r="O136" s="280"/>
      <c r="P136" s="121"/>
      <c r="Q136" s="121"/>
      <c r="R136" s="121"/>
      <c r="S136" s="280"/>
      <c r="T136" s="280"/>
      <c r="U136" s="121"/>
      <c r="V136" s="121"/>
      <c r="W136" s="121"/>
      <c r="X136" s="280"/>
      <c r="Y136" s="280"/>
      <c r="Z136" s="280"/>
      <c r="AA136" s="280"/>
      <c r="AB136" s="121"/>
      <c r="AC136" s="121"/>
      <c r="AD136" s="121"/>
      <c r="AE136" s="280"/>
      <c r="AF136" s="280"/>
      <c r="AG136" s="280"/>
      <c r="AH136" s="121"/>
      <c r="AI136" s="121"/>
      <c r="AJ136" s="121"/>
      <c r="AK136" s="121"/>
      <c r="AL136" s="121"/>
      <c r="AM136" s="121"/>
    </row>
    <row r="137" spans="1:39" x14ac:dyDescent="0.25">
      <c r="A137" s="121"/>
      <c r="B137" s="121"/>
      <c r="C137" s="121"/>
      <c r="D137" s="121"/>
      <c r="E137" s="121"/>
      <c r="F137" s="121"/>
      <c r="G137" s="121"/>
      <c r="H137" s="121"/>
      <c r="I137" s="121"/>
      <c r="J137" s="121"/>
      <c r="K137" s="121"/>
      <c r="L137" s="121"/>
      <c r="M137" s="121"/>
      <c r="N137" s="280"/>
      <c r="O137" s="280"/>
      <c r="P137" s="121"/>
      <c r="Q137" s="121"/>
      <c r="R137" s="121"/>
      <c r="S137" s="280"/>
      <c r="T137" s="280"/>
      <c r="U137" s="121"/>
      <c r="V137" s="121"/>
      <c r="W137" s="121"/>
      <c r="X137" s="280"/>
      <c r="Y137" s="280"/>
      <c r="Z137" s="280"/>
      <c r="AA137" s="280"/>
      <c r="AB137" s="121"/>
      <c r="AC137" s="121"/>
      <c r="AD137" s="121"/>
      <c r="AE137" s="280"/>
      <c r="AF137" s="280"/>
      <c r="AG137" s="280"/>
      <c r="AH137" s="121"/>
      <c r="AI137" s="121"/>
      <c r="AJ137" s="121"/>
      <c r="AK137" s="121"/>
      <c r="AL137" s="121"/>
      <c r="AM137" s="121"/>
    </row>
    <row r="138" spans="1:39" x14ac:dyDescent="0.25">
      <c r="A138" s="121"/>
      <c r="B138" s="121"/>
      <c r="C138" s="121"/>
      <c r="D138" s="121"/>
      <c r="E138" s="121"/>
      <c r="F138" s="121"/>
      <c r="G138" s="121"/>
      <c r="H138" s="121"/>
      <c r="I138" s="121"/>
      <c r="J138" s="121"/>
      <c r="K138" s="121"/>
      <c r="L138" s="121"/>
      <c r="M138" s="121"/>
      <c r="N138" s="280"/>
      <c r="O138" s="280"/>
      <c r="P138" s="121"/>
      <c r="Q138" s="121"/>
      <c r="R138" s="121"/>
      <c r="S138" s="280"/>
      <c r="T138" s="280"/>
      <c r="U138" s="121"/>
      <c r="V138" s="121"/>
      <c r="W138" s="121"/>
      <c r="X138" s="280"/>
      <c r="Y138" s="280"/>
      <c r="Z138" s="280"/>
      <c r="AA138" s="280"/>
      <c r="AB138" s="121"/>
      <c r="AC138" s="121"/>
      <c r="AD138" s="121"/>
      <c r="AE138" s="280"/>
      <c r="AF138" s="280"/>
      <c r="AG138" s="280"/>
      <c r="AH138" s="121"/>
      <c r="AI138" s="121"/>
      <c r="AJ138" s="121"/>
      <c r="AK138" s="121"/>
      <c r="AL138" s="121"/>
      <c r="AM138" s="121"/>
    </row>
    <row r="139" spans="1:39" x14ac:dyDescent="0.25">
      <c r="A139" s="121"/>
      <c r="B139" s="121"/>
      <c r="C139" s="121"/>
      <c r="D139" s="121"/>
      <c r="E139" s="121"/>
      <c r="F139" s="121"/>
      <c r="G139" s="121"/>
      <c r="H139" s="121"/>
      <c r="I139" s="121"/>
      <c r="J139" s="121"/>
      <c r="K139" s="121"/>
      <c r="L139" s="121"/>
      <c r="M139" s="121"/>
      <c r="N139" s="280"/>
      <c r="O139" s="280"/>
      <c r="P139" s="121"/>
      <c r="Q139" s="121"/>
      <c r="R139" s="121"/>
      <c r="S139" s="280"/>
      <c r="T139" s="280"/>
      <c r="U139" s="121"/>
      <c r="V139" s="121"/>
      <c r="W139" s="121"/>
      <c r="X139" s="280"/>
      <c r="Y139" s="280"/>
      <c r="Z139" s="280"/>
      <c r="AA139" s="280"/>
      <c r="AB139" s="121"/>
      <c r="AC139" s="121"/>
      <c r="AD139" s="121"/>
      <c r="AE139" s="280"/>
      <c r="AF139" s="280"/>
      <c r="AG139" s="280"/>
      <c r="AH139" s="121"/>
      <c r="AI139" s="121"/>
      <c r="AJ139" s="121"/>
      <c r="AK139" s="121"/>
      <c r="AL139" s="121"/>
      <c r="AM139" s="121"/>
    </row>
    <row r="140" spans="1:39" x14ac:dyDescent="0.25">
      <c r="A140" s="121"/>
      <c r="B140" s="121"/>
      <c r="C140" s="121"/>
      <c r="D140" s="121"/>
      <c r="E140" s="121"/>
      <c r="F140" s="121"/>
      <c r="G140" s="121"/>
      <c r="H140" s="121"/>
      <c r="I140" s="121"/>
      <c r="J140" s="121"/>
      <c r="K140" s="121"/>
      <c r="L140" s="121"/>
      <c r="M140" s="121"/>
      <c r="N140" s="280"/>
      <c r="O140" s="280"/>
      <c r="P140" s="121"/>
      <c r="Q140" s="121"/>
      <c r="R140" s="121"/>
      <c r="S140" s="280"/>
      <c r="T140" s="280"/>
      <c r="U140" s="121"/>
      <c r="V140" s="121"/>
      <c r="W140" s="121"/>
      <c r="X140" s="280"/>
      <c r="Y140" s="280"/>
      <c r="Z140" s="280"/>
      <c r="AA140" s="280"/>
      <c r="AB140" s="121"/>
      <c r="AC140" s="121"/>
      <c r="AD140" s="121"/>
      <c r="AE140" s="280"/>
      <c r="AF140" s="280"/>
      <c r="AG140" s="280"/>
      <c r="AH140" s="121"/>
      <c r="AI140" s="121"/>
      <c r="AJ140" s="121"/>
      <c r="AK140" s="121"/>
      <c r="AL140" s="121"/>
      <c r="AM140" s="121"/>
    </row>
    <row r="141" spans="1:39" x14ac:dyDescent="0.25">
      <c r="A141" s="121"/>
      <c r="B141" s="121"/>
      <c r="C141" s="121"/>
      <c r="D141" s="121"/>
      <c r="E141" s="121"/>
      <c r="F141" s="121"/>
      <c r="G141" s="121"/>
      <c r="H141" s="121"/>
      <c r="I141" s="121"/>
      <c r="J141" s="121"/>
      <c r="K141" s="121"/>
      <c r="L141" s="121"/>
      <c r="M141" s="121"/>
      <c r="N141" s="280"/>
      <c r="O141" s="280"/>
      <c r="P141" s="121"/>
      <c r="Q141" s="121"/>
      <c r="R141" s="121"/>
      <c r="S141" s="280"/>
      <c r="T141" s="280"/>
      <c r="U141" s="121"/>
      <c r="V141" s="121"/>
      <c r="W141" s="121"/>
      <c r="X141" s="280"/>
      <c r="Y141" s="280"/>
      <c r="Z141" s="280"/>
      <c r="AA141" s="280"/>
      <c r="AB141" s="121"/>
      <c r="AC141" s="121"/>
      <c r="AD141" s="121"/>
      <c r="AE141" s="280"/>
      <c r="AF141" s="280"/>
      <c r="AG141" s="280"/>
      <c r="AH141" s="121"/>
      <c r="AI141" s="121"/>
      <c r="AJ141" s="121"/>
      <c r="AK141" s="121"/>
      <c r="AL141" s="121"/>
      <c r="AM141" s="121"/>
    </row>
    <row r="142" spans="1:39" x14ac:dyDescent="0.25">
      <c r="A142" s="121"/>
      <c r="B142" s="121"/>
      <c r="C142" s="121"/>
      <c r="D142" s="121"/>
      <c r="E142" s="121"/>
      <c r="F142" s="121"/>
      <c r="G142" s="121"/>
      <c r="H142" s="121"/>
      <c r="I142" s="121"/>
      <c r="J142" s="121"/>
      <c r="K142" s="121"/>
      <c r="L142" s="121"/>
      <c r="M142" s="121"/>
      <c r="N142" s="280"/>
      <c r="O142" s="280"/>
      <c r="P142" s="121"/>
      <c r="Q142" s="121"/>
      <c r="R142" s="121"/>
      <c r="S142" s="280"/>
      <c r="T142" s="280"/>
      <c r="U142" s="121"/>
      <c r="V142" s="121"/>
      <c r="W142" s="121"/>
      <c r="X142" s="280"/>
      <c r="Y142" s="280"/>
      <c r="Z142" s="280"/>
      <c r="AA142" s="280"/>
      <c r="AB142" s="121"/>
      <c r="AC142" s="121"/>
      <c r="AD142" s="121"/>
      <c r="AE142" s="280"/>
      <c r="AF142" s="280"/>
      <c r="AG142" s="280"/>
      <c r="AH142" s="121"/>
      <c r="AI142" s="121"/>
      <c r="AJ142" s="121"/>
      <c r="AK142" s="121"/>
      <c r="AL142" s="121"/>
      <c r="AM142" s="121"/>
    </row>
  </sheetData>
  <mergeCells count="17">
    <mergeCell ref="A3:AS3"/>
    <mergeCell ref="AJ5:AN5"/>
    <mergeCell ref="A1:AS1"/>
    <mergeCell ref="K89:O89"/>
    <mergeCell ref="K5:O5"/>
    <mergeCell ref="K28:O28"/>
    <mergeCell ref="K49:O49"/>
    <mergeCell ref="AO5:AS5"/>
    <mergeCell ref="A126:J126"/>
    <mergeCell ref="A4:A5"/>
    <mergeCell ref="A27:A28"/>
    <mergeCell ref="A88:A89"/>
    <mergeCell ref="A48:A49"/>
    <mergeCell ref="A125:J125"/>
    <mergeCell ref="A87:AS87"/>
    <mergeCell ref="A47:AS47"/>
    <mergeCell ref="A26:AS26"/>
  </mergeCells>
  <phoneticPr fontId="16" type="noConversion"/>
  <printOptions horizontalCentered="1" verticalCentered="1"/>
  <pageMargins left="0.25" right="0.49" top="0.2" bottom="0.38" header="0.17" footer="0.25"/>
  <pageSetup paperSize="5" scale="55" orientation="landscape" r:id="rId1"/>
  <headerFooter alignWithMargins="0">
    <oddFooter>&amp;RSource: Office of Institutional Research</oddFooter>
  </headerFooter>
  <rowBreaks count="2" manualBreakCount="2">
    <brk id="46" max="29" man="1"/>
    <brk id="125" max="17" man="1"/>
  </rowBreaks>
  <ignoredErrors>
    <ignoredError sqref="AN124 AI121" formula="1"/>
  </ignoredErrors>
  <webPublishItems count="1">
    <webPublishItem id="531" divId="2004_2005 FACT BOOK WORKING COPY_531" sourceType="sheet" destinationFile="C:\Documents and Settings\mkirkpatrick\My Documents\2005-2006 Fact Book\2005-2006 WEB PAGES\05-06Fall2005FTE.htm"/>
  </webPublishItem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AK22"/>
  <sheetViews>
    <sheetView zoomScale="80" zoomScaleNormal="80" workbookViewId="0">
      <selection activeCell="AB15" sqref="AB15"/>
    </sheetView>
  </sheetViews>
  <sheetFormatPr defaultColWidth="6.6640625" defaultRowHeight="13.2" x14ac:dyDescent="0.25"/>
  <cols>
    <col min="1" max="1" width="4.88671875" style="125" customWidth="1"/>
    <col min="2" max="2" width="20.6640625" style="125" bestFit="1" customWidth="1"/>
    <col min="3" max="4" width="7.6640625" style="125" customWidth="1"/>
    <col min="5" max="5" width="9.6640625" style="125" bestFit="1" customWidth="1"/>
    <col min="6" max="6" width="7.6640625" style="125" customWidth="1"/>
    <col min="7" max="7" width="9.6640625" style="125" bestFit="1" customWidth="1"/>
    <col min="8" max="8" width="7.6640625" style="125" customWidth="1"/>
    <col min="9" max="9" width="9.6640625" style="125" bestFit="1" customWidth="1"/>
    <col min="10" max="10" width="7.5546875" style="125" customWidth="1"/>
    <col min="11" max="11" width="9.6640625" style="125" bestFit="1" customWidth="1"/>
    <col min="12" max="12" width="7.5546875" style="125" customWidth="1"/>
    <col min="13" max="13" width="9.6640625" style="125" bestFit="1" customWidth="1"/>
    <col min="14" max="14" width="7.5546875" style="125" customWidth="1"/>
    <col min="15" max="15" width="9.6640625" style="125" bestFit="1" customWidth="1"/>
    <col min="16" max="16" width="7.5546875" style="125" customWidth="1"/>
    <col min="17" max="17" width="9.6640625" style="125" bestFit="1" customWidth="1"/>
    <col min="18" max="18" width="7.5546875" style="125" customWidth="1"/>
    <col min="19" max="19" width="9.6640625" style="125" bestFit="1" customWidth="1"/>
    <col min="20" max="20" width="7.5546875" style="125" customWidth="1"/>
    <col min="21" max="21" width="9.6640625" style="125" bestFit="1" customWidth="1"/>
    <col min="22" max="22" width="7.5546875" style="125" customWidth="1"/>
    <col min="23" max="23" width="9.6640625" style="125" bestFit="1" customWidth="1"/>
    <col min="24" max="29" width="9.6640625" style="125" customWidth="1"/>
    <col min="30" max="30" width="7.5546875" style="125" customWidth="1"/>
    <col min="31" max="32" width="6.6640625" style="1056"/>
    <col min="33" max="16384" width="6.6640625" style="125"/>
  </cols>
  <sheetData>
    <row r="1" spans="2:37" ht="12.75" customHeight="1" x14ac:dyDescent="0.3">
      <c r="B1" s="2146" t="s">
        <v>19</v>
      </c>
      <c r="C1" s="2146"/>
      <c r="D1" s="2146"/>
      <c r="E1" s="2146"/>
      <c r="F1" s="2146"/>
      <c r="G1" s="2146"/>
      <c r="H1" s="2146"/>
      <c r="I1" s="2146"/>
      <c r="J1" s="2146"/>
      <c r="K1" s="2146"/>
      <c r="L1" s="2146"/>
      <c r="M1" s="2146"/>
      <c r="N1" s="2146"/>
      <c r="O1" s="2146"/>
      <c r="P1" s="2146"/>
      <c r="Q1" s="2146"/>
      <c r="R1" s="2146"/>
      <c r="S1" s="2146"/>
      <c r="T1" s="2146"/>
      <c r="U1" s="2146"/>
      <c r="V1" s="2146"/>
      <c r="W1" s="2146"/>
      <c r="X1" s="2146"/>
      <c r="Y1" s="2146"/>
      <c r="Z1" s="2146"/>
      <c r="AA1" s="2146"/>
      <c r="AB1" s="1391"/>
      <c r="AC1" s="1391"/>
      <c r="AD1" s="1401"/>
      <c r="AE1" s="1402"/>
      <c r="AF1" s="1402"/>
      <c r="AG1" s="1401"/>
      <c r="AH1" s="1401"/>
    </row>
    <row r="2" spans="2:37" ht="12.75" customHeight="1" x14ac:dyDescent="0.3">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1391"/>
      <c r="AC2" s="1391"/>
      <c r="AD2" s="1858"/>
      <c r="AE2" s="1859"/>
      <c r="AF2" s="1859"/>
      <c r="AG2" s="1858"/>
      <c r="AH2" s="1858"/>
      <c r="AI2" s="1858"/>
      <c r="AJ2" s="1858"/>
      <c r="AK2" s="1858"/>
    </row>
    <row r="3" spans="2:37" x14ac:dyDescent="0.25">
      <c r="AD3" s="1858"/>
      <c r="AE3" s="1859" t="s">
        <v>1654</v>
      </c>
      <c r="AF3" s="1859" t="s">
        <v>1655</v>
      </c>
      <c r="AG3" s="1858"/>
      <c r="AH3" s="1858"/>
      <c r="AI3" s="1858"/>
      <c r="AJ3" s="1858"/>
      <c r="AK3" s="1858"/>
    </row>
    <row r="4" spans="2:37" ht="13.8" x14ac:dyDescent="0.25">
      <c r="B4" s="2288"/>
      <c r="C4" s="2289">
        <v>2003</v>
      </c>
      <c r="D4" s="2289">
        <v>2004</v>
      </c>
      <c r="E4" s="2289" t="s">
        <v>20</v>
      </c>
      <c r="F4" s="2289">
        <v>2005</v>
      </c>
      <c r="G4" s="2289" t="s">
        <v>20</v>
      </c>
      <c r="H4" s="2289">
        <v>2006</v>
      </c>
      <c r="I4" s="2289" t="s">
        <v>20</v>
      </c>
      <c r="J4" s="2289">
        <v>2007</v>
      </c>
      <c r="K4" s="2289" t="s">
        <v>20</v>
      </c>
      <c r="L4" s="2289">
        <v>2008</v>
      </c>
      <c r="M4" s="2289" t="s">
        <v>20</v>
      </c>
      <c r="N4" s="2289">
        <v>2009</v>
      </c>
      <c r="O4" s="2289" t="s">
        <v>20</v>
      </c>
      <c r="P4" s="2289">
        <v>2010</v>
      </c>
      <c r="Q4" s="2289" t="s">
        <v>20</v>
      </c>
      <c r="R4" s="2289">
        <v>2011</v>
      </c>
      <c r="S4" s="2289" t="s">
        <v>20</v>
      </c>
      <c r="T4" s="2289">
        <v>2012</v>
      </c>
      <c r="U4" s="2289" t="s">
        <v>20</v>
      </c>
      <c r="V4" s="2289">
        <v>2013</v>
      </c>
      <c r="W4" s="2289" t="s">
        <v>20</v>
      </c>
      <c r="X4" s="2289">
        <v>2014</v>
      </c>
      <c r="Y4" s="2289" t="s">
        <v>20</v>
      </c>
      <c r="Z4" s="2289">
        <v>2015</v>
      </c>
      <c r="AA4" s="2289" t="s">
        <v>20</v>
      </c>
      <c r="AB4" s="1396"/>
      <c r="AC4" s="1396"/>
      <c r="AD4" s="1860"/>
      <c r="AE4" s="1859">
        <v>2003</v>
      </c>
      <c r="AF4" s="1861">
        <f>+C11</f>
        <v>13.45596051632498</v>
      </c>
      <c r="AG4" s="1860"/>
      <c r="AH4" s="1860"/>
      <c r="AI4" s="1858"/>
      <c r="AJ4" s="1858"/>
      <c r="AK4" s="1858"/>
    </row>
    <row r="5" spans="2:37" ht="13.8" x14ac:dyDescent="0.25">
      <c r="B5" s="2290" t="s">
        <v>21</v>
      </c>
      <c r="C5" s="2291">
        <v>2634</v>
      </c>
      <c r="D5" s="2291">
        <v>2733</v>
      </c>
      <c r="E5" s="2292">
        <f>(D5-C5)/C5</f>
        <v>3.7585421412300681E-2</v>
      </c>
      <c r="F5" s="2291">
        <v>2612</v>
      </c>
      <c r="G5" s="2292">
        <f>(F5-D5)/D5</f>
        <v>-4.4273691913648008E-2</v>
      </c>
      <c r="H5" s="2291">
        <v>2642</v>
      </c>
      <c r="I5" s="2292">
        <f>(H5-F5)/F5</f>
        <v>1.1485451761102604E-2</v>
      </c>
      <c r="J5" s="2291">
        <v>2360</v>
      </c>
      <c r="K5" s="2292">
        <f>(J5-H5)/H5</f>
        <v>-0.10673732021196064</v>
      </c>
      <c r="L5" s="2291">
        <v>2540</v>
      </c>
      <c r="M5" s="2292">
        <f>(L5-J5)/J5</f>
        <v>7.6271186440677971E-2</v>
      </c>
      <c r="N5" s="2291">
        <f>2598+191</f>
        <v>2789</v>
      </c>
      <c r="O5" s="2292">
        <f>(N5-L5)/L5</f>
        <v>9.8031496062992121E-2</v>
      </c>
      <c r="P5" s="2291">
        <v>2996</v>
      </c>
      <c r="Q5" s="2292">
        <f>(P5-N5)/N5</f>
        <v>7.4220150591609899E-2</v>
      </c>
      <c r="R5" s="2291">
        <v>3038</v>
      </c>
      <c r="S5" s="2292">
        <f>(R5-P5)/P5</f>
        <v>1.4018691588785047E-2</v>
      </c>
      <c r="T5" s="2291">
        <v>2969</v>
      </c>
      <c r="U5" s="2292">
        <f>(T5-R5)/R5</f>
        <v>-2.2712310730743909E-2</v>
      </c>
      <c r="V5" s="2291">
        <v>2792</v>
      </c>
      <c r="W5" s="2292">
        <f>(V5-T5)/T5</f>
        <v>-5.9616032334119232E-2</v>
      </c>
      <c r="X5" s="2291">
        <v>2717</v>
      </c>
      <c r="Y5" s="2292">
        <f>(X5-V5)/V5</f>
        <v>-2.6862464183381087E-2</v>
      </c>
      <c r="Z5" s="2291">
        <v>2659</v>
      </c>
      <c r="AA5" s="2292">
        <f>(Z5-X5)/X5</f>
        <v>-2.1347073978652927E-2</v>
      </c>
      <c r="AB5" s="1397"/>
      <c r="AC5" s="1397"/>
      <c r="AD5" s="1860"/>
      <c r="AE5" s="1859">
        <f>+AE4+1</f>
        <v>2004</v>
      </c>
      <c r="AF5" s="1861">
        <f>+D11</f>
        <v>13.540065861690451</v>
      </c>
      <c r="AG5" s="1860"/>
      <c r="AH5" s="1860"/>
      <c r="AI5" s="1858"/>
      <c r="AJ5" s="1858"/>
      <c r="AK5" s="1858"/>
    </row>
    <row r="6" spans="2:37" ht="13.8" x14ac:dyDescent="0.25">
      <c r="B6" s="2293"/>
      <c r="C6" s="2294"/>
      <c r="D6" s="2294"/>
      <c r="E6" s="2295"/>
      <c r="F6" s="2294"/>
      <c r="G6" s="2295"/>
      <c r="H6" s="2294"/>
      <c r="I6" s="2295"/>
      <c r="J6" s="2294"/>
      <c r="K6" s="2295"/>
      <c r="L6" s="2294"/>
      <c r="M6" s="2295"/>
      <c r="N6" s="2294"/>
      <c r="O6" s="2295"/>
      <c r="P6" s="2294"/>
      <c r="Q6" s="2295"/>
      <c r="R6" s="2294"/>
      <c r="S6" s="2295"/>
      <c r="T6" s="2294"/>
      <c r="U6" s="2295"/>
      <c r="V6" s="2294"/>
      <c r="W6" s="2295"/>
      <c r="X6" s="2294"/>
      <c r="Y6" s="2295"/>
      <c r="Z6" s="2294"/>
      <c r="AA6" s="2295"/>
      <c r="AB6" s="1397"/>
      <c r="AC6" s="1397"/>
      <c r="AD6" s="1860"/>
      <c r="AE6" s="1859">
        <f t="shared" ref="AE6:AE12" si="0">+AE5+1</f>
        <v>2005</v>
      </c>
      <c r="AF6" s="1861">
        <f>+F11</f>
        <v>13.774119448698315</v>
      </c>
      <c r="AG6" s="1860"/>
      <c r="AH6" s="1860"/>
      <c r="AI6" s="1858"/>
      <c r="AJ6" s="1858"/>
      <c r="AK6" s="1858"/>
    </row>
    <row r="7" spans="2:37" ht="13.8" x14ac:dyDescent="0.25">
      <c r="B7" s="2290" t="s">
        <v>22</v>
      </c>
      <c r="C7" s="2291">
        <v>2363</v>
      </c>
      <c r="D7" s="2291">
        <v>2467</v>
      </c>
      <c r="E7" s="2292">
        <f>(D7-C7)/C7</f>
        <v>4.4011849344054166E-2</v>
      </c>
      <c r="F7" s="2291">
        <v>2399</v>
      </c>
      <c r="G7" s="2292">
        <f>(F7-D7)/D7</f>
        <v>-2.7563842723956223E-2</v>
      </c>
      <c r="H7" s="2291">
        <v>2379</v>
      </c>
      <c r="I7" s="2292">
        <f>(H7-F7)/F7</f>
        <v>-8.3368070029178828E-3</v>
      </c>
      <c r="J7" s="2291">
        <v>2154</v>
      </c>
      <c r="K7" s="2292">
        <f>(J7-H7)/H7</f>
        <v>-9.4577553593947039E-2</v>
      </c>
      <c r="L7" s="2291">
        <v>2343</v>
      </c>
      <c r="M7" s="2292">
        <f>(L7-J7)/J7</f>
        <v>8.7743732590529241E-2</v>
      </c>
      <c r="N7" s="2296">
        <v>2628.4</v>
      </c>
      <c r="O7" s="2292">
        <f>(N7-L7)/L7</f>
        <v>0.12180964575330776</v>
      </c>
      <c r="P7" s="2296">
        <v>2813.2666666666669</v>
      </c>
      <c r="Q7" s="2292">
        <f>(P7-N7)/N7</f>
        <v>7.0334297164307863E-2</v>
      </c>
      <c r="R7" s="2291">
        <v>2829</v>
      </c>
      <c r="S7" s="2292">
        <f>(R7-P7)/P7</f>
        <v>5.5925495864830163E-3</v>
      </c>
      <c r="T7" s="2291">
        <v>2784</v>
      </c>
      <c r="U7" s="2292">
        <f>(T7-R7)/R7</f>
        <v>-1.5906680805938492E-2</v>
      </c>
      <c r="V7" s="2291">
        <v>2646</v>
      </c>
      <c r="W7" s="2292">
        <f>(V7-T7)/T7</f>
        <v>-4.9568965517241381E-2</v>
      </c>
      <c r="X7" s="2291">
        <v>2605</v>
      </c>
      <c r="Y7" s="2292">
        <f>(X7-V7)/V7</f>
        <v>-1.5495086923658353E-2</v>
      </c>
      <c r="Z7" s="2296">
        <v>2531</v>
      </c>
      <c r="AA7" s="2292">
        <f>(Z7-X7)/X7</f>
        <v>-2.8406909788867563E-2</v>
      </c>
      <c r="AB7" s="1397"/>
      <c r="AC7" s="1397"/>
      <c r="AD7" s="1860"/>
      <c r="AE7" s="1859">
        <f t="shared" si="0"/>
        <v>2006</v>
      </c>
      <c r="AF7" s="1861">
        <f>+H11</f>
        <v>13.508137774413322</v>
      </c>
      <c r="AG7" s="1860"/>
      <c r="AH7" s="1860"/>
      <c r="AI7" s="1858"/>
      <c r="AJ7" s="1858"/>
      <c r="AK7" s="1858"/>
    </row>
    <row r="8" spans="2:37" ht="13.8" x14ac:dyDescent="0.25">
      <c r="B8" s="2293"/>
      <c r="C8" s="2294"/>
      <c r="D8" s="2294"/>
      <c r="E8" s="2295"/>
      <c r="F8" s="2294"/>
      <c r="G8" s="2295"/>
      <c r="H8" s="2294"/>
      <c r="I8" s="2295"/>
      <c r="J8" s="2294"/>
      <c r="K8" s="2295"/>
      <c r="L8" s="2294"/>
      <c r="M8" s="2295"/>
      <c r="N8" s="2294"/>
      <c r="O8" s="2295"/>
      <c r="P8" s="2294"/>
      <c r="Q8" s="2295"/>
      <c r="R8" s="2294"/>
      <c r="S8" s="2295"/>
      <c r="T8" s="2294"/>
      <c r="U8" s="2295"/>
      <c r="V8" s="2294"/>
      <c r="W8" s="2295"/>
      <c r="X8" s="2294"/>
      <c r="Y8" s="2295"/>
      <c r="Z8" s="2294"/>
      <c r="AA8" s="2295"/>
      <c r="AB8" s="1397"/>
      <c r="AC8" s="1397"/>
      <c r="AD8" s="1860"/>
      <c r="AE8" s="1859">
        <f t="shared" si="0"/>
        <v>2007</v>
      </c>
      <c r="AF8" s="1861">
        <f>+J11</f>
        <v>13.692796610169491</v>
      </c>
      <c r="AG8" s="1860"/>
      <c r="AH8" s="1860"/>
      <c r="AI8" s="1858"/>
      <c r="AJ8" s="1858"/>
      <c r="AK8" s="1858"/>
    </row>
    <row r="9" spans="2:37" ht="13.8" x14ac:dyDescent="0.25">
      <c r="B9" s="2290" t="s">
        <v>23</v>
      </c>
      <c r="C9" s="2291">
        <v>35443</v>
      </c>
      <c r="D9" s="2291">
        <v>37005</v>
      </c>
      <c r="E9" s="2292">
        <f>(D9-C9)/C9</f>
        <v>4.4070761504387324E-2</v>
      </c>
      <c r="F9" s="2291">
        <v>35978</v>
      </c>
      <c r="G9" s="2292">
        <f>(F9-D9)/D9</f>
        <v>-2.7753006350493176E-2</v>
      </c>
      <c r="H9" s="2296">
        <v>35688.5</v>
      </c>
      <c r="I9" s="2292">
        <f>(H9-F9)/F9</f>
        <v>-8.0465840235699592E-3</v>
      </c>
      <c r="J9" s="2291">
        <v>32315</v>
      </c>
      <c r="K9" s="2292">
        <f>(J9-H9)/H9</f>
        <v>-9.4526247951020631E-2</v>
      </c>
      <c r="L9" s="2291">
        <v>35151</v>
      </c>
      <c r="M9" s="2292">
        <f>(L9-J9)/J9</f>
        <v>8.7761101655577906E-2</v>
      </c>
      <c r="N9" s="2291">
        <v>39442</v>
      </c>
      <c r="O9" s="2292">
        <f>(N9-L9)/L9</f>
        <v>0.12207334072999346</v>
      </c>
      <c r="P9" s="2291">
        <v>42266</v>
      </c>
      <c r="Q9" s="2292">
        <f>(P9-N9)/N9</f>
        <v>7.1598803306120382E-2</v>
      </c>
      <c r="R9" s="2296">
        <v>42536.5</v>
      </c>
      <c r="S9" s="2292">
        <f>(R9-P9)/P9</f>
        <v>6.3999432167699804E-3</v>
      </c>
      <c r="T9" s="2291">
        <v>41808</v>
      </c>
      <c r="U9" s="2292">
        <f>(T9-R9)/R9</f>
        <v>-1.7126467857016915E-2</v>
      </c>
      <c r="V9" s="2296">
        <v>39681.5</v>
      </c>
      <c r="W9" s="2292">
        <f>(V9-T9)/T9</f>
        <v>-5.0863471106008418E-2</v>
      </c>
      <c r="X9" s="2296">
        <v>38632.5</v>
      </c>
      <c r="Y9" s="2292">
        <f>(X9-V9)/V9</f>
        <v>-2.643549260990638E-2</v>
      </c>
      <c r="Z9" s="2296">
        <v>37969</v>
      </c>
      <c r="AA9" s="2292">
        <f>(Z9-X9)/X9</f>
        <v>-1.7174658642334823E-2</v>
      </c>
      <c r="AB9" s="1397"/>
      <c r="AC9" s="1397"/>
      <c r="AD9" s="1860"/>
      <c r="AE9" s="1859">
        <f t="shared" si="0"/>
        <v>2008</v>
      </c>
      <c r="AF9" s="1861">
        <f>+L11</f>
        <v>13.838976377952756</v>
      </c>
      <c r="AG9" s="1860"/>
      <c r="AH9" s="1860"/>
      <c r="AI9" s="1858"/>
      <c r="AJ9" s="1858"/>
      <c r="AK9" s="1858"/>
    </row>
    <row r="10" spans="2:37" ht="13.8" x14ac:dyDescent="0.25">
      <c r="B10" s="2293"/>
      <c r="C10" s="2294"/>
      <c r="D10" s="2294"/>
      <c r="E10" s="2295"/>
      <c r="F10" s="2294"/>
      <c r="G10" s="2295"/>
      <c r="H10" s="2294"/>
      <c r="I10" s="2295"/>
      <c r="J10" s="2294"/>
      <c r="K10" s="2295"/>
      <c r="L10" s="2294"/>
      <c r="M10" s="2295"/>
      <c r="N10" s="2294"/>
      <c r="O10" s="2295"/>
      <c r="P10" s="2294"/>
      <c r="Q10" s="2295"/>
      <c r="R10" s="2294"/>
      <c r="S10" s="2295"/>
      <c r="T10" s="2294"/>
      <c r="U10" s="2295"/>
      <c r="V10" s="2294"/>
      <c r="W10" s="2295"/>
      <c r="X10" s="2294"/>
      <c r="Y10" s="2295"/>
      <c r="Z10" s="2294"/>
      <c r="AA10" s="2295"/>
      <c r="AB10" s="1397"/>
      <c r="AC10" s="1397"/>
      <c r="AD10" s="1860"/>
      <c r="AE10" s="1859">
        <f t="shared" si="0"/>
        <v>2009</v>
      </c>
      <c r="AF10" s="1861">
        <f>+N11</f>
        <v>14.141986375044819</v>
      </c>
      <c r="AG10" s="1860"/>
      <c r="AH10" s="1860"/>
      <c r="AI10" s="1858"/>
      <c r="AJ10" s="1858"/>
      <c r="AK10" s="1858"/>
    </row>
    <row r="11" spans="2:37" ht="13.8" x14ac:dyDescent="0.25">
      <c r="B11" s="2290" t="s">
        <v>24</v>
      </c>
      <c r="C11" s="2297">
        <f>+C9/C5</f>
        <v>13.45596051632498</v>
      </c>
      <c r="D11" s="2297">
        <f>+D9/D5</f>
        <v>13.540065861690451</v>
      </c>
      <c r="E11" s="2292">
        <f>(D11-C11)/C11</f>
        <v>6.2504155882021671E-3</v>
      </c>
      <c r="F11" s="2297">
        <f>+F9/F5</f>
        <v>13.774119448698315</v>
      </c>
      <c r="G11" s="2292">
        <f>(F11-D11)/D11</f>
        <v>1.7286000629441755E-2</v>
      </c>
      <c r="H11" s="2297">
        <f>+H9/H5</f>
        <v>13.508137774413322</v>
      </c>
      <c r="I11" s="2292">
        <f>(H11-F11)/F11</f>
        <v>-1.9310248852976816E-2</v>
      </c>
      <c r="J11" s="2297">
        <f>+J9/J5</f>
        <v>13.692796610169491</v>
      </c>
      <c r="K11" s="2292">
        <f>(J11-H11)/H11</f>
        <v>1.3670191912459148E-2</v>
      </c>
      <c r="L11" s="2297">
        <f>+L9/L5</f>
        <v>13.838976377952756</v>
      </c>
      <c r="M11" s="2292">
        <f>(L11-J11)/J11</f>
        <v>1.0675669254788935E-2</v>
      </c>
      <c r="N11" s="2297">
        <f>+N9/N5</f>
        <v>14.141986375044819</v>
      </c>
      <c r="O11" s="2292">
        <f>(N11-L11)/L11</f>
        <v>2.1895405325989051E-2</v>
      </c>
      <c r="P11" s="2297">
        <f>+P9/P5</f>
        <v>14.107476635514018</v>
      </c>
      <c r="Q11" s="2292">
        <f>(P11-N11)/N11</f>
        <v>-2.4402328368592825E-3</v>
      </c>
      <c r="R11" s="2297">
        <f>+R9/R5</f>
        <v>14.001481237656353</v>
      </c>
      <c r="S11" s="2292">
        <f>(R11-P11)/P11</f>
        <v>-7.5134200535078941E-3</v>
      </c>
      <c r="T11" s="2297">
        <f>+T9/T5</f>
        <v>14.081508925564163</v>
      </c>
      <c r="U11" s="2292">
        <f>(T11-R11)/R11</f>
        <v>5.7156586899234103E-3</v>
      </c>
      <c r="V11" s="2297">
        <f>+V9/V5</f>
        <v>14.212571633237822</v>
      </c>
      <c r="W11" s="2292">
        <f>(V11-T11)/T11</f>
        <v>9.3074334836177677E-3</v>
      </c>
      <c r="X11" s="2297">
        <f>+X9/X5</f>
        <v>14.218807508281193</v>
      </c>
      <c r="Y11" s="2292">
        <f>(X11-V11)/V11</f>
        <v>4.387576861029118E-4</v>
      </c>
      <c r="Z11" s="2297">
        <f>+Z9/Z5</f>
        <v>14.27942835652501</v>
      </c>
      <c r="AA11" s="2292">
        <f>(Z11-X11)/X11</f>
        <v>4.263427028498021E-3</v>
      </c>
      <c r="AB11" s="1397"/>
      <c r="AC11" s="1397"/>
      <c r="AD11" s="1860"/>
      <c r="AE11" s="1859">
        <f t="shared" si="0"/>
        <v>2010</v>
      </c>
      <c r="AF11" s="1861">
        <f>+P11</f>
        <v>14.107476635514018</v>
      </c>
      <c r="AG11" s="1860"/>
      <c r="AH11" s="1860"/>
      <c r="AI11" s="1858"/>
      <c r="AJ11" s="1858"/>
      <c r="AK11" s="1858"/>
    </row>
    <row r="12" spans="2:37" x14ac:dyDescent="0.25">
      <c r="AD12" s="1860"/>
      <c r="AE12" s="1859">
        <f t="shared" si="0"/>
        <v>2011</v>
      </c>
      <c r="AF12" s="1861">
        <f>+R11</f>
        <v>14.001481237656353</v>
      </c>
      <c r="AG12" s="1860"/>
      <c r="AH12" s="1860"/>
      <c r="AI12" s="1858"/>
      <c r="AJ12" s="1858"/>
      <c r="AK12" s="1858"/>
    </row>
    <row r="13" spans="2:37" x14ac:dyDescent="0.25">
      <c r="AD13" s="1860"/>
      <c r="AE13" s="1859">
        <v>2012</v>
      </c>
      <c r="AF13" s="1859">
        <v>14.08</v>
      </c>
      <c r="AG13" s="1860"/>
      <c r="AH13" s="1860"/>
      <c r="AI13" s="1858"/>
      <c r="AJ13" s="1858"/>
      <c r="AK13" s="1858"/>
    </row>
    <row r="14" spans="2:37" x14ac:dyDescent="0.25">
      <c r="AD14" s="1860"/>
      <c r="AE14" s="1859">
        <v>2013</v>
      </c>
      <c r="AF14" s="1859">
        <v>14.21</v>
      </c>
      <c r="AG14" s="1860"/>
      <c r="AH14" s="1860"/>
      <c r="AI14" s="1858"/>
      <c r="AJ14" s="1858"/>
      <c r="AK14" s="1858"/>
    </row>
    <row r="15" spans="2:37" x14ac:dyDescent="0.25">
      <c r="AD15" s="1860"/>
      <c r="AE15" s="1859">
        <v>2014</v>
      </c>
      <c r="AF15" s="1861">
        <v>14.22</v>
      </c>
      <c r="AG15" s="1860"/>
      <c r="AH15" s="1860"/>
      <c r="AI15" s="1858"/>
      <c r="AJ15" s="1858"/>
      <c r="AK15" s="1858"/>
    </row>
    <row r="16" spans="2:37" x14ac:dyDescent="0.25">
      <c r="AD16" s="1858"/>
      <c r="AE16" s="1859">
        <v>2015</v>
      </c>
      <c r="AF16" s="1859">
        <v>14.28</v>
      </c>
      <c r="AG16" s="1858"/>
      <c r="AH16" s="1858"/>
      <c r="AI16" s="1858"/>
      <c r="AJ16" s="1858"/>
      <c r="AK16" s="1858"/>
    </row>
    <row r="17" spans="30:37" x14ac:dyDescent="0.25">
      <c r="AD17" s="1858"/>
      <c r="AE17" s="1859"/>
      <c r="AF17" s="1859"/>
      <c r="AG17" s="1858"/>
      <c r="AH17" s="1858"/>
      <c r="AI17" s="1858"/>
      <c r="AJ17" s="1858"/>
      <c r="AK17" s="1858"/>
    </row>
    <row r="18" spans="30:37" x14ac:dyDescent="0.25">
      <c r="AD18" s="1858"/>
      <c r="AE18" s="1859"/>
      <c r="AF18" s="1859"/>
      <c r="AG18" s="1858"/>
      <c r="AH18" s="1858"/>
      <c r="AI18" s="1858"/>
      <c r="AJ18" s="1858"/>
      <c r="AK18" s="1858"/>
    </row>
    <row r="19" spans="30:37" x14ac:dyDescent="0.25">
      <c r="AD19" s="1858"/>
      <c r="AE19" s="1859"/>
      <c r="AF19" s="1859"/>
      <c r="AG19" s="1858"/>
      <c r="AH19" s="1858"/>
      <c r="AI19" s="1858"/>
      <c r="AJ19" s="1858"/>
      <c r="AK19" s="1858"/>
    </row>
    <row r="20" spans="30:37" x14ac:dyDescent="0.25">
      <c r="AD20" s="1858"/>
      <c r="AE20" s="1859"/>
      <c r="AF20" s="1859"/>
      <c r="AG20" s="1858"/>
      <c r="AH20" s="1858"/>
      <c r="AI20" s="1858"/>
      <c r="AJ20" s="1858"/>
      <c r="AK20" s="1858"/>
    </row>
    <row r="21" spans="30:37" x14ac:dyDescent="0.25">
      <c r="AD21" s="1858"/>
      <c r="AE21" s="1859"/>
      <c r="AF21" s="1859"/>
      <c r="AG21" s="1858"/>
      <c r="AH21" s="1858"/>
      <c r="AI21" s="1858"/>
      <c r="AJ21" s="1858"/>
      <c r="AK21" s="1858"/>
    </row>
    <row r="22" spans="30:37" x14ac:dyDescent="0.25">
      <c r="AD22" s="1858"/>
      <c r="AE22" s="1859"/>
      <c r="AF22" s="1859"/>
      <c r="AG22" s="1858"/>
      <c r="AH22" s="1858"/>
      <c r="AI22" s="1858"/>
      <c r="AJ22" s="1858"/>
      <c r="AK22" s="1858"/>
    </row>
  </sheetData>
  <mergeCells count="1">
    <mergeCell ref="B1:AA2"/>
  </mergeCells>
  <phoneticPr fontId="16" type="noConversion"/>
  <printOptions horizontalCentered="1" verticalCentered="1"/>
  <pageMargins left="0.25" right="0.25" top="0.5" bottom="0.5" header="0.5" footer="0.25"/>
  <pageSetup scale="55" orientation="landscape" r:id="rId1"/>
  <headerFooter alignWithMargins="0">
    <oddFooter>&amp;R&amp;8Source: Office of Institutional Research</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
  <sheetViews>
    <sheetView zoomScale="97" zoomScaleNormal="97" workbookViewId="0">
      <selection sqref="A1:W1"/>
    </sheetView>
  </sheetViews>
  <sheetFormatPr defaultColWidth="7.88671875" defaultRowHeight="13.2" x14ac:dyDescent="0.25"/>
  <cols>
    <col min="1" max="1" width="22.109375" style="954" customWidth="1"/>
    <col min="2" max="10" width="7.88671875" style="896" customWidth="1"/>
    <col min="11" max="11" width="8.6640625" style="896" customWidth="1"/>
    <col min="12" max="21" width="7.88671875" style="896" customWidth="1"/>
    <col min="22" max="22" width="10.33203125" style="896" customWidth="1"/>
    <col min="23" max="23" width="11.6640625" style="896" customWidth="1"/>
    <col min="24" max="16384" width="7.88671875" style="896"/>
  </cols>
  <sheetData>
    <row r="1" spans="1:23" ht="17.399999999999999" x14ac:dyDescent="0.25">
      <c r="A1" s="2147" t="s">
        <v>1777</v>
      </c>
      <c r="B1" s="2147"/>
      <c r="C1" s="2147"/>
      <c r="D1" s="2147"/>
      <c r="E1" s="2147"/>
      <c r="F1" s="2147"/>
      <c r="G1" s="2147"/>
      <c r="H1" s="2147"/>
      <c r="I1" s="2147"/>
      <c r="J1" s="2147"/>
      <c r="K1" s="2147"/>
      <c r="L1" s="2147"/>
      <c r="M1" s="2147"/>
      <c r="N1" s="2147"/>
      <c r="O1" s="2147"/>
      <c r="P1" s="2147"/>
      <c r="Q1" s="2147"/>
      <c r="R1" s="2147"/>
      <c r="S1" s="2147"/>
      <c r="T1" s="2147"/>
      <c r="U1" s="2147"/>
      <c r="V1" s="2147"/>
      <c r="W1" s="2147"/>
    </row>
    <row r="2" spans="1:23" ht="12.75" customHeight="1" thickBot="1" x14ac:dyDescent="0.3">
      <c r="A2" s="111"/>
      <c r="B2" s="897"/>
      <c r="C2" s="897"/>
      <c r="D2" s="897"/>
      <c r="E2" s="897"/>
      <c r="F2" s="897"/>
      <c r="G2" s="897"/>
      <c r="H2" s="897"/>
      <c r="I2" s="897"/>
      <c r="J2" s="897"/>
      <c r="K2" s="897"/>
      <c r="L2" s="897"/>
      <c r="M2" s="897"/>
      <c r="N2" s="897"/>
      <c r="O2" s="897"/>
      <c r="P2" s="897"/>
      <c r="Q2" s="897"/>
      <c r="R2" s="897"/>
      <c r="S2" s="897"/>
      <c r="T2" s="897"/>
      <c r="U2" s="897"/>
      <c r="V2" s="897"/>
      <c r="W2" s="897"/>
    </row>
    <row r="3" spans="1:23" ht="13.8" thickTop="1" x14ac:dyDescent="0.25">
      <c r="A3" s="1159"/>
      <c r="B3" s="2148" t="s">
        <v>977</v>
      </c>
      <c r="C3" s="2149"/>
      <c r="D3" s="1160"/>
      <c r="E3" s="1161"/>
      <c r="F3" s="2150" t="s">
        <v>978</v>
      </c>
      <c r="G3" s="2149"/>
      <c r="H3" s="1162"/>
      <c r="I3" s="1163"/>
      <c r="J3" s="1162" t="s">
        <v>1459</v>
      </c>
      <c r="K3" s="1164"/>
      <c r="L3" s="1165"/>
      <c r="M3" s="1166"/>
      <c r="N3" s="1167"/>
      <c r="O3" s="1168"/>
      <c r="P3" s="1169"/>
      <c r="Q3" s="1170"/>
      <c r="R3" s="2150" t="s">
        <v>1457</v>
      </c>
      <c r="S3" s="2151"/>
      <c r="T3" s="1171" t="s">
        <v>980</v>
      </c>
      <c r="U3" s="1172"/>
      <c r="V3" s="1172"/>
      <c r="W3" s="1173"/>
    </row>
    <row r="4" spans="1:23" x14ac:dyDescent="0.25">
      <c r="A4" s="960"/>
      <c r="B4" s="911" t="s">
        <v>981</v>
      </c>
      <c r="C4" s="912"/>
      <c r="D4" s="913" t="s">
        <v>1460</v>
      </c>
      <c r="E4" s="912"/>
      <c r="F4" s="2129" t="s">
        <v>982</v>
      </c>
      <c r="G4" s="2130"/>
      <c r="H4" s="2129" t="s">
        <v>1461</v>
      </c>
      <c r="I4" s="2130"/>
      <c r="J4" s="2129" t="s">
        <v>983</v>
      </c>
      <c r="K4" s="2131"/>
      <c r="L4" s="911" t="s">
        <v>845</v>
      </c>
      <c r="M4" s="912"/>
      <c r="N4" s="2132" t="s">
        <v>979</v>
      </c>
      <c r="O4" s="2133"/>
      <c r="P4" s="2129" t="s">
        <v>984</v>
      </c>
      <c r="Q4" s="2130"/>
      <c r="R4" s="911" t="s">
        <v>1458</v>
      </c>
      <c r="S4" s="914"/>
      <c r="T4" s="597" t="s">
        <v>835</v>
      </c>
      <c r="U4" s="112"/>
      <c r="V4" s="112"/>
      <c r="W4" s="113"/>
    </row>
    <row r="5" spans="1:23" ht="39.6" x14ac:dyDescent="0.25">
      <c r="A5" s="424" t="s">
        <v>985</v>
      </c>
      <c r="B5" s="915" t="s">
        <v>986</v>
      </c>
      <c r="C5" s="916" t="s">
        <v>987</v>
      </c>
      <c r="D5" s="917" t="s">
        <v>986</v>
      </c>
      <c r="E5" s="916" t="s">
        <v>987</v>
      </c>
      <c r="F5" s="917" t="s">
        <v>986</v>
      </c>
      <c r="G5" s="916" t="s">
        <v>987</v>
      </c>
      <c r="H5" s="917" t="s">
        <v>986</v>
      </c>
      <c r="I5" s="916" t="s">
        <v>987</v>
      </c>
      <c r="J5" s="917" t="s">
        <v>986</v>
      </c>
      <c r="K5" s="916" t="s">
        <v>987</v>
      </c>
      <c r="L5" s="915" t="s">
        <v>986</v>
      </c>
      <c r="M5" s="916" t="s">
        <v>987</v>
      </c>
      <c r="N5" s="915" t="s">
        <v>986</v>
      </c>
      <c r="O5" s="916" t="s">
        <v>987</v>
      </c>
      <c r="P5" s="915" t="s">
        <v>986</v>
      </c>
      <c r="Q5" s="918" t="s">
        <v>987</v>
      </c>
      <c r="R5" s="915" t="s">
        <v>986</v>
      </c>
      <c r="S5" s="919" t="s">
        <v>987</v>
      </c>
      <c r="T5" s="961" t="s">
        <v>986</v>
      </c>
      <c r="U5" s="916" t="s">
        <v>987</v>
      </c>
      <c r="V5" s="916" t="s">
        <v>835</v>
      </c>
      <c r="W5" s="962" t="s">
        <v>988</v>
      </c>
    </row>
    <row r="6" spans="1:23" ht="30" customHeight="1" x14ac:dyDescent="0.25">
      <c r="A6" s="425" t="s">
        <v>989</v>
      </c>
      <c r="B6" s="316"/>
      <c r="C6" s="315"/>
      <c r="D6" s="314"/>
      <c r="E6" s="315"/>
      <c r="F6" s="314"/>
      <c r="G6" s="315"/>
      <c r="H6" s="314"/>
      <c r="I6" s="315"/>
      <c r="J6" s="314"/>
      <c r="K6" s="315"/>
      <c r="L6" s="316"/>
      <c r="M6" s="894"/>
      <c r="N6" s="922"/>
      <c r="O6" s="892"/>
      <c r="P6" s="922"/>
      <c r="Q6" s="892"/>
      <c r="R6" s="316"/>
      <c r="S6" s="317"/>
      <c r="T6" s="766"/>
      <c r="U6" s="894"/>
      <c r="V6" s="315"/>
      <c r="W6" s="317"/>
    </row>
    <row r="7" spans="1:23" x14ac:dyDescent="0.25">
      <c r="A7" s="963" t="s">
        <v>746</v>
      </c>
      <c r="B7" s="1230">
        <v>2</v>
      </c>
      <c r="C7" s="1231">
        <v>0</v>
      </c>
      <c r="D7" s="1232">
        <v>0</v>
      </c>
      <c r="E7" s="1231">
        <v>4</v>
      </c>
      <c r="F7" s="1232">
        <v>0</v>
      </c>
      <c r="G7" s="1231">
        <v>0</v>
      </c>
      <c r="H7" s="1232">
        <v>0</v>
      </c>
      <c r="I7" s="1231">
        <v>1</v>
      </c>
      <c r="J7" s="1232">
        <v>0</v>
      </c>
      <c r="K7" s="1231">
        <v>0</v>
      </c>
      <c r="L7" s="1230">
        <v>0</v>
      </c>
      <c r="M7" s="1233">
        <v>0</v>
      </c>
      <c r="N7" s="1234">
        <v>3</v>
      </c>
      <c r="O7" s="1235">
        <v>1</v>
      </c>
      <c r="P7" s="1234">
        <v>6</v>
      </c>
      <c r="Q7" s="1235">
        <v>1</v>
      </c>
      <c r="R7" s="1236">
        <v>0</v>
      </c>
      <c r="S7" s="1237">
        <v>0</v>
      </c>
      <c r="T7" s="1238">
        <f t="shared" ref="T7:U13" si="0">B7+D7+F7+H7+J7+L7+R7+N7+P7</f>
        <v>11</v>
      </c>
      <c r="U7" s="1233">
        <f t="shared" si="0"/>
        <v>7</v>
      </c>
      <c r="V7" s="1231">
        <f t="shared" ref="V7:V19" si="1">T7+U7</f>
        <v>18</v>
      </c>
      <c r="W7" s="964">
        <f t="shared" ref="W7:W19" si="2">V7/$V$34</f>
        <v>7.3081607795371494E-3</v>
      </c>
    </row>
    <row r="8" spans="1:23" x14ac:dyDescent="0.25">
      <c r="A8" s="963" t="s">
        <v>747</v>
      </c>
      <c r="B8" s="1230">
        <v>14</v>
      </c>
      <c r="C8" s="1231">
        <v>4</v>
      </c>
      <c r="D8" s="1232">
        <v>47</v>
      </c>
      <c r="E8" s="1231">
        <v>151</v>
      </c>
      <c r="F8" s="1232">
        <v>0</v>
      </c>
      <c r="G8" s="1231">
        <v>2</v>
      </c>
      <c r="H8" s="1232">
        <v>3</v>
      </c>
      <c r="I8" s="1231">
        <v>1</v>
      </c>
      <c r="J8" s="1232">
        <v>0</v>
      </c>
      <c r="K8" s="1231">
        <v>0</v>
      </c>
      <c r="L8" s="1230">
        <v>4</v>
      </c>
      <c r="M8" s="1233">
        <v>2</v>
      </c>
      <c r="N8" s="1234">
        <v>82</v>
      </c>
      <c r="O8" s="1235">
        <v>212</v>
      </c>
      <c r="P8" s="1234">
        <v>9</v>
      </c>
      <c r="Q8" s="1235">
        <v>19</v>
      </c>
      <c r="R8" s="1236">
        <v>4</v>
      </c>
      <c r="S8" s="1239">
        <v>11</v>
      </c>
      <c r="T8" s="1238">
        <f t="shared" si="0"/>
        <v>163</v>
      </c>
      <c r="U8" s="1233">
        <f t="shared" si="0"/>
        <v>402</v>
      </c>
      <c r="V8" s="1231">
        <f t="shared" si="1"/>
        <v>565</v>
      </c>
      <c r="W8" s="964">
        <f t="shared" si="2"/>
        <v>0.2293950466910272</v>
      </c>
    </row>
    <row r="9" spans="1:23" x14ac:dyDescent="0.25">
      <c r="A9" s="963" t="s">
        <v>748</v>
      </c>
      <c r="B9" s="1230">
        <f t="shared" ref="B9:S9" si="3">+B8+B7</f>
        <v>16</v>
      </c>
      <c r="C9" s="1231">
        <f t="shared" si="3"/>
        <v>4</v>
      </c>
      <c r="D9" s="1232">
        <f t="shared" si="3"/>
        <v>47</v>
      </c>
      <c r="E9" s="1231">
        <f t="shared" si="3"/>
        <v>155</v>
      </c>
      <c r="F9" s="1232">
        <f t="shared" si="3"/>
        <v>0</v>
      </c>
      <c r="G9" s="1231">
        <f t="shared" si="3"/>
        <v>2</v>
      </c>
      <c r="H9" s="1232">
        <f t="shared" si="3"/>
        <v>3</v>
      </c>
      <c r="I9" s="1231">
        <f t="shared" si="3"/>
        <v>2</v>
      </c>
      <c r="J9" s="1232">
        <f t="shared" si="3"/>
        <v>0</v>
      </c>
      <c r="K9" s="1231">
        <f t="shared" si="3"/>
        <v>0</v>
      </c>
      <c r="L9" s="1232">
        <f t="shared" si="3"/>
        <v>4</v>
      </c>
      <c r="M9" s="1233">
        <f t="shared" si="3"/>
        <v>2</v>
      </c>
      <c r="N9" s="1232">
        <f t="shared" si="3"/>
        <v>85</v>
      </c>
      <c r="O9" s="1233">
        <f t="shared" si="3"/>
        <v>213</v>
      </c>
      <c r="P9" s="1232">
        <f t="shared" si="3"/>
        <v>15</v>
      </c>
      <c r="Q9" s="1233">
        <f t="shared" si="3"/>
        <v>20</v>
      </c>
      <c r="R9" s="1232">
        <f t="shared" si="3"/>
        <v>4</v>
      </c>
      <c r="S9" s="1239">
        <f t="shared" si="3"/>
        <v>11</v>
      </c>
      <c r="T9" s="1238">
        <f t="shared" si="0"/>
        <v>174</v>
      </c>
      <c r="U9" s="1233">
        <f t="shared" si="0"/>
        <v>409</v>
      </c>
      <c r="V9" s="1231">
        <f t="shared" si="1"/>
        <v>583</v>
      </c>
      <c r="W9" s="964">
        <f t="shared" si="2"/>
        <v>0.23670320747056436</v>
      </c>
    </row>
    <row r="10" spans="1:23" x14ac:dyDescent="0.25">
      <c r="A10" s="963" t="s">
        <v>990</v>
      </c>
      <c r="B10" s="1230">
        <v>20</v>
      </c>
      <c r="C10" s="1231">
        <v>3</v>
      </c>
      <c r="D10" s="1232">
        <v>34</v>
      </c>
      <c r="E10" s="1231">
        <v>106</v>
      </c>
      <c r="F10" s="1232">
        <v>0</v>
      </c>
      <c r="G10" s="1231">
        <v>1</v>
      </c>
      <c r="H10" s="1232">
        <v>5</v>
      </c>
      <c r="I10" s="1231">
        <v>0</v>
      </c>
      <c r="J10" s="1232">
        <v>0</v>
      </c>
      <c r="K10" s="1231">
        <v>1</v>
      </c>
      <c r="L10" s="1230">
        <v>0</v>
      </c>
      <c r="M10" s="1233">
        <v>6</v>
      </c>
      <c r="N10" s="1234">
        <v>94</v>
      </c>
      <c r="O10" s="1235">
        <v>228</v>
      </c>
      <c r="P10" s="1234">
        <v>3</v>
      </c>
      <c r="Q10" s="1235">
        <v>14</v>
      </c>
      <c r="R10" s="1236">
        <v>1</v>
      </c>
      <c r="S10" s="1239">
        <v>4</v>
      </c>
      <c r="T10" s="1238">
        <f t="shared" si="0"/>
        <v>157</v>
      </c>
      <c r="U10" s="1233">
        <f t="shared" si="0"/>
        <v>363</v>
      </c>
      <c r="V10" s="1231">
        <f t="shared" si="1"/>
        <v>520</v>
      </c>
      <c r="W10" s="964">
        <f t="shared" si="2"/>
        <v>0.21112464474218431</v>
      </c>
    </row>
    <row r="11" spans="1:23" x14ac:dyDescent="0.25">
      <c r="A11" s="963" t="s">
        <v>991</v>
      </c>
      <c r="B11" s="1230">
        <v>8</v>
      </c>
      <c r="C11" s="1231">
        <v>6</v>
      </c>
      <c r="D11" s="1232">
        <v>45</v>
      </c>
      <c r="E11" s="1231">
        <v>109</v>
      </c>
      <c r="F11" s="1232">
        <v>1</v>
      </c>
      <c r="G11" s="1231">
        <v>1</v>
      </c>
      <c r="H11" s="1232">
        <v>1</v>
      </c>
      <c r="I11" s="1231">
        <v>2</v>
      </c>
      <c r="J11" s="1232">
        <v>0</v>
      </c>
      <c r="K11" s="1231">
        <v>0</v>
      </c>
      <c r="L11" s="1230">
        <v>4</v>
      </c>
      <c r="M11" s="1233">
        <v>6</v>
      </c>
      <c r="N11" s="1234">
        <v>97</v>
      </c>
      <c r="O11" s="1235">
        <v>185</v>
      </c>
      <c r="P11" s="1234">
        <v>4</v>
      </c>
      <c r="Q11" s="1235">
        <v>9</v>
      </c>
      <c r="R11" s="1236">
        <v>2</v>
      </c>
      <c r="S11" s="1239">
        <v>7</v>
      </c>
      <c r="T11" s="1238">
        <f t="shared" si="0"/>
        <v>162</v>
      </c>
      <c r="U11" s="1233">
        <f t="shared" si="0"/>
        <v>325</v>
      </c>
      <c r="V11" s="1231">
        <f t="shared" si="1"/>
        <v>487</v>
      </c>
      <c r="W11" s="964">
        <f t="shared" si="2"/>
        <v>0.19772634997969957</v>
      </c>
    </row>
    <row r="12" spans="1:23" x14ac:dyDescent="0.25">
      <c r="A12" s="963" t="s">
        <v>992</v>
      </c>
      <c r="B12" s="1230">
        <v>11</v>
      </c>
      <c r="C12" s="1231">
        <v>5</v>
      </c>
      <c r="D12" s="1232">
        <v>42</v>
      </c>
      <c r="E12" s="1231">
        <v>137</v>
      </c>
      <c r="F12" s="1232">
        <v>0</v>
      </c>
      <c r="G12" s="1231">
        <v>0</v>
      </c>
      <c r="H12" s="1232">
        <v>2</v>
      </c>
      <c r="I12" s="1231">
        <v>1</v>
      </c>
      <c r="J12" s="1232">
        <v>0</v>
      </c>
      <c r="K12" s="1231">
        <v>0</v>
      </c>
      <c r="L12" s="1230">
        <v>3</v>
      </c>
      <c r="M12" s="1233">
        <v>1</v>
      </c>
      <c r="N12" s="1234">
        <v>112</v>
      </c>
      <c r="O12" s="1235">
        <v>249</v>
      </c>
      <c r="P12" s="1234">
        <v>5</v>
      </c>
      <c r="Q12" s="1235">
        <v>9</v>
      </c>
      <c r="R12" s="1236">
        <v>2</v>
      </c>
      <c r="S12" s="1239">
        <v>14</v>
      </c>
      <c r="T12" s="1238">
        <f t="shared" si="0"/>
        <v>177</v>
      </c>
      <c r="U12" s="1233">
        <f t="shared" si="0"/>
        <v>416</v>
      </c>
      <c r="V12" s="1231">
        <f t="shared" si="1"/>
        <v>593</v>
      </c>
      <c r="W12" s="964">
        <f t="shared" si="2"/>
        <v>0.24076329679252945</v>
      </c>
    </row>
    <row r="13" spans="1:23" x14ac:dyDescent="0.25">
      <c r="A13" s="1242" t="s">
        <v>993</v>
      </c>
      <c r="B13" s="1230">
        <v>3</v>
      </c>
      <c r="C13" s="1231">
        <v>4</v>
      </c>
      <c r="D13" s="1232">
        <v>0</v>
      </c>
      <c r="E13" s="1231">
        <v>0</v>
      </c>
      <c r="F13" s="1232">
        <v>0</v>
      </c>
      <c r="G13" s="1231">
        <v>0</v>
      </c>
      <c r="H13" s="1232">
        <v>3</v>
      </c>
      <c r="I13" s="1231">
        <v>8</v>
      </c>
      <c r="J13" s="1232">
        <v>0</v>
      </c>
      <c r="K13" s="1231">
        <v>0</v>
      </c>
      <c r="L13" s="1230">
        <v>0</v>
      </c>
      <c r="M13" s="1233">
        <v>0</v>
      </c>
      <c r="N13" s="1234">
        <v>2</v>
      </c>
      <c r="O13" s="1235">
        <v>2</v>
      </c>
      <c r="P13" s="1234">
        <v>0</v>
      </c>
      <c r="Q13" s="1235">
        <v>3</v>
      </c>
      <c r="R13" s="1236">
        <v>0</v>
      </c>
      <c r="S13" s="1239">
        <v>0</v>
      </c>
      <c r="T13" s="1238">
        <f t="shared" si="0"/>
        <v>8</v>
      </c>
      <c r="U13" s="1233">
        <f t="shared" si="0"/>
        <v>17</v>
      </c>
      <c r="V13" s="1231">
        <f t="shared" si="1"/>
        <v>25</v>
      </c>
      <c r="W13" s="964">
        <f t="shared" si="2"/>
        <v>1.0150223304912708E-2</v>
      </c>
    </row>
    <row r="14" spans="1:23" x14ac:dyDescent="0.25">
      <c r="A14" s="965" t="s">
        <v>994</v>
      </c>
      <c r="B14" s="1230">
        <f t="shared" ref="B14:U14" si="4">SUM(B9:B13)</f>
        <v>58</v>
      </c>
      <c r="C14" s="1231">
        <f t="shared" si="4"/>
        <v>22</v>
      </c>
      <c r="D14" s="1232">
        <f t="shared" si="4"/>
        <v>168</v>
      </c>
      <c r="E14" s="1231">
        <f t="shared" si="4"/>
        <v>507</v>
      </c>
      <c r="F14" s="1232">
        <f t="shared" si="4"/>
        <v>1</v>
      </c>
      <c r="G14" s="1231">
        <f t="shared" si="4"/>
        <v>4</v>
      </c>
      <c r="H14" s="1232">
        <f t="shared" si="4"/>
        <v>14</v>
      </c>
      <c r="I14" s="1231">
        <f t="shared" si="4"/>
        <v>13</v>
      </c>
      <c r="J14" s="1232">
        <f t="shared" si="4"/>
        <v>0</v>
      </c>
      <c r="K14" s="1231">
        <f t="shared" si="4"/>
        <v>1</v>
      </c>
      <c r="L14" s="1232">
        <f t="shared" si="4"/>
        <v>11</v>
      </c>
      <c r="M14" s="1233">
        <f t="shared" si="4"/>
        <v>15</v>
      </c>
      <c r="N14" s="1232">
        <f t="shared" si="4"/>
        <v>390</v>
      </c>
      <c r="O14" s="1233">
        <f t="shared" si="4"/>
        <v>877</v>
      </c>
      <c r="P14" s="1232">
        <f t="shared" si="4"/>
        <v>27</v>
      </c>
      <c r="Q14" s="1233">
        <f t="shared" si="4"/>
        <v>55</v>
      </c>
      <c r="R14" s="1232">
        <f t="shared" si="4"/>
        <v>9</v>
      </c>
      <c r="S14" s="1239">
        <f t="shared" si="4"/>
        <v>36</v>
      </c>
      <c r="T14" s="1240">
        <f t="shared" si="4"/>
        <v>678</v>
      </c>
      <c r="U14" s="1235">
        <f t="shared" si="4"/>
        <v>1530</v>
      </c>
      <c r="V14" s="1231">
        <f t="shared" si="1"/>
        <v>2208</v>
      </c>
      <c r="W14" s="964">
        <f t="shared" si="2"/>
        <v>0.89646772228989036</v>
      </c>
    </row>
    <row r="15" spans="1:23" x14ac:dyDescent="0.25">
      <c r="A15" s="965" t="s">
        <v>501</v>
      </c>
      <c r="B15" s="1230">
        <v>0</v>
      </c>
      <c r="C15" s="1231">
        <v>0</v>
      </c>
      <c r="D15" s="1232">
        <v>0</v>
      </c>
      <c r="E15" s="1231">
        <v>0</v>
      </c>
      <c r="F15" s="1232">
        <v>0</v>
      </c>
      <c r="G15" s="1231">
        <v>0</v>
      </c>
      <c r="H15" s="1232">
        <v>0</v>
      </c>
      <c r="I15" s="1231">
        <v>0</v>
      </c>
      <c r="J15" s="1232">
        <v>0</v>
      </c>
      <c r="K15" s="1231">
        <v>0</v>
      </c>
      <c r="L15" s="1230">
        <v>0</v>
      </c>
      <c r="M15" s="1233">
        <v>0</v>
      </c>
      <c r="N15" s="1234">
        <v>0</v>
      </c>
      <c r="O15" s="1235">
        <v>0</v>
      </c>
      <c r="P15" s="1234">
        <v>0</v>
      </c>
      <c r="Q15" s="1235">
        <v>0</v>
      </c>
      <c r="R15" s="1236">
        <v>0</v>
      </c>
      <c r="S15" s="1239">
        <v>0</v>
      </c>
      <c r="T15" s="1238">
        <f t="shared" ref="T15:U17" si="5">B15+D15+F15+H15+J15+L15+R15+N15+P15</f>
        <v>0</v>
      </c>
      <c r="U15" s="1233">
        <f t="shared" si="5"/>
        <v>0</v>
      </c>
      <c r="V15" s="1231">
        <f t="shared" si="1"/>
        <v>0</v>
      </c>
      <c r="W15" s="964">
        <f t="shared" si="2"/>
        <v>0</v>
      </c>
    </row>
    <row r="16" spans="1:23" x14ac:dyDescent="0.25">
      <c r="A16" s="963" t="s">
        <v>502</v>
      </c>
      <c r="B16" s="1230">
        <v>0</v>
      </c>
      <c r="C16" s="1231">
        <v>0</v>
      </c>
      <c r="D16" s="1232">
        <v>0</v>
      </c>
      <c r="E16" s="1231">
        <v>0</v>
      </c>
      <c r="F16" s="1232">
        <v>0</v>
      </c>
      <c r="G16" s="1231">
        <v>0</v>
      </c>
      <c r="H16" s="1232">
        <v>0</v>
      </c>
      <c r="I16" s="1231">
        <v>0</v>
      </c>
      <c r="J16" s="1232">
        <v>0</v>
      </c>
      <c r="K16" s="1231">
        <v>0</v>
      </c>
      <c r="L16" s="1230">
        <v>0</v>
      </c>
      <c r="M16" s="1233">
        <v>0</v>
      </c>
      <c r="N16" s="1234">
        <v>0</v>
      </c>
      <c r="O16" s="1235">
        <v>0</v>
      </c>
      <c r="P16" s="1234">
        <v>0</v>
      </c>
      <c r="Q16" s="1235">
        <v>0</v>
      </c>
      <c r="R16" s="1236">
        <v>0</v>
      </c>
      <c r="S16" s="1239">
        <v>0</v>
      </c>
      <c r="T16" s="1238">
        <f t="shared" si="5"/>
        <v>0</v>
      </c>
      <c r="U16" s="1233">
        <f t="shared" si="5"/>
        <v>0</v>
      </c>
      <c r="V16" s="1231">
        <f t="shared" si="1"/>
        <v>0</v>
      </c>
      <c r="W16" s="964">
        <f t="shared" si="2"/>
        <v>0</v>
      </c>
    </row>
    <row r="17" spans="1:23" x14ac:dyDescent="0.25">
      <c r="A17" s="963" t="s">
        <v>1001</v>
      </c>
      <c r="B17" s="1230">
        <v>0</v>
      </c>
      <c r="C17" s="1231">
        <v>0</v>
      </c>
      <c r="D17" s="1232">
        <v>0</v>
      </c>
      <c r="E17" s="1231">
        <v>0</v>
      </c>
      <c r="F17" s="1232">
        <v>0</v>
      </c>
      <c r="G17" s="1231">
        <v>0</v>
      </c>
      <c r="H17" s="1232">
        <v>0</v>
      </c>
      <c r="I17" s="1231">
        <v>0</v>
      </c>
      <c r="J17" s="1232">
        <v>0</v>
      </c>
      <c r="K17" s="1231">
        <v>0</v>
      </c>
      <c r="L17" s="1230">
        <v>0</v>
      </c>
      <c r="M17" s="1233">
        <v>0</v>
      </c>
      <c r="N17" s="1234">
        <v>0</v>
      </c>
      <c r="O17" s="1235">
        <v>0</v>
      </c>
      <c r="P17" s="1234">
        <v>0</v>
      </c>
      <c r="Q17" s="1235">
        <v>0</v>
      </c>
      <c r="R17" s="1236">
        <v>0</v>
      </c>
      <c r="S17" s="1239">
        <v>0</v>
      </c>
      <c r="T17" s="1238">
        <f t="shared" si="5"/>
        <v>0</v>
      </c>
      <c r="U17" s="1233">
        <f t="shared" si="5"/>
        <v>0</v>
      </c>
      <c r="V17" s="1231">
        <f t="shared" si="1"/>
        <v>0</v>
      </c>
      <c r="W17" s="964">
        <f t="shared" si="2"/>
        <v>0</v>
      </c>
    </row>
    <row r="18" spans="1:23" x14ac:dyDescent="0.25">
      <c r="A18" s="965" t="s">
        <v>997</v>
      </c>
      <c r="B18" s="1230">
        <f t="shared" ref="B18:U18" si="6">SUM(B15:B17)</f>
        <v>0</v>
      </c>
      <c r="C18" s="1235">
        <f t="shared" si="6"/>
        <v>0</v>
      </c>
      <c r="D18" s="1230">
        <f t="shared" si="6"/>
        <v>0</v>
      </c>
      <c r="E18" s="1235">
        <f t="shared" si="6"/>
        <v>0</v>
      </c>
      <c r="F18" s="1230">
        <f t="shared" si="6"/>
        <v>0</v>
      </c>
      <c r="G18" s="1235">
        <f t="shared" si="6"/>
        <v>0</v>
      </c>
      <c r="H18" s="1230">
        <f t="shared" si="6"/>
        <v>0</v>
      </c>
      <c r="I18" s="1235">
        <f t="shared" si="6"/>
        <v>0</v>
      </c>
      <c r="J18" s="1230">
        <f t="shared" si="6"/>
        <v>0</v>
      </c>
      <c r="K18" s="1235">
        <f t="shared" si="6"/>
        <v>0</v>
      </c>
      <c r="L18" s="1230">
        <f t="shared" si="6"/>
        <v>0</v>
      </c>
      <c r="M18" s="1235">
        <f t="shared" ref="M18:S18" si="7">SUM(M15:M17)</f>
        <v>0</v>
      </c>
      <c r="N18" s="1230">
        <f t="shared" si="7"/>
        <v>0</v>
      </c>
      <c r="O18" s="1235">
        <f t="shared" si="7"/>
        <v>0</v>
      </c>
      <c r="P18" s="1230">
        <f t="shared" si="7"/>
        <v>0</v>
      </c>
      <c r="Q18" s="1235">
        <f t="shared" si="7"/>
        <v>0</v>
      </c>
      <c r="R18" s="1230">
        <f t="shared" si="7"/>
        <v>0</v>
      </c>
      <c r="S18" s="1237">
        <f t="shared" si="7"/>
        <v>0</v>
      </c>
      <c r="T18" s="1238">
        <f t="shared" si="6"/>
        <v>0</v>
      </c>
      <c r="U18" s="1235">
        <f t="shared" si="6"/>
        <v>0</v>
      </c>
      <c r="V18" s="1231">
        <f t="shared" si="1"/>
        <v>0</v>
      </c>
      <c r="W18" s="964">
        <f t="shared" si="2"/>
        <v>0</v>
      </c>
    </row>
    <row r="19" spans="1:23" ht="15" customHeight="1" x14ac:dyDescent="0.25">
      <c r="A19" s="426" t="s">
        <v>998</v>
      </c>
      <c r="B19" s="116">
        <f t="shared" ref="B19:S19" si="8">B14+B18</f>
        <v>58</v>
      </c>
      <c r="C19" s="115">
        <f t="shared" si="8"/>
        <v>22</v>
      </c>
      <c r="D19" s="114">
        <f t="shared" si="8"/>
        <v>168</v>
      </c>
      <c r="E19" s="115">
        <f t="shared" si="8"/>
        <v>507</v>
      </c>
      <c r="F19" s="114">
        <f t="shared" si="8"/>
        <v>1</v>
      </c>
      <c r="G19" s="115">
        <f t="shared" si="8"/>
        <v>4</v>
      </c>
      <c r="H19" s="114">
        <f t="shared" si="8"/>
        <v>14</v>
      </c>
      <c r="I19" s="115">
        <f t="shared" si="8"/>
        <v>13</v>
      </c>
      <c r="J19" s="114">
        <f t="shared" si="8"/>
        <v>0</v>
      </c>
      <c r="K19" s="115">
        <f t="shared" si="8"/>
        <v>1</v>
      </c>
      <c r="L19" s="116">
        <f t="shared" si="8"/>
        <v>11</v>
      </c>
      <c r="M19" s="893">
        <f t="shared" si="8"/>
        <v>15</v>
      </c>
      <c r="N19" s="116">
        <f t="shared" si="8"/>
        <v>390</v>
      </c>
      <c r="O19" s="893">
        <f t="shared" si="8"/>
        <v>877</v>
      </c>
      <c r="P19" s="116">
        <f t="shared" si="8"/>
        <v>27</v>
      </c>
      <c r="Q19" s="893">
        <f t="shared" si="8"/>
        <v>55</v>
      </c>
      <c r="R19" s="116">
        <f t="shared" si="8"/>
        <v>9</v>
      </c>
      <c r="S19" s="341">
        <f t="shared" si="8"/>
        <v>36</v>
      </c>
      <c r="T19" s="590">
        <f>B19+D19+F19+H19+J19+L19+R19+N19+P19</f>
        <v>678</v>
      </c>
      <c r="U19" s="948">
        <f>C19+E19+G19+I19+K19+M19+S19+O19+Q19</f>
        <v>1530</v>
      </c>
      <c r="V19" s="115">
        <f t="shared" si="1"/>
        <v>2208</v>
      </c>
      <c r="W19" s="966">
        <f t="shared" si="2"/>
        <v>0.89646772228989036</v>
      </c>
    </row>
    <row r="20" spans="1:23" ht="30" customHeight="1" x14ac:dyDescent="0.25">
      <c r="A20" s="425" t="s">
        <v>999</v>
      </c>
      <c r="B20" s="316"/>
      <c r="C20" s="315"/>
      <c r="D20" s="314"/>
      <c r="E20" s="315"/>
      <c r="F20" s="314"/>
      <c r="G20" s="315"/>
      <c r="H20" s="314"/>
      <c r="I20" s="315"/>
      <c r="J20" s="314"/>
      <c r="K20" s="315"/>
      <c r="L20" s="316"/>
      <c r="M20" s="892"/>
      <c r="N20" s="316"/>
      <c r="O20" s="892"/>
      <c r="P20" s="316"/>
      <c r="Q20" s="892"/>
      <c r="R20" s="316"/>
      <c r="S20" s="967"/>
      <c r="T20" s="598"/>
      <c r="U20" s="892"/>
      <c r="V20" s="315"/>
      <c r="W20" s="317"/>
    </row>
    <row r="21" spans="1:23" x14ac:dyDescent="0.25">
      <c r="A21" s="963" t="s">
        <v>746</v>
      </c>
      <c r="B21" s="1230">
        <v>0</v>
      </c>
      <c r="C21" s="1231">
        <v>0</v>
      </c>
      <c r="D21" s="1232">
        <v>0</v>
      </c>
      <c r="E21" s="1231">
        <v>0</v>
      </c>
      <c r="F21" s="1232">
        <v>0</v>
      </c>
      <c r="G21" s="1231">
        <v>0</v>
      </c>
      <c r="H21" s="1232">
        <v>0</v>
      </c>
      <c r="I21" s="1231">
        <v>0</v>
      </c>
      <c r="J21" s="1232">
        <v>0</v>
      </c>
      <c r="K21" s="1231">
        <v>0</v>
      </c>
      <c r="L21" s="1230">
        <v>0</v>
      </c>
      <c r="M21" s="1233">
        <v>0</v>
      </c>
      <c r="N21" s="1230">
        <v>0</v>
      </c>
      <c r="O21" s="1233">
        <v>0</v>
      </c>
      <c r="P21" s="1230">
        <v>0</v>
      </c>
      <c r="Q21" s="1233">
        <v>0</v>
      </c>
      <c r="R21" s="1230">
        <v>0</v>
      </c>
      <c r="S21" s="1239">
        <v>0</v>
      </c>
      <c r="T21" s="1238">
        <f>B21+D21+F21+H21+J21+L21+R21+N21+P21</f>
        <v>0</v>
      </c>
      <c r="U21" s="1233">
        <f>C21+E21+G21+I21+K21+M21+S21+O21+Q21</f>
        <v>0</v>
      </c>
      <c r="V21" s="1231">
        <f t="shared" ref="V21:V27" si="9">T21+U21</f>
        <v>0</v>
      </c>
      <c r="W21" s="964">
        <f t="shared" ref="W21:W33" si="10">V21/$V$34</f>
        <v>0</v>
      </c>
    </row>
    <row r="22" spans="1:23" x14ac:dyDescent="0.25">
      <c r="A22" s="963" t="s">
        <v>747</v>
      </c>
      <c r="B22" s="1230">
        <v>0</v>
      </c>
      <c r="C22" s="1231">
        <v>0</v>
      </c>
      <c r="D22" s="1232">
        <v>2</v>
      </c>
      <c r="E22" s="1231">
        <v>2</v>
      </c>
      <c r="F22" s="1232">
        <v>0</v>
      </c>
      <c r="G22" s="1231">
        <v>0</v>
      </c>
      <c r="H22" s="1232">
        <v>0</v>
      </c>
      <c r="I22" s="1231">
        <v>0</v>
      </c>
      <c r="J22" s="1232">
        <v>0</v>
      </c>
      <c r="K22" s="1231">
        <v>0</v>
      </c>
      <c r="L22" s="1230">
        <v>0</v>
      </c>
      <c r="M22" s="1233">
        <v>0</v>
      </c>
      <c r="N22" s="1230">
        <v>1</v>
      </c>
      <c r="O22" s="1233">
        <v>0</v>
      </c>
      <c r="P22" s="1230">
        <v>0</v>
      </c>
      <c r="Q22" s="1233">
        <v>0</v>
      </c>
      <c r="R22" s="1230">
        <v>0</v>
      </c>
      <c r="S22" s="1239">
        <v>0</v>
      </c>
      <c r="T22" s="1238">
        <f>B22+D22+F22+H22+J22+L22+R22+N22+P22</f>
        <v>3</v>
      </c>
      <c r="U22" s="1233">
        <f>C22+E22+G22+I22+K22+M22+S22+O22+Q22</f>
        <v>2</v>
      </c>
      <c r="V22" s="1231">
        <f t="shared" si="9"/>
        <v>5</v>
      </c>
      <c r="W22" s="964">
        <f t="shared" si="10"/>
        <v>2.0300446609825416E-3</v>
      </c>
    </row>
    <row r="23" spans="1:23" x14ac:dyDescent="0.25">
      <c r="A23" s="963" t="s">
        <v>748</v>
      </c>
      <c r="B23" s="1230">
        <f t="shared" ref="B23:S23" si="11">+B22+B21</f>
        <v>0</v>
      </c>
      <c r="C23" s="1231">
        <f t="shared" si="11"/>
        <v>0</v>
      </c>
      <c r="D23" s="1230">
        <f t="shared" si="11"/>
        <v>2</v>
      </c>
      <c r="E23" s="1235">
        <f t="shared" si="11"/>
        <v>2</v>
      </c>
      <c r="F23" s="1230">
        <f t="shared" si="11"/>
        <v>0</v>
      </c>
      <c r="G23" s="1231">
        <f t="shared" si="11"/>
        <v>0</v>
      </c>
      <c r="H23" s="1232">
        <f t="shared" si="11"/>
        <v>0</v>
      </c>
      <c r="I23" s="1231">
        <f t="shared" si="11"/>
        <v>0</v>
      </c>
      <c r="J23" s="1232">
        <f t="shared" si="11"/>
        <v>0</v>
      </c>
      <c r="K23" s="1231">
        <f t="shared" si="11"/>
        <v>0</v>
      </c>
      <c r="L23" s="1232">
        <f t="shared" si="11"/>
        <v>0</v>
      </c>
      <c r="M23" s="1233">
        <f t="shared" si="11"/>
        <v>0</v>
      </c>
      <c r="N23" s="1232">
        <f t="shared" si="11"/>
        <v>1</v>
      </c>
      <c r="O23" s="1233">
        <f t="shared" si="11"/>
        <v>0</v>
      </c>
      <c r="P23" s="1232">
        <f t="shared" si="11"/>
        <v>0</v>
      </c>
      <c r="Q23" s="1233">
        <f t="shared" si="11"/>
        <v>0</v>
      </c>
      <c r="R23" s="1232">
        <f t="shared" si="11"/>
        <v>0</v>
      </c>
      <c r="S23" s="1239">
        <f t="shared" si="11"/>
        <v>0</v>
      </c>
      <c r="T23" s="1238">
        <f>SUM(T20:T22)</f>
        <v>3</v>
      </c>
      <c r="U23" s="1235">
        <f>SUM(U20:U22)</f>
        <v>2</v>
      </c>
      <c r="V23" s="1231">
        <f t="shared" si="9"/>
        <v>5</v>
      </c>
      <c r="W23" s="964">
        <f t="shared" si="10"/>
        <v>2.0300446609825416E-3</v>
      </c>
    </row>
    <row r="24" spans="1:23" x14ac:dyDescent="0.25">
      <c r="A24" s="963" t="s">
        <v>990</v>
      </c>
      <c r="B24" s="1230">
        <v>0</v>
      </c>
      <c r="C24" s="1231">
        <v>0</v>
      </c>
      <c r="D24" s="1232">
        <v>0</v>
      </c>
      <c r="E24" s="1231">
        <v>4</v>
      </c>
      <c r="F24" s="1232">
        <v>0</v>
      </c>
      <c r="G24" s="1231">
        <v>0</v>
      </c>
      <c r="H24" s="1232">
        <v>0</v>
      </c>
      <c r="I24" s="1231">
        <v>0</v>
      </c>
      <c r="J24" s="1232">
        <v>0</v>
      </c>
      <c r="K24" s="1231">
        <v>0</v>
      </c>
      <c r="L24" s="1230">
        <v>0</v>
      </c>
      <c r="M24" s="1233">
        <v>0</v>
      </c>
      <c r="N24" s="1230">
        <v>3</v>
      </c>
      <c r="O24" s="1233">
        <v>3</v>
      </c>
      <c r="P24" s="1230">
        <v>0</v>
      </c>
      <c r="Q24" s="1233">
        <v>3</v>
      </c>
      <c r="R24" s="1230">
        <v>0</v>
      </c>
      <c r="S24" s="1239">
        <v>0</v>
      </c>
      <c r="T24" s="1238">
        <f t="shared" ref="T24:U27" si="12">B24+D24+F24+H24+J24+L24+R24+N24+P24</f>
        <v>3</v>
      </c>
      <c r="U24" s="1233">
        <f t="shared" si="12"/>
        <v>10</v>
      </c>
      <c r="V24" s="1231">
        <f t="shared" si="9"/>
        <v>13</v>
      </c>
      <c r="W24" s="964">
        <f t="shared" si="10"/>
        <v>5.2781161185546082E-3</v>
      </c>
    </row>
    <row r="25" spans="1:23" x14ac:dyDescent="0.25">
      <c r="A25" s="963" t="s">
        <v>991</v>
      </c>
      <c r="B25" s="1230">
        <v>1</v>
      </c>
      <c r="C25" s="1231">
        <v>0</v>
      </c>
      <c r="D25" s="1232">
        <v>2</v>
      </c>
      <c r="E25" s="1231">
        <v>3</v>
      </c>
      <c r="F25" s="1232">
        <v>0</v>
      </c>
      <c r="G25" s="1231">
        <v>0</v>
      </c>
      <c r="H25" s="1232">
        <v>0</v>
      </c>
      <c r="I25" s="1231">
        <v>0</v>
      </c>
      <c r="J25" s="1232">
        <v>0</v>
      </c>
      <c r="K25" s="1231">
        <v>0</v>
      </c>
      <c r="L25" s="1230">
        <v>0</v>
      </c>
      <c r="M25" s="1233">
        <v>0</v>
      </c>
      <c r="N25" s="1230">
        <v>1</v>
      </c>
      <c r="O25" s="1233">
        <v>12</v>
      </c>
      <c r="P25" s="1230">
        <v>1</v>
      </c>
      <c r="Q25" s="1233">
        <v>2</v>
      </c>
      <c r="R25" s="1230">
        <v>0</v>
      </c>
      <c r="S25" s="1239">
        <v>1</v>
      </c>
      <c r="T25" s="1238">
        <f t="shared" si="12"/>
        <v>5</v>
      </c>
      <c r="U25" s="1233">
        <f t="shared" si="12"/>
        <v>18</v>
      </c>
      <c r="V25" s="1231">
        <f t="shared" si="9"/>
        <v>23</v>
      </c>
      <c r="W25" s="964">
        <f t="shared" si="10"/>
        <v>9.3382054405196906E-3</v>
      </c>
    </row>
    <row r="26" spans="1:23" x14ac:dyDescent="0.25">
      <c r="A26" s="963" t="s">
        <v>992</v>
      </c>
      <c r="B26" s="1230">
        <v>0</v>
      </c>
      <c r="C26" s="1231">
        <v>0</v>
      </c>
      <c r="D26" s="1232">
        <v>7</v>
      </c>
      <c r="E26" s="1231">
        <v>18</v>
      </c>
      <c r="F26" s="1232">
        <v>0</v>
      </c>
      <c r="G26" s="1231">
        <v>0</v>
      </c>
      <c r="H26" s="1232">
        <v>0</v>
      </c>
      <c r="I26" s="1231">
        <v>1</v>
      </c>
      <c r="J26" s="1232">
        <v>1</v>
      </c>
      <c r="K26" s="1231">
        <v>0</v>
      </c>
      <c r="L26" s="1230">
        <v>1</v>
      </c>
      <c r="M26" s="1233">
        <v>2</v>
      </c>
      <c r="N26" s="1230">
        <v>29</v>
      </c>
      <c r="O26" s="1233">
        <v>51</v>
      </c>
      <c r="P26" s="1230">
        <v>5</v>
      </c>
      <c r="Q26" s="1233">
        <v>8</v>
      </c>
      <c r="R26" s="1230">
        <v>2</v>
      </c>
      <c r="S26" s="1239">
        <v>0</v>
      </c>
      <c r="T26" s="1238">
        <f t="shared" si="12"/>
        <v>45</v>
      </c>
      <c r="U26" s="1233">
        <f t="shared" si="12"/>
        <v>80</v>
      </c>
      <c r="V26" s="1231">
        <f t="shared" si="9"/>
        <v>125</v>
      </c>
      <c r="W26" s="964">
        <f t="shared" si="10"/>
        <v>5.0751116524563537E-2</v>
      </c>
    </row>
    <row r="27" spans="1:23" x14ac:dyDescent="0.25">
      <c r="A27" s="1242" t="s">
        <v>993</v>
      </c>
      <c r="B27" s="1230">
        <v>0</v>
      </c>
      <c r="C27" s="1231">
        <v>0</v>
      </c>
      <c r="D27" s="1232">
        <v>1</v>
      </c>
      <c r="E27" s="1231">
        <v>2</v>
      </c>
      <c r="F27" s="1232">
        <v>0</v>
      </c>
      <c r="G27" s="1231">
        <v>0</v>
      </c>
      <c r="H27" s="1232">
        <v>0</v>
      </c>
      <c r="I27" s="1231">
        <v>0</v>
      </c>
      <c r="J27" s="1232">
        <v>0</v>
      </c>
      <c r="K27" s="1231">
        <v>1</v>
      </c>
      <c r="L27" s="1230">
        <v>0</v>
      </c>
      <c r="M27" s="1233">
        <v>3</v>
      </c>
      <c r="N27" s="1230">
        <v>4</v>
      </c>
      <c r="O27" s="1233">
        <v>7</v>
      </c>
      <c r="P27" s="1230">
        <v>4</v>
      </c>
      <c r="Q27" s="1233">
        <v>14</v>
      </c>
      <c r="R27" s="1230">
        <v>0</v>
      </c>
      <c r="S27" s="1239">
        <v>0</v>
      </c>
      <c r="T27" s="1238">
        <f t="shared" si="12"/>
        <v>9</v>
      </c>
      <c r="U27" s="1233">
        <f t="shared" si="12"/>
        <v>27</v>
      </c>
      <c r="V27" s="1231">
        <f t="shared" si="9"/>
        <v>36</v>
      </c>
      <c r="W27" s="964">
        <f t="shared" si="10"/>
        <v>1.4616321559074299E-2</v>
      </c>
    </row>
    <row r="28" spans="1:23" x14ac:dyDescent="0.25">
      <c r="A28" s="965" t="s">
        <v>994</v>
      </c>
      <c r="B28" s="1232">
        <f t="shared" ref="B28:U28" si="13">SUM(B23:B27)</f>
        <v>1</v>
      </c>
      <c r="C28" s="1231">
        <f t="shared" si="13"/>
        <v>0</v>
      </c>
      <c r="D28" s="1232">
        <f t="shared" si="13"/>
        <v>12</v>
      </c>
      <c r="E28" s="1231">
        <f t="shared" si="13"/>
        <v>29</v>
      </c>
      <c r="F28" s="1232">
        <f t="shared" si="13"/>
        <v>0</v>
      </c>
      <c r="G28" s="1231">
        <f t="shared" si="13"/>
        <v>0</v>
      </c>
      <c r="H28" s="1232">
        <f t="shared" si="13"/>
        <v>0</v>
      </c>
      <c r="I28" s="1231">
        <f t="shared" si="13"/>
        <v>1</v>
      </c>
      <c r="J28" s="1232">
        <f t="shared" si="13"/>
        <v>1</v>
      </c>
      <c r="K28" s="1231">
        <f t="shared" si="13"/>
        <v>1</v>
      </c>
      <c r="L28" s="1232">
        <f t="shared" si="13"/>
        <v>1</v>
      </c>
      <c r="M28" s="1233">
        <f t="shared" si="13"/>
        <v>5</v>
      </c>
      <c r="N28" s="1232">
        <f t="shared" si="13"/>
        <v>38</v>
      </c>
      <c r="O28" s="1233">
        <f t="shared" si="13"/>
        <v>73</v>
      </c>
      <c r="P28" s="1232">
        <f t="shared" si="13"/>
        <v>10</v>
      </c>
      <c r="Q28" s="1233">
        <f t="shared" si="13"/>
        <v>27</v>
      </c>
      <c r="R28" s="1232">
        <f t="shared" si="13"/>
        <v>2</v>
      </c>
      <c r="S28" s="1239">
        <f t="shared" si="13"/>
        <v>1</v>
      </c>
      <c r="T28" s="1240">
        <f t="shared" si="13"/>
        <v>65</v>
      </c>
      <c r="U28" s="1235">
        <f t="shared" si="13"/>
        <v>137</v>
      </c>
      <c r="V28" s="1241">
        <f>+U28+T28</f>
        <v>202</v>
      </c>
      <c r="W28" s="964">
        <f t="shared" si="10"/>
        <v>8.2013804303694676E-2</v>
      </c>
    </row>
    <row r="29" spans="1:23" x14ac:dyDescent="0.25">
      <c r="A29" s="1242" t="s">
        <v>501</v>
      </c>
      <c r="B29" s="1230">
        <v>0</v>
      </c>
      <c r="C29" s="1231">
        <v>0</v>
      </c>
      <c r="D29" s="1232">
        <v>0</v>
      </c>
      <c r="E29" s="1231">
        <v>2</v>
      </c>
      <c r="F29" s="1232">
        <v>0</v>
      </c>
      <c r="G29" s="1231">
        <v>0</v>
      </c>
      <c r="H29" s="1232">
        <v>0</v>
      </c>
      <c r="I29" s="1231">
        <v>0</v>
      </c>
      <c r="J29" s="1232">
        <v>0</v>
      </c>
      <c r="K29" s="1231">
        <v>0</v>
      </c>
      <c r="L29" s="1230">
        <v>0</v>
      </c>
      <c r="M29" s="1233">
        <v>0</v>
      </c>
      <c r="N29" s="1230">
        <v>2</v>
      </c>
      <c r="O29" s="1233">
        <v>9</v>
      </c>
      <c r="P29" s="1230">
        <v>0</v>
      </c>
      <c r="Q29" s="1233">
        <v>0</v>
      </c>
      <c r="R29" s="1230">
        <v>0</v>
      </c>
      <c r="S29" s="1239">
        <v>0</v>
      </c>
      <c r="T29" s="1238">
        <f t="shared" ref="T29:U31" si="14">B29+D29+F29+H29+J29+L29+R29+N29+P29</f>
        <v>2</v>
      </c>
      <c r="U29" s="1233">
        <f t="shared" si="14"/>
        <v>11</v>
      </c>
      <c r="V29" s="1241">
        <f>+U29+T29</f>
        <v>13</v>
      </c>
      <c r="W29" s="964">
        <f t="shared" si="10"/>
        <v>5.2781161185546082E-3</v>
      </c>
    </row>
    <row r="30" spans="1:23" x14ac:dyDescent="0.25">
      <c r="A30" s="1242" t="s">
        <v>502</v>
      </c>
      <c r="B30" s="1230">
        <v>1</v>
      </c>
      <c r="C30" s="1231">
        <v>0</v>
      </c>
      <c r="D30" s="1232">
        <v>1</v>
      </c>
      <c r="E30" s="1231">
        <v>3</v>
      </c>
      <c r="F30" s="1232">
        <v>0</v>
      </c>
      <c r="G30" s="1231">
        <v>0</v>
      </c>
      <c r="H30" s="1232">
        <v>0</v>
      </c>
      <c r="I30" s="1231">
        <v>0</v>
      </c>
      <c r="J30" s="1232">
        <v>0</v>
      </c>
      <c r="K30" s="1231">
        <v>0</v>
      </c>
      <c r="L30" s="1230">
        <v>0</v>
      </c>
      <c r="M30" s="1233">
        <v>0</v>
      </c>
      <c r="N30" s="1230">
        <v>6</v>
      </c>
      <c r="O30" s="1233">
        <v>17</v>
      </c>
      <c r="P30" s="1230">
        <v>1</v>
      </c>
      <c r="Q30" s="1233">
        <v>0</v>
      </c>
      <c r="R30" s="1230">
        <v>0</v>
      </c>
      <c r="S30" s="1239">
        <v>0</v>
      </c>
      <c r="T30" s="1238">
        <f t="shared" si="14"/>
        <v>9</v>
      </c>
      <c r="U30" s="1233">
        <f t="shared" si="14"/>
        <v>20</v>
      </c>
      <c r="V30" s="1231">
        <f>T30+U30</f>
        <v>29</v>
      </c>
      <c r="W30" s="964">
        <f t="shared" si="10"/>
        <v>1.1774259033698742E-2</v>
      </c>
    </row>
    <row r="31" spans="1:23" x14ac:dyDescent="0.25">
      <c r="A31" s="1242" t="s">
        <v>1001</v>
      </c>
      <c r="B31" s="1230">
        <v>0</v>
      </c>
      <c r="C31" s="1231">
        <v>0</v>
      </c>
      <c r="D31" s="1232">
        <v>0</v>
      </c>
      <c r="E31" s="1231">
        <v>1</v>
      </c>
      <c r="F31" s="1232">
        <v>0</v>
      </c>
      <c r="G31" s="1231">
        <v>0</v>
      </c>
      <c r="H31" s="1232">
        <v>0</v>
      </c>
      <c r="I31" s="1231">
        <v>0</v>
      </c>
      <c r="J31" s="1232">
        <v>0</v>
      </c>
      <c r="K31" s="1231">
        <v>0</v>
      </c>
      <c r="L31" s="1230">
        <v>0</v>
      </c>
      <c r="M31" s="1233">
        <v>0</v>
      </c>
      <c r="N31" s="1230">
        <v>1</v>
      </c>
      <c r="O31" s="1233">
        <v>6</v>
      </c>
      <c r="P31" s="1230">
        <v>0</v>
      </c>
      <c r="Q31" s="1233">
        <v>3</v>
      </c>
      <c r="R31" s="1230">
        <v>0</v>
      </c>
      <c r="S31" s="1239">
        <v>0</v>
      </c>
      <c r="T31" s="1238">
        <f t="shared" si="14"/>
        <v>1</v>
      </c>
      <c r="U31" s="1233">
        <f t="shared" si="14"/>
        <v>10</v>
      </c>
      <c r="V31" s="1231">
        <f>T31+U31</f>
        <v>11</v>
      </c>
      <c r="W31" s="964">
        <f t="shared" si="10"/>
        <v>4.4660982541615919E-3</v>
      </c>
    </row>
    <row r="32" spans="1:23" x14ac:dyDescent="0.25">
      <c r="A32" s="1242" t="s">
        <v>997</v>
      </c>
      <c r="B32" s="934">
        <f t="shared" ref="B32:U32" si="15">SUM(B29:B31)</f>
        <v>1</v>
      </c>
      <c r="C32" s="937">
        <f t="shared" si="15"/>
        <v>0</v>
      </c>
      <c r="D32" s="934">
        <f t="shared" si="15"/>
        <v>1</v>
      </c>
      <c r="E32" s="937">
        <f t="shared" si="15"/>
        <v>6</v>
      </c>
      <c r="F32" s="934">
        <f t="shared" si="15"/>
        <v>0</v>
      </c>
      <c r="G32" s="937">
        <f t="shared" si="15"/>
        <v>0</v>
      </c>
      <c r="H32" s="934">
        <f t="shared" si="15"/>
        <v>0</v>
      </c>
      <c r="I32" s="937">
        <f t="shared" si="15"/>
        <v>0</v>
      </c>
      <c r="J32" s="934">
        <f t="shared" si="15"/>
        <v>0</v>
      </c>
      <c r="K32" s="937">
        <f t="shared" si="15"/>
        <v>0</v>
      </c>
      <c r="L32" s="934">
        <f t="shared" si="15"/>
        <v>0</v>
      </c>
      <c r="M32" s="938">
        <f t="shared" si="15"/>
        <v>0</v>
      </c>
      <c r="N32" s="934">
        <f t="shared" si="15"/>
        <v>9</v>
      </c>
      <c r="O32" s="938">
        <f t="shared" si="15"/>
        <v>32</v>
      </c>
      <c r="P32" s="934">
        <f t="shared" si="15"/>
        <v>1</v>
      </c>
      <c r="Q32" s="938">
        <f t="shared" si="15"/>
        <v>3</v>
      </c>
      <c r="R32" s="934">
        <f t="shared" si="15"/>
        <v>0</v>
      </c>
      <c r="S32" s="946">
        <f t="shared" si="15"/>
        <v>0</v>
      </c>
      <c r="T32" s="931">
        <f t="shared" si="15"/>
        <v>12</v>
      </c>
      <c r="U32" s="938">
        <f t="shared" si="15"/>
        <v>41</v>
      </c>
      <c r="V32" s="937">
        <f>T32+U32</f>
        <v>53</v>
      </c>
      <c r="W32" s="964">
        <f t="shared" si="10"/>
        <v>2.151847340641494E-2</v>
      </c>
    </row>
    <row r="33" spans="1:23" ht="15" customHeight="1" x14ac:dyDescent="0.25">
      <c r="A33" s="426" t="s">
        <v>1002</v>
      </c>
      <c r="B33" s="116">
        <f t="shared" ref="B33:U33" si="16">B28+B32</f>
        <v>2</v>
      </c>
      <c r="C33" s="115">
        <f t="shared" si="16"/>
        <v>0</v>
      </c>
      <c r="D33" s="114">
        <f t="shared" si="16"/>
        <v>13</v>
      </c>
      <c r="E33" s="115">
        <f t="shared" si="16"/>
        <v>35</v>
      </c>
      <c r="F33" s="114">
        <f t="shared" si="16"/>
        <v>0</v>
      </c>
      <c r="G33" s="115">
        <f t="shared" si="16"/>
        <v>0</v>
      </c>
      <c r="H33" s="114">
        <f t="shared" si="16"/>
        <v>0</v>
      </c>
      <c r="I33" s="115">
        <f t="shared" si="16"/>
        <v>1</v>
      </c>
      <c r="J33" s="114">
        <f t="shared" si="16"/>
        <v>1</v>
      </c>
      <c r="K33" s="115">
        <f t="shared" si="16"/>
        <v>1</v>
      </c>
      <c r="L33" s="116">
        <f t="shared" si="16"/>
        <v>1</v>
      </c>
      <c r="M33" s="893">
        <f t="shared" si="16"/>
        <v>5</v>
      </c>
      <c r="N33" s="116">
        <f t="shared" si="16"/>
        <v>47</v>
      </c>
      <c r="O33" s="893">
        <f t="shared" si="16"/>
        <v>105</v>
      </c>
      <c r="P33" s="116">
        <f t="shared" si="16"/>
        <v>11</v>
      </c>
      <c r="Q33" s="893">
        <f t="shared" si="16"/>
        <v>30</v>
      </c>
      <c r="R33" s="116">
        <f t="shared" si="16"/>
        <v>2</v>
      </c>
      <c r="S33" s="341">
        <f t="shared" si="16"/>
        <v>1</v>
      </c>
      <c r="T33" s="116">
        <f t="shared" si="16"/>
        <v>77</v>
      </c>
      <c r="U33" s="893">
        <f t="shared" si="16"/>
        <v>178</v>
      </c>
      <c r="V33" s="115">
        <f>T33+U33</f>
        <v>255</v>
      </c>
      <c r="W33" s="966">
        <f t="shared" si="10"/>
        <v>0.10353227771010962</v>
      </c>
    </row>
    <row r="34" spans="1:23" ht="30" customHeight="1" thickBot="1" x14ac:dyDescent="0.3">
      <c r="A34" s="1174" t="s">
        <v>1003</v>
      </c>
      <c r="B34" s="1175">
        <f t="shared" ref="B34:S34" si="17">B19+B33</f>
        <v>60</v>
      </c>
      <c r="C34" s="1176">
        <f t="shared" si="17"/>
        <v>22</v>
      </c>
      <c r="D34" s="1177">
        <f t="shared" si="17"/>
        <v>181</v>
      </c>
      <c r="E34" s="1176">
        <f t="shared" si="17"/>
        <v>542</v>
      </c>
      <c r="F34" s="1177">
        <f t="shared" si="17"/>
        <v>1</v>
      </c>
      <c r="G34" s="1176">
        <f t="shared" si="17"/>
        <v>4</v>
      </c>
      <c r="H34" s="1177">
        <f t="shared" si="17"/>
        <v>14</v>
      </c>
      <c r="I34" s="1176">
        <f t="shared" si="17"/>
        <v>14</v>
      </c>
      <c r="J34" s="1177">
        <f t="shared" si="17"/>
        <v>1</v>
      </c>
      <c r="K34" s="1176">
        <f t="shared" si="17"/>
        <v>2</v>
      </c>
      <c r="L34" s="1175">
        <f t="shared" si="17"/>
        <v>12</v>
      </c>
      <c r="M34" s="1178">
        <f t="shared" si="17"/>
        <v>20</v>
      </c>
      <c r="N34" s="1175">
        <f t="shared" si="17"/>
        <v>437</v>
      </c>
      <c r="O34" s="1178">
        <f t="shared" si="17"/>
        <v>982</v>
      </c>
      <c r="P34" s="1175">
        <f t="shared" si="17"/>
        <v>38</v>
      </c>
      <c r="Q34" s="1178">
        <f t="shared" si="17"/>
        <v>85</v>
      </c>
      <c r="R34" s="1175">
        <f t="shared" si="17"/>
        <v>11</v>
      </c>
      <c r="S34" s="1179">
        <f t="shared" si="17"/>
        <v>37</v>
      </c>
      <c r="T34" s="1180">
        <f>B34+D34+F34+H34+J34+L34+R34+N34+P34</f>
        <v>755</v>
      </c>
      <c r="U34" s="1181">
        <f>C34+E34+G34+I34+K34+M34+S34+O34+Q34</f>
        <v>1708</v>
      </c>
      <c r="V34" s="1176">
        <f>T34+U34</f>
        <v>2463</v>
      </c>
      <c r="W34" s="1182">
        <f>+W33+W19</f>
        <v>1</v>
      </c>
    </row>
    <row r="35" spans="1:23" ht="13.8" thickTop="1" x14ac:dyDescent="0.25">
      <c r="A35" s="952" t="s">
        <v>1004</v>
      </c>
      <c r="B35" s="952"/>
      <c r="C35" s="952"/>
      <c r="D35" s="952"/>
      <c r="E35" s="952"/>
      <c r="F35" s="952"/>
      <c r="G35" s="952"/>
      <c r="H35" s="952"/>
      <c r="I35" s="953"/>
      <c r="J35" s="953"/>
      <c r="K35" s="953"/>
      <c r="L35" s="953"/>
      <c r="M35" s="953"/>
      <c r="N35" s="953"/>
      <c r="O35" s="953"/>
      <c r="P35" s="953"/>
      <c r="Q35" s="953"/>
      <c r="R35" s="953"/>
      <c r="S35" s="953"/>
      <c r="T35" s="953"/>
      <c r="U35" s="953"/>
      <c r="V35" s="953"/>
      <c r="W35" s="953"/>
    </row>
    <row r="36" spans="1:23" x14ac:dyDescent="0.25">
      <c r="B36" s="953"/>
      <c r="C36" s="953"/>
      <c r="D36" s="953"/>
      <c r="E36" s="953"/>
      <c r="F36" s="953"/>
      <c r="G36" s="953"/>
      <c r="H36" s="953"/>
      <c r="I36" s="953"/>
      <c r="J36" s="953"/>
      <c r="K36" s="953"/>
      <c r="L36" s="953"/>
      <c r="M36" s="953"/>
      <c r="N36" s="953"/>
      <c r="O36" s="953"/>
      <c r="P36" s="953"/>
      <c r="Q36" s="953"/>
      <c r="R36" s="953"/>
      <c r="S36" s="953"/>
      <c r="T36" s="953"/>
      <c r="U36" s="953"/>
      <c r="V36" s="953"/>
      <c r="W36" s="953"/>
    </row>
    <row r="37" spans="1:23" x14ac:dyDescent="0.25">
      <c r="B37" s="953"/>
      <c r="C37" s="953"/>
      <c r="D37" s="953"/>
      <c r="E37" s="953"/>
      <c r="F37" s="953"/>
      <c r="G37" s="953"/>
      <c r="H37" s="953"/>
      <c r="I37" s="953"/>
      <c r="J37" s="953"/>
      <c r="K37" s="953"/>
      <c r="L37" s="953"/>
      <c r="M37" s="953"/>
      <c r="N37" s="953"/>
      <c r="O37" s="953"/>
      <c r="P37" s="953"/>
      <c r="Q37" s="953"/>
      <c r="R37" s="953"/>
      <c r="S37" s="953"/>
      <c r="T37" s="953"/>
      <c r="U37" s="953"/>
      <c r="V37" s="953"/>
      <c r="W37" s="953"/>
    </row>
    <row r="38" spans="1:23" x14ac:dyDescent="0.25">
      <c r="B38" s="953"/>
      <c r="C38" s="953"/>
      <c r="D38" s="953"/>
      <c r="E38" s="953"/>
      <c r="F38" s="953"/>
      <c r="G38" s="953"/>
      <c r="H38" s="953"/>
      <c r="I38" s="953"/>
      <c r="J38" s="953"/>
      <c r="K38" s="953"/>
      <c r="L38" s="953"/>
      <c r="M38" s="953"/>
      <c r="N38" s="953"/>
      <c r="O38" s="953"/>
      <c r="P38" s="953"/>
      <c r="Q38" s="953"/>
      <c r="R38" s="953"/>
      <c r="S38" s="953"/>
      <c r="T38" s="953"/>
      <c r="U38" s="953"/>
      <c r="V38" s="953"/>
      <c r="W38" s="953"/>
    </row>
    <row r="39" spans="1:23" x14ac:dyDescent="0.25">
      <c r="B39" s="953"/>
      <c r="C39" s="953"/>
      <c r="D39" s="953"/>
      <c r="E39" s="953"/>
      <c r="F39" s="953"/>
      <c r="G39" s="953"/>
      <c r="H39" s="953"/>
      <c r="I39" s="953"/>
      <c r="J39" s="953"/>
      <c r="K39" s="953"/>
      <c r="L39" s="953"/>
      <c r="M39" s="953"/>
      <c r="N39" s="953"/>
      <c r="O39" s="953"/>
      <c r="P39" s="953"/>
      <c r="Q39" s="953"/>
      <c r="R39" s="953"/>
      <c r="S39" s="953"/>
      <c r="T39" s="953"/>
      <c r="U39" s="953"/>
      <c r="V39" s="953"/>
      <c r="W39" s="953"/>
    </row>
  </sheetData>
  <mergeCells count="9">
    <mergeCell ref="A1:W1"/>
    <mergeCell ref="B3:C3"/>
    <mergeCell ref="F3:G3"/>
    <mergeCell ref="R3:S3"/>
    <mergeCell ref="F4:G4"/>
    <mergeCell ref="H4:I4"/>
    <mergeCell ref="J4:K4"/>
    <mergeCell ref="N4:O4"/>
    <mergeCell ref="P4:Q4"/>
  </mergeCells>
  <pageMargins left="0.7" right="0.7" top="0.75" bottom="0.75" header="0.3" footer="0.3"/>
  <pageSetup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9"/>
  <sheetViews>
    <sheetView workbookViewId="0"/>
  </sheetViews>
  <sheetFormatPr defaultColWidth="6.6640625" defaultRowHeight="13.2" x14ac:dyDescent="0.25"/>
  <cols>
    <col min="1" max="1" width="68.33203125" style="786" bestFit="1" customWidth="1"/>
    <col min="2" max="2" width="30.88671875" style="1086" customWidth="1"/>
    <col min="3" max="3" width="17.33203125" style="1087" customWidth="1"/>
    <col min="4" max="16384" width="6.6640625" style="775"/>
  </cols>
  <sheetData>
    <row r="1" spans="1:3" ht="22.8" x14ac:dyDescent="0.4">
      <c r="A1" s="1085" t="s">
        <v>794</v>
      </c>
      <c r="B1" s="1085"/>
      <c r="C1" s="1085"/>
    </row>
    <row r="2" spans="1:3" ht="22.8" x14ac:dyDescent="0.4">
      <c r="A2" s="1085" t="s">
        <v>1721</v>
      </c>
      <c r="B2" s="1085"/>
      <c r="C2" s="1085"/>
    </row>
    <row r="3" spans="1:3" x14ac:dyDescent="0.25">
      <c r="A3" s="1086"/>
    </row>
    <row r="4" spans="1:3" s="1088" customFormat="1" ht="13.8" thickBot="1" x14ac:dyDescent="0.3">
      <c r="A4" s="1377" t="s">
        <v>796</v>
      </c>
      <c r="B4" s="1378" t="s">
        <v>797</v>
      </c>
      <c r="C4" s="1378" t="s">
        <v>798</v>
      </c>
    </row>
    <row r="5" spans="1:3" s="1088" customFormat="1" x14ac:dyDescent="0.25">
      <c r="A5" s="1379"/>
      <c r="B5" s="1380"/>
      <c r="C5" s="1380"/>
    </row>
    <row r="6" spans="1:3" ht="12.75" customHeight="1" x14ac:dyDescent="0.25">
      <c r="A6" s="1381" t="s">
        <v>1741</v>
      </c>
      <c r="B6" s="1383" t="s">
        <v>799</v>
      </c>
      <c r="C6" s="1383">
        <v>2016</v>
      </c>
    </row>
    <row r="7" spans="1:3" ht="12.75" customHeight="1" x14ac:dyDescent="0.25">
      <c r="A7" s="1381"/>
      <c r="B7" s="1383"/>
      <c r="C7" s="1383"/>
    </row>
    <row r="8" spans="1:3" x14ac:dyDescent="0.25">
      <c r="A8" s="1382" t="s">
        <v>1743</v>
      </c>
      <c r="B8" s="1383" t="s">
        <v>804</v>
      </c>
      <c r="C8" s="1383">
        <v>2018</v>
      </c>
    </row>
    <row r="9" spans="1:3" x14ac:dyDescent="0.25">
      <c r="A9" s="1381"/>
      <c r="B9" s="1383"/>
      <c r="C9" s="1383"/>
    </row>
    <row r="10" spans="1:3" x14ac:dyDescent="0.25">
      <c r="A10" s="1382" t="s">
        <v>1643</v>
      </c>
      <c r="B10" s="1383" t="s">
        <v>806</v>
      </c>
      <c r="C10" s="1383">
        <v>2016</v>
      </c>
    </row>
    <row r="11" spans="1:3" s="1088" customFormat="1" x14ac:dyDescent="0.25">
      <c r="A11" s="1379"/>
      <c r="B11" s="1380"/>
      <c r="C11" s="1380"/>
    </row>
    <row r="12" spans="1:3" ht="12.75" customHeight="1" x14ac:dyDescent="0.25">
      <c r="A12" s="1382" t="s">
        <v>1742</v>
      </c>
      <c r="B12" s="1384" t="s">
        <v>1640</v>
      </c>
      <c r="C12" s="1384">
        <v>2016</v>
      </c>
    </row>
    <row r="13" spans="1:3" ht="12.75" customHeight="1" x14ac:dyDescent="0.25">
      <c r="A13" s="1381"/>
      <c r="B13" s="1383"/>
      <c r="C13" s="1383"/>
    </row>
    <row r="14" spans="1:3" ht="12.75" customHeight="1" x14ac:dyDescent="0.25">
      <c r="A14" s="1382" t="s">
        <v>1644</v>
      </c>
      <c r="B14" s="1383" t="s">
        <v>803</v>
      </c>
      <c r="C14" s="1383">
        <v>2016</v>
      </c>
    </row>
    <row r="15" spans="1:3" ht="12.75" customHeight="1" x14ac:dyDescent="0.25">
      <c r="A15" s="1381"/>
      <c r="B15" s="1383"/>
      <c r="C15" s="1383"/>
    </row>
    <row r="16" spans="1:3" x14ac:dyDescent="0.25">
      <c r="A16" s="1381" t="s">
        <v>1646</v>
      </c>
      <c r="B16" s="1383" t="s">
        <v>806</v>
      </c>
      <c r="C16" s="1383">
        <v>2018</v>
      </c>
    </row>
    <row r="17" spans="1:3" x14ac:dyDescent="0.25">
      <c r="A17" s="1381"/>
      <c r="B17" s="1383"/>
      <c r="C17" s="1383"/>
    </row>
    <row r="18" spans="1:3" x14ac:dyDescent="0.25">
      <c r="A18" s="1382" t="s">
        <v>1645</v>
      </c>
      <c r="B18" s="1383" t="s">
        <v>804</v>
      </c>
      <c r="C18" s="1383">
        <v>2016</v>
      </c>
    </row>
    <row r="19" spans="1:3" x14ac:dyDescent="0.25">
      <c r="A19" s="1381"/>
      <c r="B19" s="1383"/>
      <c r="C19" s="1383"/>
    </row>
    <row r="20" spans="1:3" ht="12.75" customHeight="1" x14ac:dyDescent="0.25">
      <c r="A20" s="1381" t="s">
        <v>1744</v>
      </c>
      <c r="B20" s="1383" t="s">
        <v>799</v>
      </c>
      <c r="C20" s="1383">
        <v>2018</v>
      </c>
    </row>
    <row r="21" spans="1:3" ht="12.75" customHeight="1" x14ac:dyDescent="0.25">
      <c r="A21" s="1381"/>
      <c r="B21" s="1383"/>
      <c r="C21" s="1383"/>
    </row>
    <row r="22" spans="1:3" x14ac:dyDescent="0.25">
      <c r="A22" s="1381" t="s">
        <v>1745</v>
      </c>
      <c r="B22" s="1383" t="s">
        <v>800</v>
      </c>
      <c r="C22" s="1383">
        <v>2016</v>
      </c>
    </row>
    <row r="23" spans="1:3" s="1088" customFormat="1" x14ac:dyDescent="0.25">
      <c r="A23" s="1379"/>
      <c r="B23" s="1380"/>
      <c r="C23" s="1380"/>
    </row>
    <row r="24" spans="1:3" ht="12.75" customHeight="1" x14ac:dyDescent="0.25">
      <c r="A24" s="1382" t="s">
        <v>1746</v>
      </c>
      <c r="B24" s="1383" t="s">
        <v>805</v>
      </c>
      <c r="C24" s="1383">
        <v>2016</v>
      </c>
    </row>
    <row r="25" spans="1:3" ht="12.75" customHeight="1" x14ac:dyDescent="0.25">
      <c r="A25" s="1381"/>
      <c r="B25" s="1383"/>
      <c r="C25" s="1383"/>
    </row>
    <row r="26" spans="1:3" ht="12.75" customHeight="1" x14ac:dyDescent="0.25">
      <c r="A26" s="1381"/>
      <c r="B26" s="1383"/>
      <c r="C26" s="1383"/>
    </row>
    <row r="27" spans="1:3" ht="12.75" customHeight="1" x14ac:dyDescent="0.25">
      <c r="A27" s="1381"/>
      <c r="B27" s="1383"/>
      <c r="C27" s="1383"/>
    </row>
    <row r="28" spans="1:3" ht="13.8" thickBot="1" x14ac:dyDescent="0.3">
      <c r="A28" s="1377" t="s">
        <v>807</v>
      </c>
      <c r="B28" s="1385"/>
      <c r="C28" s="1386"/>
    </row>
    <row r="29" spans="1:3" x14ac:dyDescent="0.25">
      <c r="A29" s="1379"/>
      <c r="B29" s="1387"/>
      <c r="C29" s="1383"/>
    </row>
    <row r="30" spans="1:3" x14ac:dyDescent="0.25">
      <c r="A30" s="1381" t="s">
        <v>1748</v>
      </c>
      <c r="B30" s="1387" t="s">
        <v>808</v>
      </c>
      <c r="C30" s="1383">
        <v>2018</v>
      </c>
    </row>
    <row r="31" spans="1:3" x14ac:dyDescent="0.25">
      <c r="A31" s="1381"/>
      <c r="B31" s="1387"/>
      <c r="C31" s="1383"/>
    </row>
    <row r="32" spans="1:3" x14ac:dyDescent="0.25">
      <c r="A32" s="1381" t="s">
        <v>1641</v>
      </c>
      <c r="B32" s="1387" t="s">
        <v>808</v>
      </c>
      <c r="C32" s="1383">
        <v>2018</v>
      </c>
    </row>
    <row r="33" spans="1:3" x14ac:dyDescent="0.25">
      <c r="A33" s="1381"/>
      <c r="B33" s="1387"/>
      <c r="C33" s="1383"/>
    </row>
    <row r="34" spans="1:3" x14ac:dyDescent="0.25">
      <c r="A34" s="1381" t="s">
        <v>1642</v>
      </c>
      <c r="B34" s="1387" t="s">
        <v>808</v>
      </c>
      <c r="C34" s="1383">
        <v>2018</v>
      </c>
    </row>
    <row r="35" spans="1:3" x14ac:dyDescent="0.25">
      <c r="A35" s="1381"/>
      <c r="B35" s="1387"/>
      <c r="C35" s="1383"/>
    </row>
    <row r="36" spans="1:3" x14ac:dyDescent="0.25">
      <c r="A36" s="1381" t="s">
        <v>1649</v>
      </c>
      <c r="B36" s="1387" t="s">
        <v>808</v>
      </c>
      <c r="C36" s="1383">
        <v>2018</v>
      </c>
    </row>
    <row r="37" spans="1:3" x14ac:dyDescent="0.25">
      <c r="A37" s="1381"/>
      <c r="B37" s="1388"/>
      <c r="C37" s="1388"/>
    </row>
    <row r="38" spans="1:3" x14ac:dyDescent="0.25">
      <c r="A38" s="1381" t="s">
        <v>1648</v>
      </c>
      <c r="B38" s="1387" t="s">
        <v>808</v>
      </c>
      <c r="C38" s="1383">
        <v>2018</v>
      </c>
    </row>
    <row r="39" spans="1:3" x14ac:dyDescent="0.25">
      <c r="A39" s="1381"/>
      <c r="B39" s="1387"/>
      <c r="C39" s="1383"/>
    </row>
    <row r="40" spans="1:3" x14ac:dyDescent="0.25">
      <c r="A40" s="1382" t="s">
        <v>1647</v>
      </c>
      <c r="B40" s="1387" t="s">
        <v>809</v>
      </c>
      <c r="C40" s="1383"/>
    </row>
    <row r="41" spans="1:3" x14ac:dyDescent="0.25">
      <c r="A41" s="1381"/>
      <c r="B41" s="1387"/>
      <c r="C41" s="1389"/>
    </row>
    <row r="42" spans="1:3" ht="13.8" thickBot="1" x14ac:dyDescent="0.3">
      <c r="A42" s="1377" t="s">
        <v>810</v>
      </c>
      <c r="B42" s="1385"/>
      <c r="C42" s="1390"/>
    </row>
    <row r="43" spans="1:3" x14ac:dyDescent="0.25">
      <c r="A43" s="1379"/>
      <c r="B43" s="1387"/>
      <c r="C43" s="1389"/>
    </row>
    <row r="44" spans="1:3" x14ac:dyDescent="0.25">
      <c r="A44" s="1381" t="s">
        <v>1528</v>
      </c>
      <c r="B44" s="1387"/>
      <c r="C44" s="1389"/>
    </row>
    <row r="45" spans="1:3" x14ac:dyDescent="0.25">
      <c r="A45" s="1381" t="s">
        <v>1529</v>
      </c>
      <c r="B45" s="1387"/>
      <c r="C45" s="1389"/>
    </row>
    <row r="46" spans="1:3" x14ac:dyDescent="0.25">
      <c r="A46" s="1381"/>
      <c r="B46" s="1387"/>
      <c r="C46" s="1389"/>
    </row>
    <row r="49" spans="1:1" x14ac:dyDescent="0.25">
      <c r="A49" s="1381" t="s">
        <v>1747</v>
      </c>
    </row>
  </sheetData>
  <printOptions horizontalCentered="1" verticalCentered="1"/>
  <pageMargins left="0.75" right="0.75" top="1" bottom="1" header="0.5" footer="0.5"/>
  <pageSetup scale="78"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U141"/>
  <sheetViews>
    <sheetView zoomScale="56" zoomScaleNormal="56" workbookViewId="0">
      <selection sqref="A1:AS1"/>
    </sheetView>
  </sheetViews>
  <sheetFormatPr defaultColWidth="6.6640625" defaultRowHeight="13.2" x14ac:dyDescent="0.25"/>
  <cols>
    <col min="1" max="1" width="62.33203125" style="119" customWidth="1"/>
    <col min="2" max="4" width="11.33203125" style="119" hidden="1" customWidth="1"/>
    <col min="5" max="5" width="13" style="119" hidden="1" customWidth="1"/>
    <col min="6" max="8" width="11.33203125" style="119" hidden="1" customWidth="1"/>
    <col min="9" max="10" width="13" style="119" hidden="1" customWidth="1"/>
    <col min="11" max="13" width="11.33203125" style="119" hidden="1" customWidth="1"/>
    <col min="14" max="15" width="13" style="119" hidden="1" customWidth="1"/>
    <col min="16" max="18" width="11.33203125" style="119" hidden="1" customWidth="1"/>
    <col min="19" max="20" width="13" style="119" hidden="1" customWidth="1"/>
    <col min="21" max="23" width="11.33203125" style="119" customWidth="1"/>
    <col min="24" max="25" width="13" style="119" customWidth="1"/>
    <col min="26" max="28" width="11.33203125" style="119" customWidth="1"/>
    <col min="29" max="30" width="13" style="119" customWidth="1"/>
    <col min="31" max="33" width="11.33203125" style="119" customWidth="1"/>
    <col min="34" max="35" width="13" style="119" customWidth="1"/>
    <col min="36" max="38" width="11.33203125" style="119" customWidth="1"/>
    <col min="39" max="40" width="13" style="119" customWidth="1"/>
    <col min="41" max="43" width="11.33203125" style="119" customWidth="1"/>
    <col min="44" max="45" width="13" style="119" customWidth="1"/>
    <col min="46" max="47" width="11.33203125" style="119" customWidth="1"/>
    <col min="48" max="49" width="13" style="119" customWidth="1"/>
    <col min="50" max="16384" width="6.6640625" style="119"/>
  </cols>
  <sheetData>
    <row r="1" spans="1:49" ht="24.75" customHeight="1" x14ac:dyDescent="0.35">
      <c r="A1" s="2137" t="s">
        <v>1067</v>
      </c>
      <c r="B1" s="2137"/>
      <c r="C1" s="2137"/>
      <c r="D1" s="2137"/>
      <c r="E1" s="2137"/>
      <c r="F1" s="2137"/>
      <c r="G1" s="2137"/>
      <c r="H1" s="2137"/>
      <c r="I1" s="2137"/>
      <c r="J1" s="2137"/>
      <c r="K1" s="2137"/>
      <c r="L1" s="2137"/>
      <c r="M1" s="2137"/>
      <c r="N1" s="2137"/>
      <c r="O1" s="2137"/>
      <c r="P1" s="2137"/>
      <c r="Q1" s="2137"/>
      <c r="R1" s="2137"/>
      <c r="S1" s="2137"/>
      <c r="T1" s="2137"/>
      <c r="U1" s="2137"/>
      <c r="V1" s="2137"/>
      <c r="W1" s="2137"/>
      <c r="X1" s="2137"/>
      <c r="Y1" s="2137"/>
      <c r="Z1" s="2137"/>
      <c r="AA1" s="2137"/>
      <c r="AB1" s="2137"/>
      <c r="AC1" s="2137"/>
      <c r="AD1" s="2137"/>
      <c r="AE1" s="2137"/>
      <c r="AF1" s="2137"/>
      <c r="AG1" s="2137"/>
      <c r="AH1" s="2137"/>
      <c r="AI1" s="2137"/>
      <c r="AJ1" s="2137"/>
      <c r="AK1" s="2137"/>
      <c r="AL1" s="2137"/>
      <c r="AM1" s="2137"/>
      <c r="AN1" s="2137"/>
      <c r="AO1" s="2137"/>
      <c r="AP1" s="2137"/>
      <c r="AQ1" s="2137"/>
      <c r="AR1" s="2137"/>
      <c r="AS1" s="2137"/>
    </row>
    <row r="2" spans="1:49" ht="12.75" customHeight="1" thickBot="1" x14ac:dyDescent="0.3">
      <c r="A2" s="120"/>
      <c r="B2" s="122"/>
      <c r="C2" s="122"/>
      <c r="D2" s="122"/>
      <c r="E2" s="122"/>
      <c r="F2" s="122"/>
      <c r="G2" s="122"/>
      <c r="H2" s="122"/>
      <c r="I2" s="122"/>
      <c r="J2" s="122"/>
      <c r="K2" s="122"/>
      <c r="L2" s="122"/>
      <c r="M2" s="122"/>
      <c r="N2" s="280"/>
      <c r="O2" s="280"/>
      <c r="P2" s="122"/>
      <c r="Q2" s="122"/>
      <c r="R2" s="122"/>
      <c r="S2" s="122"/>
      <c r="T2" s="122"/>
      <c r="U2" s="122"/>
      <c r="V2" s="122"/>
      <c r="W2" s="122"/>
      <c r="X2" s="280"/>
      <c r="Y2" s="280"/>
      <c r="Z2" s="122"/>
      <c r="AA2" s="122"/>
      <c r="AB2" s="122"/>
      <c r="AC2" s="280"/>
      <c r="AD2" s="280"/>
      <c r="AE2" s="122"/>
      <c r="AF2" s="122"/>
      <c r="AG2" s="122"/>
      <c r="AH2" s="280"/>
      <c r="AI2" s="280"/>
      <c r="AJ2" s="122"/>
      <c r="AK2" s="122"/>
      <c r="AL2" s="122"/>
      <c r="AM2" s="280"/>
      <c r="AN2" s="280"/>
      <c r="AO2" s="122"/>
      <c r="AP2" s="122"/>
      <c r="AQ2" s="122"/>
      <c r="AR2" s="280"/>
      <c r="AS2" s="280"/>
      <c r="AT2" s="122"/>
      <c r="AU2" s="122"/>
      <c r="AV2" s="280"/>
      <c r="AW2" s="280"/>
    </row>
    <row r="3" spans="1:49" customFormat="1" ht="18" thickBot="1" x14ac:dyDescent="0.35">
      <c r="A3" s="2134" t="s">
        <v>428</v>
      </c>
      <c r="B3" s="2135"/>
      <c r="C3" s="2135"/>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6"/>
    </row>
    <row r="4" spans="1:49" ht="26.4" x14ac:dyDescent="0.25">
      <c r="A4" s="2142" t="s">
        <v>1006</v>
      </c>
      <c r="B4" s="1956" t="s">
        <v>1008</v>
      </c>
      <c r="C4" s="1956" t="s">
        <v>1009</v>
      </c>
      <c r="D4" s="1956" t="s">
        <v>1010</v>
      </c>
      <c r="E4" s="1957" t="s">
        <v>1011</v>
      </c>
      <c r="F4" s="1956" t="s">
        <v>1008</v>
      </c>
      <c r="G4" s="1956" t="s">
        <v>1009</v>
      </c>
      <c r="H4" s="1956" t="s">
        <v>1010</v>
      </c>
      <c r="I4" s="1958" t="s">
        <v>1011</v>
      </c>
      <c r="J4" s="584" t="s">
        <v>1012</v>
      </c>
      <c r="K4" s="1956" t="s">
        <v>1008</v>
      </c>
      <c r="L4" s="1960" t="s">
        <v>1009</v>
      </c>
      <c r="M4" s="1960" t="s">
        <v>1010</v>
      </c>
      <c r="N4" s="1961" t="s">
        <v>1011</v>
      </c>
      <c r="O4" s="584" t="s">
        <v>1012</v>
      </c>
      <c r="P4" s="1956" t="s">
        <v>1008</v>
      </c>
      <c r="Q4" s="1956" t="s">
        <v>1009</v>
      </c>
      <c r="R4" s="1956" t="s">
        <v>1010</v>
      </c>
      <c r="S4" s="1958" t="s">
        <v>1011</v>
      </c>
      <c r="T4" s="584" t="s">
        <v>1012</v>
      </c>
      <c r="U4" s="1956" t="s">
        <v>1008</v>
      </c>
      <c r="V4" s="1960" t="s">
        <v>1009</v>
      </c>
      <c r="W4" s="1960" t="s">
        <v>1010</v>
      </c>
      <c r="X4" s="1961" t="s">
        <v>1011</v>
      </c>
      <c r="Y4" s="584" t="s">
        <v>1012</v>
      </c>
      <c r="Z4" s="1956" t="s">
        <v>1008</v>
      </c>
      <c r="AA4" s="1960" t="s">
        <v>1009</v>
      </c>
      <c r="AB4" s="1960" t="s">
        <v>1010</v>
      </c>
      <c r="AC4" s="1961" t="s">
        <v>1011</v>
      </c>
      <c r="AD4" s="584" t="s">
        <v>1012</v>
      </c>
      <c r="AE4" s="1818" t="s">
        <v>1008</v>
      </c>
      <c r="AF4" s="1979" t="s">
        <v>1009</v>
      </c>
      <c r="AG4" s="1979" t="s">
        <v>1010</v>
      </c>
      <c r="AH4" s="1980" t="s">
        <v>1011</v>
      </c>
      <c r="AI4" s="1981" t="s">
        <v>1012</v>
      </c>
      <c r="AJ4" s="1818" t="s">
        <v>1008</v>
      </c>
      <c r="AK4" s="1979" t="s">
        <v>1009</v>
      </c>
      <c r="AL4" s="1979" t="s">
        <v>1010</v>
      </c>
      <c r="AM4" s="1980" t="s">
        <v>1011</v>
      </c>
      <c r="AN4" s="1981" t="s">
        <v>1012</v>
      </c>
      <c r="AO4" s="1956" t="s">
        <v>1008</v>
      </c>
      <c r="AP4" s="1960" t="s">
        <v>1009</v>
      </c>
      <c r="AQ4" s="1960" t="s">
        <v>1010</v>
      </c>
      <c r="AR4" s="1961" t="s">
        <v>1011</v>
      </c>
      <c r="AS4" s="584" t="s">
        <v>1012</v>
      </c>
      <c r="AT4" s="124"/>
      <c r="AU4" s="124"/>
      <c r="AV4" s="124"/>
      <c r="AW4" s="124"/>
    </row>
    <row r="5" spans="1:49" ht="12.75" customHeight="1" x14ac:dyDescent="0.25">
      <c r="A5" s="2152"/>
      <c r="B5" s="2138" t="s">
        <v>1502</v>
      </c>
      <c r="C5" s="2139"/>
      <c r="D5" s="2139"/>
      <c r="E5" s="2140"/>
      <c r="F5" s="2139" t="s">
        <v>1501</v>
      </c>
      <c r="G5" s="2139"/>
      <c r="H5" s="2139"/>
      <c r="I5" s="2139"/>
      <c r="J5" s="2140"/>
      <c r="K5" s="2139" t="s">
        <v>1451</v>
      </c>
      <c r="L5" s="2139"/>
      <c r="M5" s="2139"/>
      <c r="N5" s="2139"/>
      <c r="O5" s="2140"/>
      <c r="P5" s="2139" t="s">
        <v>1452</v>
      </c>
      <c r="Q5" s="2139"/>
      <c r="R5" s="2139"/>
      <c r="S5" s="2139"/>
      <c r="T5" s="2140"/>
      <c r="U5" s="2139" t="s">
        <v>1453</v>
      </c>
      <c r="V5" s="2139"/>
      <c r="W5" s="2139"/>
      <c r="X5" s="2139"/>
      <c r="Y5" s="2140"/>
      <c r="Z5" s="2139" t="s">
        <v>1581</v>
      </c>
      <c r="AA5" s="2139"/>
      <c r="AB5" s="2139"/>
      <c r="AC5" s="2139"/>
      <c r="AD5" s="2140"/>
      <c r="AE5" s="2138" t="s">
        <v>1632</v>
      </c>
      <c r="AF5" s="2139"/>
      <c r="AG5" s="2139"/>
      <c r="AH5" s="2139"/>
      <c r="AI5" s="2140"/>
      <c r="AJ5" s="2138" t="s">
        <v>1673</v>
      </c>
      <c r="AK5" s="2139"/>
      <c r="AL5" s="2139"/>
      <c r="AM5" s="2139"/>
      <c r="AN5" s="2140"/>
      <c r="AO5" s="2139" t="s">
        <v>1758</v>
      </c>
      <c r="AP5" s="2139"/>
      <c r="AQ5" s="2139"/>
      <c r="AR5" s="2139"/>
      <c r="AS5" s="2140"/>
      <c r="AT5" s="124"/>
      <c r="AU5" s="124"/>
      <c r="AV5" s="124"/>
      <c r="AW5" s="124"/>
    </row>
    <row r="6" spans="1:49" x14ac:dyDescent="0.25">
      <c r="A6" s="1318" t="s">
        <v>431</v>
      </c>
      <c r="B6" s="1946"/>
      <c r="C6" s="1947"/>
      <c r="D6" s="1947"/>
      <c r="E6" s="1948"/>
      <c r="F6" s="1946"/>
      <c r="G6" s="1947"/>
      <c r="H6" s="1947"/>
      <c r="I6" s="1947"/>
      <c r="J6" s="438"/>
      <c r="K6" s="1869"/>
      <c r="L6" s="1947"/>
      <c r="M6" s="1947"/>
      <c r="N6" s="1947"/>
      <c r="O6" s="1948"/>
      <c r="P6" s="1946"/>
      <c r="Q6" s="1947"/>
      <c r="R6" s="1947"/>
      <c r="S6" s="1947"/>
      <c r="T6" s="438"/>
      <c r="U6" s="1869"/>
      <c r="V6" s="1947"/>
      <c r="W6" s="1947"/>
      <c r="X6" s="1947"/>
      <c r="Y6" s="438"/>
      <c r="Z6" s="1869"/>
      <c r="AA6" s="1947"/>
      <c r="AB6" s="1947"/>
      <c r="AC6" s="1947"/>
      <c r="AD6" s="1948"/>
      <c r="AE6" s="1041"/>
      <c r="AF6" s="1947"/>
      <c r="AG6" s="1947"/>
      <c r="AH6" s="1947"/>
      <c r="AI6" s="1948"/>
      <c r="AJ6" s="1041"/>
      <c r="AK6" s="1947"/>
      <c r="AL6" s="1947"/>
      <c r="AM6" s="1947"/>
      <c r="AN6" s="1948"/>
      <c r="AO6" s="1869"/>
      <c r="AP6" s="1947"/>
      <c r="AQ6" s="1947"/>
      <c r="AR6" s="1947"/>
      <c r="AS6" s="1948"/>
      <c r="AT6" s="124"/>
      <c r="AU6" s="124"/>
      <c r="AV6" s="124"/>
      <c r="AW6" s="124"/>
    </row>
    <row r="7" spans="1:49" x14ac:dyDescent="0.25">
      <c r="A7" s="1319" t="s">
        <v>1016</v>
      </c>
      <c r="B7" s="1949">
        <v>351</v>
      </c>
      <c r="C7" s="1949">
        <v>202</v>
      </c>
      <c r="D7" s="1950">
        <v>0</v>
      </c>
      <c r="E7" s="1951">
        <f t="shared" ref="E7:E15" si="0">SUM(B7:D7)</f>
        <v>553</v>
      </c>
      <c r="F7" s="1949">
        <v>375</v>
      </c>
      <c r="G7" s="1949">
        <v>219</v>
      </c>
      <c r="H7" s="1950">
        <v>0</v>
      </c>
      <c r="I7" s="1952">
        <f t="shared" ref="I7:I15" si="1">SUM(F7:H7)</f>
        <v>594</v>
      </c>
      <c r="J7" s="505">
        <f t="shared" ref="J7:J16" si="2">IF(E7&gt;0,(I7-E7)/E7,(IF(I7=0,"N/A",100%)))</f>
        <v>7.4141048824593131E-2</v>
      </c>
      <c r="K7" s="1952">
        <v>330</v>
      </c>
      <c r="L7" s="1952">
        <v>258</v>
      </c>
      <c r="M7" s="1953">
        <v>0</v>
      </c>
      <c r="N7" s="1952">
        <f t="shared" ref="N7:N15" si="3">SUM(K7:M7)</f>
        <v>588</v>
      </c>
      <c r="O7" s="1954">
        <f>IF(I7&gt;0,(N7-I7)/I7,(IF(N7=0,"N/A",100%)))</f>
        <v>-1.0101010101010102E-2</v>
      </c>
      <c r="P7" s="1953">
        <v>381</v>
      </c>
      <c r="Q7" s="1952">
        <v>226</v>
      </c>
      <c r="R7" s="1953">
        <v>0</v>
      </c>
      <c r="S7" s="1952">
        <f t="shared" ref="S7:S15" si="4">SUM(P7:R7)</f>
        <v>607</v>
      </c>
      <c r="T7" s="505">
        <f>IF(N7&gt;0,(S7-N7)/N7,(IF(S7=0,"N/A",100%)))</f>
        <v>3.2312925170068028E-2</v>
      </c>
      <c r="U7" s="1952">
        <v>411</v>
      </c>
      <c r="V7" s="1952">
        <v>258</v>
      </c>
      <c r="W7" s="1953">
        <v>0</v>
      </c>
      <c r="X7" s="1952">
        <f t="shared" ref="X7:X15" si="5">SUM(U7:W7)</f>
        <v>669</v>
      </c>
      <c r="Y7" s="1954">
        <f>IF(S7&gt;0,(X7-S7)/S7,(IF(X7=0,"N/A",100%)))</f>
        <v>0.10214168039538715</v>
      </c>
      <c r="Z7" s="1952">
        <v>450</v>
      </c>
      <c r="AA7" s="1952">
        <v>307</v>
      </c>
      <c r="AB7" s="1953">
        <v>0</v>
      </c>
      <c r="AC7" s="1952">
        <f t="shared" ref="AC7:AC15" si="6">SUM(Z7:AB7)</f>
        <v>757</v>
      </c>
      <c r="AD7" s="1954">
        <f>IF(X7&gt;0,(AC7-X7)/X7,(IF(AC7=0,"N/A",100%)))</f>
        <v>0.13153961136023917</v>
      </c>
      <c r="AE7" s="772">
        <v>435</v>
      </c>
      <c r="AF7" s="1952">
        <v>345</v>
      </c>
      <c r="AG7" s="1953">
        <v>0</v>
      </c>
      <c r="AH7" s="1952">
        <f t="shared" ref="AH7:AH15" si="7">SUM(AE7:AG7)</f>
        <v>780</v>
      </c>
      <c r="AI7" s="1954">
        <f>IF(AC7&gt;0,(AH7-AC7)/AC7,(IF(AH7=0,"N/A",100%)))</f>
        <v>3.0383091149273449E-2</v>
      </c>
      <c r="AJ7" s="772">
        <v>330</v>
      </c>
      <c r="AK7" s="1952">
        <v>315</v>
      </c>
      <c r="AL7" s="1953">
        <v>0</v>
      </c>
      <c r="AM7" s="1952">
        <f t="shared" ref="AM7:AM15" si="8">SUM(AJ7:AL7)</f>
        <v>645</v>
      </c>
      <c r="AN7" s="1954">
        <f>IF(AH7&gt;0,(AM7-AH7)/AH7,(IF(AM7=0,"N/A",100%)))</f>
        <v>-0.17307692307692307</v>
      </c>
      <c r="AO7" s="1952">
        <v>0</v>
      </c>
      <c r="AP7" s="1952">
        <v>823</v>
      </c>
      <c r="AQ7" s="1953">
        <v>0</v>
      </c>
      <c r="AR7" s="1952">
        <f t="shared" ref="AR7:AR15" si="9">SUM(AO7:AQ7)</f>
        <v>823</v>
      </c>
      <c r="AS7" s="1954">
        <f>IF(AM7&gt;0,(AR7-AM7)/AM7,(IF(AR7=0,"N/A",100%)))</f>
        <v>0.27596899224806204</v>
      </c>
      <c r="AT7" s="124"/>
      <c r="AU7" s="124"/>
      <c r="AV7" s="124"/>
      <c r="AW7" s="124"/>
    </row>
    <row r="8" spans="1:49" s="124" customFormat="1" x14ac:dyDescent="0.25">
      <c r="A8" s="1321" t="s">
        <v>1017</v>
      </c>
      <c r="B8" s="1949">
        <v>791</v>
      </c>
      <c r="C8" s="1949">
        <v>707</v>
      </c>
      <c r="D8" s="1950">
        <v>0</v>
      </c>
      <c r="E8" s="1951">
        <f t="shared" si="0"/>
        <v>1498</v>
      </c>
      <c r="F8" s="1949">
        <v>840</v>
      </c>
      <c r="G8" s="1949">
        <v>775</v>
      </c>
      <c r="H8" s="1950">
        <v>0</v>
      </c>
      <c r="I8" s="1952">
        <f t="shared" si="1"/>
        <v>1615</v>
      </c>
      <c r="J8" s="505">
        <f t="shared" si="2"/>
        <v>7.810413885180241E-2</v>
      </c>
      <c r="K8" s="1952">
        <v>900</v>
      </c>
      <c r="L8" s="1952">
        <v>835</v>
      </c>
      <c r="M8" s="1953">
        <v>0</v>
      </c>
      <c r="N8" s="1952">
        <f t="shared" si="3"/>
        <v>1735</v>
      </c>
      <c r="O8" s="1954">
        <f t="shared" ref="O8:O15" si="10">IF(I8&gt;0,(N8-I8)/I8,(IF(N8=0,"N/A",100%)))</f>
        <v>7.4303405572755415E-2</v>
      </c>
      <c r="P8" s="1953">
        <v>864</v>
      </c>
      <c r="Q8" s="1952">
        <v>864</v>
      </c>
      <c r="R8" s="1953">
        <v>0</v>
      </c>
      <c r="S8" s="1952">
        <f t="shared" si="4"/>
        <v>1728</v>
      </c>
      <c r="T8" s="505">
        <f t="shared" ref="T8:T24" si="11">IF(N8&gt;0,(S8-N8)/N8,(IF(S8=0,"N/A",100%)))</f>
        <v>-4.0345821325648411E-3</v>
      </c>
      <c r="U8" s="1952">
        <v>939</v>
      </c>
      <c r="V8" s="1952">
        <v>1005</v>
      </c>
      <c r="W8" s="1953">
        <v>0</v>
      </c>
      <c r="X8" s="1952">
        <f t="shared" si="5"/>
        <v>1944</v>
      </c>
      <c r="Y8" s="1954">
        <f t="shared" ref="Y8:Y15" si="12">IF(S8&gt;0,(X8-S8)/S8,(IF(X8=0,"N/A",100%)))</f>
        <v>0.125</v>
      </c>
      <c r="Z8" s="1952">
        <v>819</v>
      </c>
      <c r="AA8" s="1952">
        <v>876</v>
      </c>
      <c r="AB8" s="1953">
        <v>0</v>
      </c>
      <c r="AC8" s="1952">
        <f t="shared" si="6"/>
        <v>1695</v>
      </c>
      <c r="AD8" s="1954">
        <f t="shared" ref="AD8:AD15" si="13">IF(X8&gt;0,(AC8-X8)/X8,(IF(AC8=0,"N/A",100%)))</f>
        <v>-0.12808641975308643</v>
      </c>
      <c r="AE8" s="772">
        <v>687</v>
      </c>
      <c r="AF8" s="1952">
        <v>898</v>
      </c>
      <c r="AG8" s="1953">
        <v>0</v>
      </c>
      <c r="AH8" s="1952">
        <f t="shared" si="7"/>
        <v>1585</v>
      </c>
      <c r="AI8" s="1954">
        <f t="shared" ref="AI8:AI15" si="14">IF(AC8&gt;0,(AH8-AC8)/AC8,(IF(AH8=0,"N/A",100%)))</f>
        <v>-6.4896755162241887E-2</v>
      </c>
      <c r="AJ8" s="772">
        <v>534</v>
      </c>
      <c r="AK8" s="1952">
        <v>995</v>
      </c>
      <c r="AL8" s="1953">
        <v>0</v>
      </c>
      <c r="AM8" s="1952">
        <f t="shared" si="8"/>
        <v>1529</v>
      </c>
      <c r="AN8" s="1954">
        <f t="shared" ref="AN8:AN15" si="15">IF(AH8&gt;0,(AM8-AH8)/AH8,(IF(AM8=0,"N/A",100%)))</f>
        <v>-3.533123028391167E-2</v>
      </c>
      <c r="AO8" s="1952">
        <v>288</v>
      </c>
      <c r="AP8" s="1952">
        <v>1169</v>
      </c>
      <c r="AQ8" s="1953">
        <v>0</v>
      </c>
      <c r="AR8" s="1952">
        <f t="shared" si="9"/>
        <v>1457</v>
      </c>
      <c r="AS8" s="1954">
        <f t="shared" ref="AS8:AS15" si="16">IF(AM8&gt;0,(AR8-AM8)/AM8,(IF(AR8=0,"N/A",100%)))</f>
        <v>-4.7089601046435579E-2</v>
      </c>
    </row>
    <row r="9" spans="1:49" x14ac:dyDescent="0.25">
      <c r="A9" s="1319" t="s">
        <v>1018</v>
      </c>
      <c r="B9" s="1949">
        <v>21</v>
      </c>
      <c r="C9" s="1949">
        <v>0</v>
      </c>
      <c r="D9" s="1949">
        <v>0</v>
      </c>
      <c r="E9" s="1951">
        <f t="shared" si="0"/>
        <v>21</v>
      </c>
      <c r="F9" s="1949">
        <v>33</v>
      </c>
      <c r="G9" s="1949">
        <v>0</v>
      </c>
      <c r="H9" s="1949">
        <v>0</v>
      </c>
      <c r="I9" s="1952">
        <f t="shared" si="1"/>
        <v>33</v>
      </c>
      <c r="J9" s="505">
        <f t="shared" si="2"/>
        <v>0.5714285714285714</v>
      </c>
      <c r="K9" s="1952">
        <v>0</v>
      </c>
      <c r="L9" s="1952">
        <v>0</v>
      </c>
      <c r="M9" s="1952">
        <v>0</v>
      </c>
      <c r="N9" s="1952">
        <f t="shared" si="3"/>
        <v>0</v>
      </c>
      <c r="O9" s="1954">
        <f t="shared" si="10"/>
        <v>-1</v>
      </c>
      <c r="P9" s="1953">
        <v>1</v>
      </c>
      <c r="Q9" s="1952">
        <v>0</v>
      </c>
      <c r="R9" s="1952">
        <v>0</v>
      </c>
      <c r="S9" s="1952">
        <f t="shared" si="4"/>
        <v>1</v>
      </c>
      <c r="T9" s="505">
        <f t="shared" si="11"/>
        <v>1</v>
      </c>
      <c r="U9" s="1952">
        <v>14</v>
      </c>
      <c r="V9" s="1952">
        <v>0</v>
      </c>
      <c r="W9" s="1952">
        <v>0</v>
      </c>
      <c r="X9" s="1952">
        <f t="shared" si="5"/>
        <v>14</v>
      </c>
      <c r="Y9" s="1954">
        <f t="shared" si="12"/>
        <v>13</v>
      </c>
      <c r="Z9" s="1952">
        <v>17</v>
      </c>
      <c r="AA9" s="1952">
        <v>0</v>
      </c>
      <c r="AB9" s="1952">
        <v>0</v>
      </c>
      <c r="AC9" s="1952">
        <f t="shared" si="6"/>
        <v>17</v>
      </c>
      <c r="AD9" s="1954">
        <f t="shared" si="13"/>
        <v>0.21428571428571427</v>
      </c>
      <c r="AE9" s="772">
        <v>9</v>
      </c>
      <c r="AF9" s="1952">
        <v>0</v>
      </c>
      <c r="AG9" s="1952">
        <v>0</v>
      </c>
      <c r="AH9" s="1952">
        <f t="shared" si="7"/>
        <v>9</v>
      </c>
      <c r="AI9" s="1954">
        <f t="shared" si="14"/>
        <v>-0.47058823529411764</v>
      </c>
      <c r="AJ9" s="772">
        <v>41</v>
      </c>
      <c r="AK9" s="1952">
        <v>0</v>
      </c>
      <c r="AL9" s="1952">
        <v>0</v>
      </c>
      <c r="AM9" s="1952">
        <f t="shared" si="8"/>
        <v>41</v>
      </c>
      <c r="AN9" s="1954">
        <f t="shared" si="15"/>
        <v>3.5555555555555554</v>
      </c>
      <c r="AO9" s="1952">
        <v>0</v>
      </c>
      <c r="AP9" s="1952">
        <v>8</v>
      </c>
      <c r="AQ9" s="1952">
        <v>0</v>
      </c>
      <c r="AR9" s="1952">
        <f t="shared" si="9"/>
        <v>8</v>
      </c>
      <c r="AS9" s="1954">
        <f t="shared" si="16"/>
        <v>-0.80487804878048785</v>
      </c>
      <c r="AT9" s="124"/>
      <c r="AU9" s="124"/>
      <c r="AV9" s="124"/>
      <c r="AW9" s="124"/>
    </row>
    <row r="10" spans="1:49" x14ac:dyDescent="0.25">
      <c r="A10" s="1319" t="s">
        <v>1019</v>
      </c>
      <c r="B10" s="1949">
        <v>828</v>
      </c>
      <c r="C10" s="1949">
        <v>60</v>
      </c>
      <c r="D10" s="1949">
        <v>0</v>
      </c>
      <c r="E10" s="1951">
        <f t="shared" si="0"/>
        <v>888</v>
      </c>
      <c r="F10" s="1949">
        <v>756</v>
      </c>
      <c r="G10" s="1949">
        <v>78</v>
      </c>
      <c r="H10" s="1949">
        <v>0</v>
      </c>
      <c r="I10" s="1952">
        <f t="shared" si="1"/>
        <v>834</v>
      </c>
      <c r="J10" s="505">
        <f t="shared" si="2"/>
        <v>-6.0810810810810814E-2</v>
      </c>
      <c r="K10" s="1952">
        <v>987</v>
      </c>
      <c r="L10" s="1952">
        <v>21</v>
      </c>
      <c r="M10" s="1952">
        <v>0</v>
      </c>
      <c r="N10" s="1952">
        <f t="shared" si="3"/>
        <v>1008</v>
      </c>
      <c r="O10" s="1954">
        <f t="shared" si="10"/>
        <v>0.20863309352517986</v>
      </c>
      <c r="P10" s="1953">
        <v>1014</v>
      </c>
      <c r="Q10" s="1952">
        <v>48</v>
      </c>
      <c r="R10" s="1952">
        <v>0</v>
      </c>
      <c r="S10" s="1952">
        <f t="shared" si="4"/>
        <v>1062</v>
      </c>
      <c r="T10" s="505">
        <f t="shared" si="11"/>
        <v>5.3571428571428568E-2</v>
      </c>
      <c r="U10" s="1952">
        <v>951</v>
      </c>
      <c r="V10" s="1952">
        <v>48</v>
      </c>
      <c r="W10" s="1952">
        <v>0</v>
      </c>
      <c r="X10" s="1952">
        <f t="shared" si="5"/>
        <v>999</v>
      </c>
      <c r="Y10" s="1954">
        <f t="shared" si="12"/>
        <v>-5.9322033898305086E-2</v>
      </c>
      <c r="Z10" s="1952">
        <v>651</v>
      </c>
      <c r="AA10" s="1952">
        <v>84</v>
      </c>
      <c r="AB10" s="1952">
        <v>0</v>
      </c>
      <c r="AC10" s="1952">
        <f t="shared" si="6"/>
        <v>735</v>
      </c>
      <c r="AD10" s="1954">
        <f t="shared" si="13"/>
        <v>-0.26426426426426425</v>
      </c>
      <c r="AE10" s="772">
        <v>597</v>
      </c>
      <c r="AF10" s="1952">
        <v>42</v>
      </c>
      <c r="AG10" s="1952">
        <v>0</v>
      </c>
      <c r="AH10" s="1952">
        <f t="shared" si="7"/>
        <v>639</v>
      </c>
      <c r="AI10" s="1954">
        <f t="shared" si="14"/>
        <v>-0.1306122448979592</v>
      </c>
      <c r="AJ10" s="772">
        <v>618</v>
      </c>
      <c r="AK10" s="1952">
        <v>18</v>
      </c>
      <c r="AL10" s="1952">
        <v>0</v>
      </c>
      <c r="AM10" s="1952">
        <f t="shared" si="8"/>
        <v>636</v>
      </c>
      <c r="AN10" s="1954">
        <f t="shared" si="15"/>
        <v>-4.6948356807511738E-3</v>
      </c>
      <c r="AO10" s="1952">
        <v>204</v>
      </c>
      <c r="AP10" s="1952">
        <v>120</v>
      </c>
      <c r="AQ10" s="1952">
        <v>0</v>
      </c>
      <c r="AR10" s="1952">
        <f t="shared" si="9"/>
        <v>324</v>
      </c>
      <c r="AS10" s="1954">
        <f t="shared" si="16"/>
        <v>-0.49056603773584906</v>
      </c>
      <c r="AT10" s="124"/>
      <c r="AU10" s="124"/>
      <c r="AV10" s="124"/>
      <c r="AW10" s="124"/>
    </row>
    <row r="11" spans="1:49" x14ac:dyDescent="0.25">
      <c r="A11" s="1319" t="s">
        <v>1020</v>
      </c>
      <c r="B11" s="1949">
        <v>0</v>
      </c>
      <c r="C11" s="1949">
        <v>135</v>
      </c>
      <c r="D11" s="1949">
        <v>0</v>
      </c>
      <c r="E11" s="1951">
        <f t="shared" si="0"/>
        <v>135</v>
      </c>
      <c r="F11" s="1949">
        <v>105</v>
      </c>
      <c r="G11" s="1949">
        <v>198</v>
      </c>
      <c r="H11" s="1949">
        <v>0</v>
      </c>
      <c r="I11" s="1952">
        <f t="shared" si="1"/>
        <v>303</v>
      </c>
      <c r="J11" s="505">
        <f t="shared" si="2"/>
        <v>1.2444444444444445</v>
      </c>
      <c r="K11" s="1952">
        <v>102</v>
      </c>
      <c r="L11" s="1952">
        <v>165</v>
      </c>
      <c r="M11" s="1952">
        <v>0</v>
      </c>
      <c r="N11" s="1952">
        <f t="shared" si="3"/>
        <v>267</v>
      </c>
      <c r="O11" s="1954">
        <f t="shared" si="10"/>
        <v>-0.11881188118811881</v>
      </c>
      <c r="P11" s="1952">
        <v>90</v>
      </c>
      <c r="Q11" s="1952">
        <v>171</v>
      </c>
      <c r="R11" s="1952">
        <v>0</v>
      </c>
      <c r="S11" s="1952">
        <f t="shared" si="4"/>
        <v>261</v>
      </c>
      <c r="T11" s="505">
        <f t="shared" si="11"/>
        <v>-2.247191011235955E-2</v>
      </c>
      <c r="U11" s="1952">
        <v>99</v>
      </c>
      <c r="V11" s="1952">
        <v>204</v>
      </c>
      <c r="W11" s="1952">
        <v>0</v>
      </c>
      <c r="X11" s="1952">
        <f t="shared" si="5"/>
        <v>303</v>
      </c>
      <c r="Y11" s="1954">
        <f t="shared" si="12"/>
        <v>0.16091954022988506</v>
      </c>
      <c r="Z11" s="1952">
        <v>174</v>
      </c>
      <c r="AA11" s="1952">
        <v>204</v>
      </c>
      <c r="AB11" s="1952">
        <v>0</v>
      </c>
      <c r="AC11" s="1952">
        <f t="shared" si="6"/>
        <v>378</v>
      </c>
      <c r="AD11" s="1954">
        <f t="shared" si="13"/>
        <v>0.24752475247524752</v>
      </c>
      <c r="AE11" s="772">
        <v>177</v>
      </c>
      <c r="AF11" s="1952">
        <v>214</v>
      </c>
      <c r="AG11" s="1952">
        <v>0</v>
      </c>
      <c r="AH11" s="1952">
        <f t="shared" si="7"/>
        <v>391</v>
      </c>
      <c r="AI11" s="1954">
        <f t="shared" si="14"/>
        <v>3.439153439153439E-2</v>
      </c>
      <c r="AJ11" s="772">
        <v>180</v>
      </c>
      <c r="AK11" s="1952">
        <v>205</v>
      </c>
      <c r="AL11" s="1952">
        <v>0</v>
      </c>
      <c r="AM11" s="1952">
        <f t="shared" si="8"/>
        <v>385</v>
      </c>
      <c r="AN11" s="1954">
        <f t="shared" si="15"/>
        <v>-1.5345268542199489E-2</v>
      </c>
      <c r="AO11" s="1952">
        <v>174</v>
      </c>
      <c r="AP11" s="1952">
        <v>212</v>
      </c>
      <c r="AQ11" s="1952">
        <v>0</v>
      </c>
      <c r="AR11" s="1952">
        <f t="shared" si="9"/>
        <v>386</v>
      </c>
      <c r="AS11" s="1954">
        <f t="shared" si="16"/>
        <v>2.5974025974025974E-3</v>
      </c>
      <c r="AT11" s="124"/>
      <c r="AU11" s="124"/>
      <c r="AV11" s="124"/>
      <c r="AW11" s="124"/>
    </row>
    <row r="12" spans="1:49" x14ac:dyDescent="0.25">
      <c r="A12" s="1319" t="s">
        <v>1021</v>
      </c>
      <c r="B12" s="1949">
        <v>163</v>
      </c>
      <c r="C12" s="1949">
        <v>165</v>
      </c>
      <c r="D12" s="1949">
        <v>0</v>
      </c>
      <c r="E12" s="1951">
        <f t="shared" si="0"/>
        <v>328</v>
      </c>
      <c r="F12" s="1949">
        <v>219</v>
      </c>
      <c r="G12" s="1949">
        <v>132</v>
      </c>
      <c r="H12" s="1949">
        <v>0</v>
      </c>
      <c r="I12" s="1952">
        <f t="shared" si="1"/>
        <v>351</v>
      </c>
      <c r="J12" s="505">
        <f t="shared" si="2"/>
        <v>7.0121951219512202E-2</v>
      </c>
      <c r="K12" s="1952">
        <v>243</v>
      </c>
      <c r="L12" s="1952">
        <v>180</v>
      </c>
      <c r="M12" s="1952">
        <v>0</v>
      </c>
      <c r="N12" s="1952">
        <f t="shared" si="3"/>
        <v>423</v>
      </c>
      <c r="O12" s="1954">
        <f t="shared" si="10"/>
        <v>0.20512820512820512</v>
      </c>
      <c r="P12" s="1952">
        <v>280</v>
      </c>
      <c r="Q12" s="1952">
        <v>213</v>
      </c>
      <c r="R12" s="1952">
        <v>0</v>
      </c>
      <c r="S12" s="1952">
        <f t="shared" si="4"/>
        <v>493</v>
      </c>
      <c r="T12" s="505">
        <f t="shared" si="11"/>
        <v>0.16548463356973994</v>
      </c>
      <c r="U12" s="1952">
        <v>378</v>
      </c>
      <c r="V12" s="1952">
        <v>291</v>
      </c>
      <c r="W12" s="1952">
        <v>0</v>
      </c>
      <c r="X12" s="1952">
        <f t="shared" si="5"/>
        <v>669</v>
      </c>
      <c r="Y12" s="1954">
        <f t="shared" si="12"/>
        <v>0.35699797160243407</v>
      </c>
      <c r="Z12" s="1952">
        <v>371</v>
      </c>
      <c r="AA12" s="1952">
        <v>288</v>
      </c>
      <c r="AB12" s="1952">
        <v>0</v>
      </c>
      <c r="AC12" s="1952">
        <f t="shared" si="6"/>
        <v>659</v>
      </c>
      <c r="AD12" s="1954">
        <f t="shared" si="13"/>
        <v>-1.4947683109118086E-2</v>
      </c>
      <c r="AE12" s="772">
        <v>322</v>
      </c>
      <c r="AF12" s="1952">
        <v>243</v>
      </c>
      <c r="AG12" s="1952">
        <v>0</v>
      </c>
      <c r="AH12" s="1952">
        <f t="shared" si="7"/>
        <v>565</v>
      </c>
      <c r="AI12" s="1954">
        <f t="shared" si="14"/>
        <v>-0.14264036418816389</v>
      </c>
      <c r="AJ12" s="772">
        <v>364</v>
      </c>
      <c r="AK12" s="1952">
        <v>304</v>
      </c>
      <c r="AL12" s="1952">
        <v>0</v>
      </c>
      <c r="AM12" s="1952">
        <f t="shared" si="8"/>
        <v>668</v>
      </c>
      <c r="AN12" s="1954">
        <f t="shared" si="15"/>
        <v>0.18230088495575222</v>
      </c>
      <c r="AO12" s="1952">
        <v>82</v>
      </c>
      <c r="AP12" s="1952">
        <v>466</v>
      </c>
      <c r="AQ12" s="1952">
        <v>0</v>
      </c>
      <c r="AR12" s="1952">
        <f t="shared" si="9"/>
        <v>548</v>
      </c>
      <c r="AS12" s="1954">
        <f t="shared" si="16"/>
        <v>-0.17964071856287425</v>
      </c>
      <c r="AT12" s="124"/>
      <c r="AU12" s="124"/>
      <c r="AV12" s="124"/>
      <c r="AW12" s="124"/>
    </row>
    <row r="13" spans="1:49" x14ac:dyDescent="0.25">
      <c r="A13" s="1319" t="s">
        <v>1582</v>
      </c>
      <c r="B13" s="1949">
        <v>0</v>
      </c>
      <c r="C13" s="1949">
        <v>0</v>
      </c>
      <c r="D13" s="1949">
        <v>0</v>
      </c>
      <c r="E13" s="1951">
        <f t="shared" si="0"/>
        <v>0</v>
      </c>
      <c r="F13" s="1949">
        <v>0</v>
      </c>
      <c r="G13" s="1949">
        <v>0</v>
      </c>
      <c r="H13" s="1949">
        <v>0</v>
      </c>
      <c r="I13" s="1952">
        <f t="shared" si="1"/>
        <v>0</v>
      </c>
      <c r="J13" s="505" t="str">
        <f t="shared" si="2"/>
        <v>N/A</v>
      </c>
      <c r="K13" s="1952">
        <v>0</v>
      </c>
      <c r="L13" s="1952">
        <v>0</v>
      </c>
      <c r="M13" s="1952">
        <v>0</v>
      </c>
      <c r="N13" s="1952">
        <f t="shared" si="3"/>
        <v>0</v>
      </c>
      <c r="O13" s="1954" t="str">
        <f t="shared" si="10"/>
        <v>N/A</v>
      </c>
      <c r="P13" s="1952">
        <v>0</v>
      </c>
      <c r="Q13" s="1952">
        <v>0</v>
      </c>
      <c r="R13" s="1952">
        <v>0</v>
      </c>
      <c r="S13" s="1952">
        <f t="shared" si="4"/>
        <v>0</v>
      </c>
      <c r="T13" s="505" t="str">
        <f t="shared" si="11"/>
        <v>N/A</v>
      </c>
      <c r="U13" s="1952">
        <v>0</v>
      </c>
      <c r="V13" s="1952">
        <v>0</v>
      </c>
      <c r="W13" s="1952">
        <v>0</v>
      </c>
      <c r="X13" s="1952">
        <f t="shared" si="5"/>
        <v>0</v>
      </c>
      <c r="Y13" s="1954" t="str">
        <f t="shared" si="12"/>
        <v>N/A</v>
      </c>
      <c r="Z13" s="1952">
        <v>4</v>
      </c>
      <c r="AA13" s="1952">
        <v>0</v>
      </c>
      <c r="AB13" s="1952">
        <v>0</v>
      </c>
      <c r="AC13" s="1952">
        <f t="shared" si="6"/>
        <v>4</v>
      </c>
      <c r="AD13" s="1954">
        <f t="shared" si="13"/>
        <v>1</v>
      </c>
      <c r="AE13" s="772">
        <v>0</v>
      </c>
      <c r="AF13" s="1952">
        <v>0</v>
      </c>
      <c r="AG13" s="1952">
        <v>0</v>
      </c>
      <c r="AH13" s="1952">
        <f t="shared" si="7"/>
        <v>0</v>
      </c>
      <c r="AI13" s="1954">
        <f t="shared" si="14"/>
        <v>-1</v>
      </c>
      <c r="AJ13" s="772">
        <v>0</v>
      </c>
      <c r="AK13" s="1952">
        <v>0</v>
      </c>
      <c r="AL13" s="1952">
        <v>0</v>
      </c>
      <c r="AM13" s="1952">
        <f t="shared" si="8"/>
        <v>0</v>
      </c>
      <c r="AN13" s="1954" t="str">
        <f t="shared" si="15"/>
        <v>N/A</v>
      </c>
      <c r="AO13" s="1952">
        <v>0</v>
      </c>
      <c r="AP13" s="1952">
        <v>0</v>
      </c>
      <c r="AQ13" s="1952">
        <v>0</v>
      </c>
      <c r="AR13" s="1952">
        <f t="shared" si="9"/>
        <v>0</v>
      </c>
      <c r="AS13" s="1954" t="str">
        <f t="shared" si="16"/>
        <v>N/A</v>
      </c>
      <c r="AT13" s="124"/>
      <c r="AU13" s="124"/>
      <c r="AV13" s="124"/>
      <c r="AW13" s="124"/>
    </row>
    <row r="14" spans="1:49" x14ac:dyDescent="0.25">
      <c r="A14" s="1319" t="s">
        <v>1022</v>
      </c>
      <c r="B14" s="1949">
        <v>0</v>
      </c>
      <c r="C14" s="1949">
        <v>417</v>
      </c>
      <c r="D14" s="1949">
        <v>0</v>
      </c>
      <c r="E14" s="1951">
        <f t="shared" si="0"/>
        <v>417</v>
      </c>
      <c r="F14" s="1949">
        <v>0</v>
      </c>
      <c r="G14" s="1949">
        <v>498</v>
      </c>
      <c r="H14" s="1949">
        <v>0</v>
      </c>
      <c r="I14" s="1952">
        <f t="shared" si="1"/>
        <v>498</v>
      </c>
      <c r="J14" s="505">
        <f t="shared" si="2"/>
        <v>0.19424460431654678</v>
      </c>
      <c r="K14" s="1952">
        <v>0</v>
      </c>
      <c r="L14" s="1952">
        <v>573</v>
      </c>
      <c r="M14" s="1952">
        <v>0</v>
      </c>
      <c r="N14" s="1952">
        <f t="shared" si="3"/>
        <v>573</v>
      </c>
      <c r="O14" s="1954">
        <f t="shared" si="10"/>
        <v>0.15060240963855423</v>
      </c>
      <c r="P14" s="1952">
        <v>0</v>
      </c>
      <c r="Q14" s="1952">
        <v>534</v>
      </c>
      <c r="R14" s="1952">
        <v>0</v>
      </c>
      <c r="S14" s="1952">
        <f t="shared" si="4"/>
        <v>534</v>
      </c>
      <c r="T14" s="505">
        <f t="shared" si="11"/>
        <v>-6.8062827225130892E-2</v>
      </c>
      <c r="U14" s="1952">
        <v>0</v>
      </c>
      <c r="V14" s="1952">
        <v>513</v>
      </c>
      <c r="W14" s="1952">
        <v>0</v>
      </c>
      <c r="X14" s="1952">
        <f t="shared" si="5"/>
        <v>513</v>
      </c>
      <c r="Y14" s="1954">
        <f t="shared" si="12"/>
        <v>-3.9325842696629212E-2</v>
      </c>
      <c r="Z14" s="1952">
        <v>0</v>
      </c>
      <c r="AA14" s="1952">
        <v>474</v>
      </c>
      <c r="AB14" s="1952">
        <v>0</v>
      </c>
      <c r="AC14" s="1952">
        <f t="shared" si="6"/>
        <v>474</v>
      </c>
      <c r="AD14" s="1954">
        <f t="shared" si="13"/>
        <v>-7.6023391812865493E-2</v>
      </c>
      <c r="AE14" s="772">
        <v>0</v>
      </c>
      <c r="AF14" s="1952">
        <v>492</v>
      </c>
      <c r="AG14" s="1952">
        <v>0</v>
      </c>
      <c r="AH14" s="1952">
        <f t="shared" si="7"/>
        <v>492</v>
      </c>
      <c r="AI14" s="1954">
        <f t="shared" si="14"/>
        <v>3.7974683544303799E-2</v>
      </c>
      <c r="AJ14" s="772">
        <v>0</v>
      </c>
      <c r="AK14" s="1952">
        <v>483</v>
      </c>
      <c r="AL14" s="1952">
        <v>0</v>
      </c>
      <c r="AM14" s="1952">
        <f t="shared" si="8"/>
        <v>483</v>
      </c>
      <c r="AN14" s="1954">
        <f t="shared" si="15"/>
        <v>-1.8292682926829267E-2</v>
      </c>
      <c r="AO14" s="1952">
        <v>0</v>
      </c>
      <c r="AP14" s="1952">
        <v>483</v>
      </c>
      <c r="AQ14" s="1952">
        <v>0</v>
      </c>
      <c r="AR14" s="1952">
        <f t="shared" si="9"/>
        <v>483</v>
      </c>
      <c r="AS14" s="1954">
        <f t="shared" si="16"/>
        <v>0</v>
      </c>
      <c r="AT14" s="124"/>
      <c r="AU14" s="124"/>
      <c r="AV14" s="124"/>
      <c r="AW14" s="124"/>
    </row>
    <row r="15" spans="1:49" x14ac:dyDescent="0.25">
      <c r="A15" s="1319" t="s">
        <v>1023</v>
      </c>
      <c r="B15" s="1949">
        <v>0</v>
      </c>
      <c r="C15" s="1949">
        <v>162</v>
      </c>
      <c r="D15" s="1949">
        <v>0</v>
      </c>
      <c r="E15" s="1951">
        <f t="shared" si="0"/>
        <v>162</v>
      </c>
      <c r="F15" s="1949">
        <v>0</v>
      </c>
      <c r="G15" s="1949">
        <v>249</v>
      </c>
      <c r="H15" s="1949">
        <v>0</v>
      </c>
      <c r="I15" s="1952">
        <f t="shared" si="1"/>
        <v>249</v>
      </c>
      <c r="J15" s="505">
        <f t="shared" si="2"/>
        <v>0.53703703703703709</v>
      </c>
      <c r="K15" s="1952">
        <v>0</v>
      </c>
      <c r="L15" s="1952">
        <v>279</v>
      </c>
      <c r="M15" s="1952">
        <v>0</v>
      </c>
      <c r="N15" s="1952">
        <f t="shared" si="3"/>
        <v>279</v>
      </c>
      <c r="O15" s="1954">
        <f t="shared" si="10"/>
        <v>0.12048192771084337</v>
      </c>
      <c r="P15" s="1952">
        <v>0</v>
      </c>
      <c r="Q15" s="1952">
        <v>315</v>
      </c>
      <c r="R15" s="1952">
        <v>0</v>
      </c>
      <c r="S15" s="1952">
        <f t="shared" si="4"/>
        <v>315</v>
      </c>
      <c r="T15" s="505">
        <f t="shared" si="11"/>
        <v>0.12903225806451613</v>
      </c>
      <c r="U15" s="1952">
        <v>0</v>
      </c>
      <c r="V15" s="1952">
        <v>471</v>
      </c>
      <c r="W15" s="1952">
        <v>0</v>
      </c>
      <c r="X15" s="1952">
        <f t="shared" si="5"/>
        <v>471</v>
      </c>
      <c r="Y15" s="1954">
        <f t="shared" si="12"/>
        <v>0.49523809523809526</v>
      </c>
      <c r="Z15" s="1952">
        <v>0</v>
      </c>
      <c r="AA15" s="1952">
        <v>285</v>
      </c>
      <c r="AB15" s="1952">
        <v>0</v>
      </c>
      <c r="AC15" s="1952">
        <f t="shared" si="6"/>
        <v>285</v>
      </c>
      <c r="AD15" s="1954">
        <f t="shared" si="13"/>
        <v>-0.39490445859872614</v>
      </c>
      <c r="AE15" s="772">
        <v>0</v>
      </c>
      <c r="AF15" s="1952">
        <v>279</v>
      </c>
      <c r="AG15" s="1952">
        <v>0</v>
      </c>
      <c r="AH15" s="1952">
        <f t="shared" si="7"/>
        <v>279</v>
      </c>
      <c r="AI15" s="1954">
        <f t="shared" si="14"/>
        <v>-2.1052631578947368E-2</v>
      </c>
      <c r="AJ15" s="772">
        <v>0</v>
      </c>
      <c r="AK15" s="1952">
        <v>342</v>
      </c>
      <c r="AL15" s="1952">
        <v>0</v>
      </c>
      <c r="AM15" s="1952">
        <f t="shared" si="8"/>
        <v>342</v>
      </c>
      <c r="AN15" s="1954">
        <f t="shared" si="15"/>
        <v>0.22580645161290322</v>
      </c>
      <c r="AO15" s="1952">
        <v>0</v>
      </c>
      <c r="AP15" s="1952">
        <v>303</v>
      </c>
      <c r="AQ15" s="1952">
        <v>0</v>
      </c>
      <c r="AR15" s="1952">
        <f t="shared" si="9"/>
        <v>303</v>
      </c>
      <c r="AS15" s="1954">
        <f t="shared" si="16"/>
        <v>-0.11403508771929824</v>
      </c>
      <c r="AT15" s="124"/>
      <c r="AU15" s="124"/>
      <c r="AV15" s="124"/>
      <c r="AW15" s="124"/>
    </row>
    <row r="16" spans="1:49" s="484" customFormat="1" ht="13.8" x14ac:dyDescent="0.25">
      <c r="A16" s="1322" t="s">
        <v>1015</v>
      </c>
      <c r="B16" s="481">
        <f t="shared" ref="B16:I16" si="17">SUM(B7:B15)</f>
        <v>2154</v>
      </c>
      <c r="C16" s="481">
        <f t="shared" si="17"/>
        <v>1848</v>
      </c>
      <c r="D16" s="481">
        <f t="shared" si="17"/>
        <v>0</v>
      </c>
      <c r="E16" s="591">
        <f t="shared" si="17"/>
        <v>4002</v>
      </c>
      <c r="F16" s="481">
        <f t="shared" si="17"/>
        <v>2328</v>
      </c>
      <c r="G16" s="481">
        <f t="shared" si="17"/>
        <v>2149</v>
      </c>
      <c r="H16" s="481">
        <f t="shared" si="17"/>
        <v>0</v>
      </c>
      <c r="I16" s="481">
        <f t="shared" si="17"/>
        <v>4477</v>
      </c>
      <c r="J16" s="585">
        <f t="shared" si="2"/>
        <v>0.11869065467266367</v>
      </c>
      <c r="K16" s="481">
        <f>SUM(K7:K15)</f>
        <v>2562</v>
      </c>
      <c r="L16" s="481">
        <f>SUM(L7:L15)</f>
        <v>2311</v>
      </c>
      <c r="M16" s="481">
        <f>SUM(M7:M15)</f>
        <v>0</v>
      </c>
      <c r="N16" s="481">
        <f>SUM(N7:N15)</f>
        <v>4873</v>
      </c>
      <c r="O16" s="593">
        <f>IF(I16&gt;0,(N16-I16)/I16,(IF(N16=0,"N/A",100%)))</f>
        <v>8.8452088452088448E-2</v>
      </c>
      <c r="P16" s="481">
        <f>SUM(P7:P15)</f>
        <v>2630</v>
      </c>
      <c r="Q16" s="481">
        <f>SUM(Q7:Q15)</f>
        <v>2371</v>
      </c>
      <c r="R16" s="481">
        <f>SUM(R7:R15)</f>
        <v>0</v>
      </c>
      <c r="S16" s="481">
        <f>SUM(S7:S15)</f>
        <v>5001</v>
      </c>
      <c r="T16" s="586">
        <f t="shared" si="11"/>
        <v>2.6267186538066898E-2</v>
      </c>
      <c r="U16" s="481">
        <f>SUM(U7:U15)</f>
        <v>2792</v>
      </c>
      <c r="V16" s="481">
        <f>SUM(V7:V15)</f>
        <v>2790</v>
      </c>
      <c r="W16" s="481">
        <f>SUM(W7:W15)</f>
        <v>0</v>
      </c>
      <c r="X16" s="481">
        <f>SUM(X7:X15)</f>
        <v>5582</v>
      </c>
      <c r="Y16" s="593">
        <f>IF(S16&gt;0,(X16-S16)/S16,(IF(X16=0,"N/A",100%)))</f>
        <v>0.11617676464707058</v>
      </c>
      <c r="Z16" s="481">
        <f>SUM(Z7:Z15)</f>
        <v>2486</v>
      </c>
      <c r="AA16" s="481">
        <f>SUM(AA7:AA15)</f>
        <v>2518</v>
      </c>
      <c r="AB16" s="481">
        <f>SUM(AB7:AB15)</f>
        <v>0</v>
      </c>
      <c r="AC16" s="481">
        <f>SUM(AC7:AC15)</f>
        <v>5004</v>
      </c>
      <c r="AD16" s="593">
        <f>IF(X16&gt;0,(AC16-X16)/X16,(IF(AC16=0,"N/A",100%)))</f>
        <v>-0.10354711572912935</v>
      </c>
      <c r="AE16" s="1040">
        <f>SUM(AE7:AE15)</f>
        <v>2227</v>
      </c>
      <c r="AF16" s="481">
        <f>SUM(AF7:AF15)</f>
        <v>2513</v>
      </c>
      <c r="AG16" s="481">
        <f>SUM(AG7:AG15)</f>
        <v>0</v>
      </c>
      <c r="AH16" s="481">
        <f>SUM(AH7:AH15)</f>
        <v>4740</v>
      </c>
      <c r="AI16" s="593">
        <f>IF(AC16&gt;0,(AH16-AC16)/AC16,(IF(AH16=0,"N/A",100%)))</f>
        <v>-5.2757793764988008E-2</v>
      </c>
      <c r="AJ16" s="1040">
        <f>SUM(AJ7:AJ15)</f>
        <v>2067</v>
      </c>
      <c r="AK16" s="481">
        <f>SUM(AK7:AK15)</f>
        <v>2662</v>
      </c>
      <c r="AL16" s="481">
        <f>SUM(AL7:AL15)</f>
        <v>0</v>
      </c>
      <c r="AM16" s="481">
        <f>SUM(AM7:AM15)</f>
        <v>4729</v>
      </c>
      <c r="AN16" s="593">
        <f>IF(AH16&gt;0,(AM16-AH16)/AH16,(IF(AM16=0,"N/A",100%)))</f>
        <v>-2.320675105485232E-3</v>
      </c>
      <c r="AO16" s="481">
        <f>SUM(AO7:AO15)</f>
        <v>748</v>
      </c>
      <c r="AP16" s="481">
        <f>SUM(AP7:AP15)</f>
        <v>3584</v>
      </c>
      <c r="AQ16" s="481">
        <f>SUM(AQ7:AQ15)</f>
        <v>0</v>
      </c>
      <c r="AR16" s="481">
        <f>SUM(AR7:AR15)</f>
        <v>4332</v>
      </c>
      <c r="AS16" s="593">
        <f>IF(AM16&gt;0,(AR16-AM16)/AM16,(IF(AR16=0,"N/A",100%)))</f>
        <v>-8.3950095157538596E-2</v>
      </c>
      <c r="AT16" s="124"/>
      <c r="AU16" s="124"/>
      <c r="AV16" s="124"/>
      <c r="AW16" s="124"/>
    </row>
    <row r="17" spans="1:49" x14ac:dyDescent="0.25">
      <c r="A17" s="1325" t="s">
        <v>432</v>
      </c>
      <c r="B17" s="1869"/>
      <c r="C17" s="1877"/>
      <c r="D17" s="1877"/>
      <c r="E17" s="438"/>
      <c r="F17" s="1869"/>
      <c r="G17" s="1877"/>
      <c r="H17" s="1877"/>
      <c r="I17" s="1877"/>
      <c r="J17" s="438"/>
      <c r="K17" s="1869"/>
      <c r="L17" s="1870"/>
      <c r="M17" s="1877"/>
      <c r="N17" s="1877"/>
      <c r="O17" s="438"/>
      <c r="P17" s="1869"/>
      <c r="Q17" s="1877"/>
      <c r="R17" s="1877"/>
      <c r="S17" s="1877"/>
      <c r="T17" s="438"/>
      <c r="U17" s="1869"/>
      <c r="V17" s="1870"/>
      <c r="W17" s="1877"/>
      <c r="X17" s="1877"/>
      <c r="Y17" s="438"/>
      <c r="Z17" s="1869"/>
      <c r="AA17" s="1870"/>
      <c r="AB17" s="1877"/>
      <c r="AC17" s="1877"/>
      <c r="AD17" s="438"/>
      <c r="AE17" s="1041"/>
      <c r="AF17" s="1870"/>
      <c r="AG17" s="1877"/>
      <c r="AH17" s="1877"/>
      <c r="AI17" s="438"/>
      <c r="AJ17" s="1041"/>
      <c r="AK17" s="1870"/>
      <c r="AL17" s="1877"/>
      <c r="AM17" s="1877"/>
      <c r="AN17" s="438"/>
      <c r="AO17" s="1869"/>
      <c r="AP17" s="1870"/>
      <c r="AQ17" s="1877"/>
      <c r="AR17" s="1877"/>
      <c r="AS17" s="438"/>
      <c r="AT17" s="124"/>
      <c r="AU17" s="124"/>
      <c r="AV17" s="124"/>
      <c r="AW17" s="124"/>
    </row>
    <row r="18" spans="1:49" x14ac:dyDescent="0.25">
      <c r="A18" s="1326" t="s">
        <v>1043</v>
      </c>
      <c r="B18" s="1616">
        <v>78</v>
      </c>
      <c r="C18" s="1616">
        <v>21</v>
      </c>
      <c r="D18" s="1617">
        <v>0</v>
      </c>
      <c r="E18" s="326">
        <f>SUM(B18:D18)</f>
        <v>99</v>
      </c>
      <c r="F18" s="1616">
        <v>198</v>
      </c>
      <c r="G18" s="1616">
        <v>0</v>
      </c>
      <c r="H18" s="1617">
        <v>0</v>
      </c>
      <c r="I18" s="1246">
        <f>SUM(F18:H18)</f>
        <v>198</v>
      </c>
      <c r="J18" s="491">
        <f t="shared" ref="J18:J24" si="18">IF(E18&gt;0,(I18-E18)/E18,(IF(I18=0,"N/A",100%)))</f>
        <v>1</v>
      </c>
      <c r="K18" s="1683">
        <v>195</v>
      </c>
      <c r="L18" s="1683">
        <v>0</v>
      </c>
      <c r="M18" s="1246">
        <v>0</v>
      </c>
      <c r="N18" s="1246">
        <f>SUM(K18:M18)</f>
        <v>195</v>
      </c>
      <c r="O18" s="1954">
        <f t="shared" ref="O18:O24" si="19">IF(I18&gt;0,(N18-I18)/I18,(IF(N18=0,"N/A",100%)))</f>
        <v>-1.5151515151515152E-2</v>
      </c>
      <c r="P18" s="1953">
        <v>210</v>
      </c>
      <c r="Q18" s="1683">
        <v>0</v>
      </c>
      <c r="R18" s="1246">
        <v>0</v>
      </c>
      <c r="S18" s="1246">
        <f>SUM(P18:R18)</f>
        <v>210</v>
      </c>
      <c r="T18" s="505">
        <f t="shared" si="11"/>
        <v>7.6923076923076927E-2</v>
      </c>
      <c r="U18" s="1683">
        <v>153</v>
      </c>
      <c r="V18" s="1683">
        <v>0</v>
      </c>
      <c r="W18" s="1246">
        <v>0</v>
      </c>
      <c r="X18" s="1246">
        <f>SUM(U18:W18)</f>
        <v>153</v>
      </c>
      <c r="Y18" s="1954">
        <f t="shared" ref="Y18:Y24" si="20">IF(S18&gt;0,(X18-S18)/S18,(IF(X18=0,"N/A",100%)))</f>
        <v>-0.27142857142857141</v>
      </c>
      <c r="Z18" s="1683">
        <v>153</v>
      </c>
      <c r="AA18" s="1683">
        <v>0</v>
      </c>
      <c r="AB18" s="1246">
        <v>0</v>
      </c>
      <c r="AC18" s="1246">
        <f>SUM(Z18:AB18)</f>
        <v>153</v>
      </c>
      <c r="AD18" s="1954">
        <f t="shared" ref="AD18:AD24" si="21">IF(X18&gt;0,(AC18-X18)/X18,(IF(AC18=0,"N/A",100%)))</f>
        <v>0</v>
      </c>
      <c r="AE18" s="683">
        <v>225</v>
      </c>
      <c r="AF18" s="1683">
        <v>0</v>
      </c>
      <c r="AG18" s="1246">
        <v>0</v>
      </c>
      <c r="AH18" s="1246">
        <f>SUM(AE18:AG18)</f>
        <v>225</v>
      </c>
      <c r="AI18" s="1954">
        <f t="shared" ref="AI18:AI24" si="22">IF(AC18&gt;0,(AH18-AC18)/AC18,(IF(AH18=0,"N/A",100%)))</f>
        <v>0.47058823529411764</v>
      </c>
      <c r="AJ18" s="683">
        <v>300</v>
      </c>
      <c r="AK18" s="1683">
        <v>0</v>
      </c>
      <c r="AL18" s="1246">
        <v>0</v>
      </c>
      <c r="AM18" s="1246">
        <f>SUM(AJ18:AL18)</f>
        <v>300</v>
      </c>
      <c r="AN18" s="1954">
        <f t="shared" ref="AN18:AN24" si="23">IF(AH18&gt;0,(AM18-AH18)/AH18,(IF(AM18=0,"N/A",100%)))</f>
        <v>0.33333333333333331</v>
      </c>
      <c r="AO18" s="1683">
        <v>240</v>
      </c>
      <c r="AP18" s="1683">
        <v>0</v>
      </c>
      <c r="AQ18" s="1246">
        <v>0</v>
      </c>
      <c r="AR18" s="1246">
        <f>SUM(AO18:AQ18)</f>
        <v>240</v>
      </c>
      <c r="AS18" s="1954">
        <f t="shared" ref="AS18:AS24" si="24">IF(AM18&gt;0,(AR18-AM18)/AM18,(IF(AR18=0,"N/A",100%)))</f>
        <v>-0.2</v>
      </c>
      <c r="AT18" s="124"/>
      <c r="AU18" s="124"/>
      <c r="AV18" s="124"/>
      <c r="AW18" s="124"/>
    </row>
    <row r="19" spans="1:49" x14ac:dyDescent="0.25">
      <c r="A19" s="1326" t="s">
        <v>514</v>
      </c>
      <c r="B19" s="1616">
        <v>0</v>
      </c>
      <c r="C19" s="1616">
        <v>111</v>
      </c>
      <c r="D19" s="1617">
        <v>0</v>
      </c>
      <c r="E19" s="326">
        <f>SUM(B19:D19)</f>
        <v>111</v>
      </c>
      <c r="F19" s="1616">
        <v>0</v>
      </c>
      <c r="G19" s="1616">
        <v>75</v>
      </c>
      <c r="H19" s="1617">
        <v>0</v>
      </c>
      <c r="I19" s="1246">
        <f>SUM(F19:H19)</f>
        <v>75</v>
      </c>
      <c r="J19" s="491">
        <f t="shared" si="18"/>
        <v>-0.32432432432432434</v>
      </c>
      <c r="K19" s="1683">
        <v>0</v>
      </c>
      <c r="L19" s="1683">
        <v>66</v>
      </c>
      <c r="M19" s="1246">
        <v>0</v>
      </c>
      <c r="N19" s="1246">
        <f>SUM(K19:M19)</f>
        <v>66</v>
      </c>
      <c r="O19" s="1954">
        <f t="shared" si="19"/>
        <v>-0.12</v>
      </c>
      <c r="P19" s="1683">
        <v>0</v>
      </c>
      <c r="Q19" s="1683">
        <v>48</v>
      </c>
      <c r="R19" s="1246">
        <v>0</v>
      </c>
      <c r="S19" s="1246">
        <f>SUM(P19:R19)</f>
        <v>48</v>
      </c>
      <c r="T19" s="505">
        <f t="shared" si="11"/>
        <v>-0.27272727272727271</v>
      </c>
      <c r="U19" s="1683">
        <v>0</v>
      </c>
      <c r="V19" s="1683">
        <v>30</v>
      </c>
      <c r="W19" s="1246">
        <v>0</v>
      </c>
      <c r="X19" s="1246">
        <f>SUM(U19:W19)</f>
        <v>30</v>
      </c>
      <c r="Y19" s="1954">
        <f t="shared" si="20"/>
        <v>-0.375</v>
      </c>
      <c r="Z19" s="1683">
        <v>0</v>
      </c>
      <c r="AA19" s="1683">
        <v>57</v>
      </c>
      <c r="AB19" s="1246">
        <v>0</v>
      </c>
      <c r="AC19" s="1246">
        <f>SUM(Z19:AB19)</f>
        <v>57</v>
      </c>
      <c r="AD19" s="1954">
        <f t="shared" si="21"/>
        <v>0.9</v>
      </c>
      <c r="AE19" s="683">
        <v>0</v>
      </c>
      <c r="AF19" s="1683">
        <v>33</v>
      </c>
      <c r="AG19" s="1246">
        <v>0</v>
      </c>
      <c r="AH19" s="1246">
        <f>SUM(AE19:AG19)</f>
        <v>33</v>
      </c>
      <c r="AI19" s="1954">
        <f t="shared" si="22"/>
        <v>-0.42105263157894735</v>
      </c>
      <c r="AJ19" s="683">
        <v>0</v>
      </c>
      <c r="AK19" s="1683">
        <v>0</v>
      </c>
      <c r="AL19" s="1246">
        <v>0</v>
      </c>
      <c r="AM19" s="1246">
        <f>SUM(AJ19:AL19)</f>
        <v>0</v>
      </c>
      <c r="AN19" s="1954">
        <f t="shared" si="23"/>
        <v>-1</v>
      </c>
      <c r="AO19" s="1683">
        <v>0</v>
      </c>
      <c r="AP19" s="1683">
        <v>0</v>
      </c>
      <c r="AQ19" s="1246">
        <v>0</v>
      </c>
      <c r="AR19" s="1246">
        <f>SUM(AO19:AQ19)</f>
        <v>0</v>
      </c>
      <c r="AS19" s="1954" t="str">
        <f t="shared" si="24"/>
        <v>N/A</v>
      </c>
      <c r="AT19" s="124"/>
      <c r="AU19" s="124"/>
      <c r="AV19" s="124"/>
      <c r="AW19" s="124"/>
    </row>
    <row r="20" spans="1:49" x14ac:dyDescent="0.25">
      <c r="A20" s="1326" t="s">
        <v>1652</v>
      </c>
      <c r="B20" s="1616">
        <v>0</v>
      </c>
      <c r="C20" s="1616">
        <v>0</v>
      </c>
      <c r="D20" s="1617">
        <v>0</v>
      </c>
      <c r="E20" s="326">
        <f>SUM(B20:D20)</f>
        <v>0</v>
      </c>
      <c r="F20" s="1616">
        <v>0</v>
      </c>
      <c r="G20" s="1616">
        <v>0</v>
      </c>
      <c r="H20" s="1617">
        <v>0</v>
      </c>
      <c r="I20" s="1246">
        <f>SUM(F20:H20)</f>
        <v>0</v>
      </c>
      <c r="J20" s="491" t="str">
        <f>IF(E20&gt;0,(I20-E20)/E20,(IF(I20=0,"N/A",100%)))</f>
        <v>N/A</v>
      </c>
      <c r="K20" s="1616">
        <v>0</v>
      </c>
      <c r="L20" s="1616">
        <v>0</v>
      </c>
      <c r="M20" s="1617">
        <v>0</v>
      </c>
      <c r="N20" s="1246">
        <f>SUM(K20:M20)</f>
        <v>0</v>
      </c>
      <c r="O20" s="1954" t="str">
        <f t="shared" si="19"/>
        <v>N/A</v>
      </c>
      <c r="P20" s="1616">
        <v>0</v>
      </c>
      <c r="Q20" s="1616">
        <v>0</v>
      </c>
      <c r="R20" s="1617">
        <v>0</v>
      </c>
      <c r="S20" s="1246">
        <f>SUM(P20:R20)</f>
        <v>0</v>
      </c>
      <c r="T20" s="1954" t="str">
        <f t="shared" si="11"/>
        <v>N/A</v>
      </c>
      <c r="U20" s="1616">
        <v>0</v>
      </c>
      <c r="V20" s="1616">
        <v>0</v>
      </c>
      <c r="W20" s="1617">
        <v>0</v>
      </c>
      <c r="X20" s="1246">
        <f>SUM(U20:W20)</f>
        <v>0</v>
      </c>
      <c r="Y20" s="1954" t="str">
        <f t="shared" si="20"/>
        <v>N/A</v>
      </c>
      <c r="Z20" s="1616">
        <v>0</v>
      </c>
      <c r="AA20" s="1616">
        <v>0</v>
      </c>
      <c r="AB20" s="1617">
        <v>0</v>
      </c>
      <c r="AC20" s="1246">
        <f>SUM(Z20:AB20)</f>
        <v>0</v>
      </c>
      <c r="AD20" s="1954" t="str">
        <f t="shared" si="21"/>
        <v>N/A</v>
      </c>
      <c r="AE20" s="1028">
        <v>0</v>
      </c>
      <c r="AF20" s="1616">
        <v>0</v>
      </c>
      <c r="AG20" s="1617">
        <v>0</v>
      </c>
      <c r="AH20" s="1246">
        <f>SUM(AE20:AG20)</f>
        <v>0</v>
      </c>
      <c r="AI20" s="1954" t="str">
        <f t="shared" si="22"/>
        <v>N/A</v>
      </c>
      <c r="AJ20" s="1028">
        <v>0</v>
      </c>
      <c r="AK20" s="1616">
        <v>0</v>
      </c>
      <c r="AL20" s="1617">
        <v>51</v>
      </c>
      <c r="AM20" s="1246">
        <f>SUM(AJ20:AL20)</f>
        <v>51</v>
      </c>
      <c r="AN20" s="1954">
        <f t="shared" si="23"/>
        <v>1</v>
      </c>
      <c r="AO20" s="1616">
        <v>0</v>
      </c>
      <c r="AP20" s="1616">
        <v>0</v>
      </c>
      <c r="AQ20" s="1617">
        <v>39</v>
      </c>
      <c r="AR20" s="1246">
        <f>SUM(AO20:AQ20)</f>
        <v>39</v>
      </c>
      <c r="AS20" s="1954">
        <f t="shared" si="24"/>
        <v>-0.23529411764705882</v>
      </c>
      <c r="AT20" s="124"/>
      <c r="AU20" s="124"/>
      <c r="AV20" s="124"/>
      <c r="AW20" s="124"/>
    </row>
    <row r="21" spans="1:49" x14ac:dyDescent="0.25">
      <c r="A21" s="1326" t="s">
        <v>1042</v>
      </c>
      <c r="B21" s="1616">
        <v>462</v>
      </c>
      <c r="C21" s="1616">
        <v>567</v>
      </c>
      <c r="D21" s="1617">
        <v>0</v>
      </c>
      <c r="E21" s="326">
        <f>SUM(B21:D21)</f>
        <v>1029</v>
      </c>
      <c r="F21" s="1616">
        <v>555</v>
      </c>
      <c r="G21" s="1616">
        <v>496</v>
      </c>
      <c r="H21" s="1617">
        <v>0</v>
      </c>
      <c r="I21" s="1246">
        <f>SUM(F21:H21)</f>
        <v>1051</v>
      </c>
      <c r="J21" s="491">
        <f t="shared" si="18"/>
        <v>2.1379980563654033E-2</v>
      </c>
      <c r="K21" s="1683">
        <v>768</v>
      </c>
      <c r="L21" s="1683">
        <v>384</v>
      </c>
      <c r="M21" s="1246">
        <v>0</v>
      </c>
      <c r="N21" s="1246">
        <f>SUM(K21:M21)</f>
        <v>1152</v>
      </c>
      <c r="O21" s="1954">
        <f t="shared" si="19"/>
        <v>9.6098953377735497E-2</v>
      </c>
      <c r="P21" s="1683">
        <v>678</v>
      </c>
      <c r="Q21" s="1683">
        <v>340</v>
      </c>
      <c r="R21" s="1246">
        <v>0</v>
      </c>
      <c r="S21" s="1246">
        <f>SUM(P21:R21)</f>
        <v>1018</v>
      </c>
      <c r="T21" s="505">
        <f t="shared" si="11"/>
        <v>-0.11631944444444445</v>
      </c>
      <c r="U21" s="1683">
        <v>603</v>
      </c>
      <c r="V21" s="1683">
        <v>285</v>
      </c>
      <c r="W21" s="1246">
        <v>0</v>
      </c>
      <c r="X21" s="1246">
        <f>SUM(U21:W21)</f>
        <v>888</v>
      </c>
      <c r="Y21" s="1954">
        <f t="shared" si="20"/>
        <v>-0.12770137524557956</v>
      </c>
      <c r="Z21" s="1683">
        <v>525</v>
      </c>
      <c r="AA21" s="1683">
        <v>254</v>
      </c>
      <c r="AB21" s="1246">
        <v>0</v>
      </c>
      <c r="AC21" s="1246">
        <f>SUM(Z21:AB21)</f>
        <v>779</v>
      </c>
      <c r="AD21" s="1954">
        <f t="shared" si="21"/>
        <v>-0.12274774774774774</v>
      </c>
      <c r="AE21" s="683">
        <v>549</v>
      </c>
      <c r="AF21" s="1683">
        <v>339</v>
      </c>
      <c r="AG21" s="1246">
        <v>0</v>
      </c>
      <c r="AH21" s="1246">
        <f>SUM(AE21:AG21)</f>
        <v>888</v>
      </c>
      <c r="AI21" s="1954">
        <f t="shared" si="22"/>
        <v>0.13992297817715019</v>
      </c>
      <c r="AJ21" s="683">
        <v>642</v>
      </c>
      <c r="AK21" s="1683">
        <v>364</v>
      </c>
      <c r="AL21" s="1246">
        <v>0</v>
      </c>
      <c r="AM21" s="1246">
        <f>SUM(AJ21:AL21)</f>
        <v>1006</v>
      </c>
      <c r="AN21" s="1954">
        <f t="shared" si="23"/>
        <v>0.13288288288288289</v>
      </c>
      <c r="AO21" s="1683">
        <v>474</v>
      </c>
      <c r="AP21" s="1683">
        <v>352</v>
      </c>
      <c r="AQ21" s="1246">
        <v>0</v>
      </c>
      <c r="AR21" s="1246">
        <f>SUM(AO21:AQ21)</f>
        <v>826</v>
      </c>
      <c r="AS21" s="1954">
        <f t="shared" si="24"/>
        <v>-0.17892644135188868</v>
      </c>
      <c r="AT21" s="124"/>
      <c r="AU21" s="124"/>
      <c r="AV21" s="124"/>
      <c r="AW21" s="124"/>
    </row>
    <row r="22" spans="1:49" x14ac:dyDescent="0.25">
      <c r="A22" s="1326" t="s">
        <v>1014</v>
      </c>
      <c r="B22" s="1616">
        <v>544</v>
      </c>
      <c r="C22" s="1616">
        <v>564</v>
      </c>
      <c r="D22" s="1617">
        <v>0</v>
      </c>
      <c r="E22" s="326">
        <f>SUM(B22:D22)</f>
        <v>1108</v>
      </c>
      <c r="F22" s="1616">
        <v>705</v>
      </c>
      <c r="G22" s="1616">
        <v>735</v>
      </c>
      <c r="H22" s="1617">
        <v>0</v>
      </c>
      <c r="I22" s="1246">
        <f>SUM(F22:H22)</f>
        <v>1440</v>
      </c>
      <c r="J22" s="491">
        <f t="shared" si="18"/>
        <v>0.29963898916967507</v>
      </c>
      <c r="K22" s="1683">
        <v>682</v>
      </c>
      <c r="L22" s="1683">
        <v>594</v>
      </c>
      <c r="M22" s="1246">
        <v>0</v>
      </c>
      <c r="N22" s="1246">
        <f>SUM(K22:M22)</f>
        <v>1276</v>
      </c>
      <c r="O22" s="1954">
        <f t="shared" si="19"/>
        <v>-0.11388888888888889</v>
      </c>
      <c r="P22" s="1683">
        <v>776</v>
      </c>
      <c r="Q22" s="1683">
        <v>558</v>
      </c>
      <c r="R22" s="1246">
        <v>0</v>
      </c>
      <c r="S22" s="1246">
        <f>SUM(P22:R22)</f>
        <v>1334</v>
      </c>
      <c r="T22" s="505">
        <f t="shared" si="11"/>
        <v>4.5454545454545456E-2</v>
      </c>
      <c r="U22" s="1683">
        <v>747</v>
      </c>
      <c r="V22" s="1683">
        <v>573</v>
      </c>
      <c r="W22" s="1246">
        <v>0</v>
      </c>
      <c r="X22" s="1246">
        <f>SUM(U22:W22)</f>
        <v>1320</v>
      </c>
      <c r="Y22" s="1954">
        <f t="shared" si="20"/>
        <v>-1.0494752623688156E-2</v>
      </c>
      <c r="Z22" s="1683">
        <v>763</v>
      </c>
      <c r="AA22" s="1683">
        <v>441</v>
      </c>
      <c r="AB22" s="1246">
        <v>0</v>
      </c>
      <c r="AC22" s="1246">
        <f>SUM(Z22:AB22)</f>
        <v>1204</v>
      </c>
      <c r="AD22" s="1954">
        <f t="shared" si="21"/>
        <v>-8.7878787878787876E-2</v>
      </c>
      <c r="AE22" s="683">
        <v>492</v>
      </c>
      <c r="AF22" s="1683">
        <v>480</v>
      </c>
      <c r="AG22" s="1246">
        <v>0</v>
      </c>
      <c r="AH22" s="1246">
        <f>SUM(AE22:AG22)</f>
        <v>972</v>
      </c>
      <c r="AI22" s="1954">
        <f t="shared" si="22"/>
        <v>-0.19269102990033224</v>
      </c>
      <c r="AJ22" s="683">
        <v>468</v>
      </c>
      <c r="AK22" s="1683">
        <v>433</v>
      </c>
      <c r="AL22" s="1246">
        <v>0</v>
      </c>
      <c r="AM22" s="1246">
        <f>SUM(AJ22:AL22)</f>
        <v>901</v>
      </c>
      <c r="AN22" s="1954">
        <f t="shared" si="23"/>
        <v>-7.3045267489711935E-2</v>
      </c>
      <c r="AO22" s="1683">
        <v>180</v>
      </c>
      <c r="AP22" s="1683">
        <v>648</v>
      </c>
      <c r="AQ22" s="1246">
        <v>0</v>
      </c>
      <c r="AR22" s="1246">
        <f>SUM(AO22:AQ22)</f>
        <v>828</v>
      </c>
      <c r="AS22" s="1954">
        <f t="shared" si="24"/>
        <v>-8.1021087680355167E-2</v>
      </c>
      <c r="AT22" s="124"/>
      <c r="AU22" s="124"/>
      <c r="AV22" s="124"/>
      <c r="AW22" s="124"/>
    </row>
    <row r="23" spans="1:49" s="484" customFormat="1" ht="13.8" x14ac:dyDescent="0.25">
      <c r="A23" s="1327" t="s">
        <v>1015</v>
      </c>
      <c r="B23" s="1732">
        <f t="shared" ref="B23:I23" si="25">SUM(B18:B22)</f>
        <v>1084</v>
      </c>
      <c r="C23" s="1259">
        <f t="shared" si="25"/>
        <v>1263</v>
      </c>
      <c r="D23" s="1259">
        <f t="shared" si="25"/>
        <v>0</v>
      </c>
      <c r="E23" s="495">
        <f t="shared" si="25"/>
        <v>2347</v>
      </c>
      <c r="F23" s="1732">
        <f t="shared" si="25"/>
        <v>1458</v>
      </c>
      <c r="G23" s="1259">
        <f t="shared" si="25"/>
        <v>1306</v>
      </c>
      <c r="H23" s="1259">
        <f t="shared" si="25"/>
        <v>0</v>
      </c>
      <c r="I23" s="1259">
        <f t="shared" si="25"/>
        <v>2764</v>
      </c>
      <c r="J23" s="496">
        <f t="shared" si="18"/>
        <v>0.17767362590541116</v>
      </c>
      <c r="K23" s="1732">
        <f>SUM(K18:K22)</f>
        <v>1645</v>
      </c>
      <c r="L23" s="1732">
        <f>SUM(L18:L22)</f>
        <v>1044</v>
      </c>
      <c r="M23" s="1259">
        <f>SUM(M18:M22)</f>
        <v>0</v>
      </c>
      <c r="N23" s="1259">
        <f>SUM(N18:N22)</f>
        <v>2689</v>
      </c>
      <c r="O23" s="1954">
        <f t="shared" si="19"/>
        <v>-2.7134587554269174E-2</v>
      </c>
      <c r="P23" s="1732">
        <f>SUM(P18:P22)</f>
        <v>1664</v>
      </c>
      <c r="Q23" s="1259">
        <f>SUM(Q18:Q22)</f>
        <v>946</v>
      </c>
      <c r="R23" s="1259">
        <f>SUM(R18:R22)</f>
        <v>0</v>
      </c>
      <c r="S23" s="1259">
        <f>SUM(S18:S22)</f>
        <v>2610</v>
      </c>
      <c r="T23" s="586">
        <f t="shared" si="11"/>
        <v>-2.9378951283004835E-2</v>
      </c>
      <c r="U23" s="1732">
        <f>SUM(U18:U22)</f>
        <v>1503</v>
      </c>
      <c r="V23" s="1732">
        <f>SUM(V18:V22)</f>
        <v>888</v>
      </c>
      <c r="W23" s="1259">
        <f>SUM(W18:W22)</f>
        <v>0</v>
      </c>
      <c r="X23" s="1259">
        <f>SUM(X18:X22)</f>
        <v>2391</v>
      </c>
      <c r="Y23" s="1954">
        <f t="shared" si="20"/>
        <v>-8.39080459770115E-2</v>
      </c>
      <c r="Z23" s="1732">
        <f>SUM(Z18:Z22)</f>
        <v>1441</v>
      </c>
      <c r="AA23" s="1732">
        <f>SUM(AA18:AA22)</f>
        <v>752</v>
      </c>
      <c r="AB23" s="1259">
        <f>SUM(AB18:AB22)</f>
        <v>0</v>
      </c>
      <c r="AC23" s="1259">
        <f>SUM(AC18:AC22)</f>
        <v>2193</v>
      </c>
      <c r="AD23" s="1954">
        <f t="shared" si="21"/>
        <v>-8.2810539523212046E-2</v>
      </c>
      <c r="AE23" s="1025">
        <f>SUM(AE18:AE22)</f>
        <v>1266</v>
      </c>
      <c r="AF23" s="1732">
        <f>SUM(AF18:AF22)</f>
        <v>852</v>
      </c>
      <c r="AG23" s="1259">
        <f>SUM(AG18:AG22)</f>
        <v>0</v>
      </c>
      <c r="AH23" s="1259">
        <f>SUM(AH18:AH22)</f>
        <v>2118</v>
      </c>
      <c r="AI23" s="1954">
        <f t="shared" si="22"/>
        <v>-3.4199726402188782E-2</v>
      </c>
      <c r="AJ23" s="1025">
        <f>SUM(AJ18:AJ22)</f>
        <v>1410</v>
      </c>
      <c r="AK23" s="1732">
        <f>SUM(AK18:AK22)</f>
        <v>797</v>
      </c>
      <c r="AL23" s="1259">
        <f>SUM(AL18:AL22)</f>
        <v>51</v>
      </c>
      <c r="AM23" s="1259">
        <f>SUM(AM18:AM22)</f>
        <v>2258</v>
      </c>
      <c r="AN23" s="1954">
        <f t="shared" si="23"/>
        <v>6.6100094428706332E-2</v>
      </c>
      <c r="AO23" s="1732">
        <f>SUM(AO18:AO22)</f>
        <v>894</v>
      </c>
      <c r="AP23" s="1732">
        <f>SUM(AP18:AP22)</f>
        <v>1000</v>
      </c>
      <c r="AQ23" s="1259">
        <f>SUM(AQ18:AQ22)</f>
        <v>39</v>
      </c>
      <c r="AR23" s="1259">
        <f>SUM(AR18:AR22)</f>
        <v>1933</v>
      </c>
      <c r="AS23" s="1954">
        <f t="shared" si="24"/>
        <v>-0.14393268379096547</v>
      </c>
      <c r="AT23" s="124"/>
      <c r="AU23" s="124"/>
      <c r="AV23" s="124"/>
      <c r="AW23" s="124"/>
    </row>
    <row r="24" spans="1:49" s="502" customFormat="1" ht="16.2" thickBot="1" x14ac:dyDescent="0.35">
      <c r="A24" s="1328" t="s">
        <v>433</v>
      </c>
      <c r="B24" s="988">
        <f t="shared" ref="B24:I24" si="26">+B23+B16</f>
        <v>3238</v>
      </c>
      <c r="C24" s="974">
        <f t="shared" si="26"/>
        <v>3111</v>
      </c>
      <c r="D24" s="974">
        <f t="shared" si="26"/>
        <v>0</v>
      </c>
      <c r="E24" s="989">
        <f t="shared" si="26"/>
        <v>6349</v>
      </c>
      <c r="F24" s="988">
        <f t="shared" si="26"/>
        <v>3786</v>
      </c>
      <c r="G24" s="974">
        <f t="shared" si="26"/>
        <v>3455</v>
      </c>
      <c r="H24" s="974">
        <f t="shared" si="26"/>
        <v>0</v>
      </c>
      <c r="I24" s="974">
        <f t="shared" si="26"/>
        <v>7241</v>
      </c>
      <c r="J24" s="975">
        <f t="shared" si="18"/>
        <v>0.14049456607339739</v>
      </c>
      <c r="K24" s="988">
        <f>+K23+K16</f>
        <v>4207</v>
      </c>
      <c r="L24" s="988">
        <f>+L23+L16</f>
        <v>3355</v>
      </c>
      <c r="M24" s="974">
        <f>+M23+M16</f>
        <v>0</v>
      </c>
      <c r="N24" s="974">
        <f>+N23+N16</f>
        <v>7562</v>
      </c>
      <c r="O24" s="975">
        <f t="shared" si="19"/>
        <v>4.4330893522994061E-2</v>
      </c>
      <c r="P24" s="988">
        <f>+P23+P16</f>
        <v>4294</v>
      </c>
      <c r="Q24" s="974">
        <f>+Q23+Q16</f>
        <v>3317</v>
      </c>
      <c r="R24" s="974">
        <f>+R23+R16</f>
        <v>0</v>
      </c>
      <c r="S24" s="974">
        <f>+S23+S16</f>
        <v>7611</v>
      </c>
      <c r="T24" s="1955">
        <f t="shared" si="11"/>
        <v>6.4797672573393278E-3</v>
      </c>
      <c r="U24" s="988">
        <f>+U23+U16</f>
        <v>4295</v>
      </c>
      <c r="V24" s="988">
        <f>+V23+V16</f>
        <v>3678</v>
      </c>
      <c r="W24" s="974">
        <f>+W23+W16</f>
        <v>0</v>
      </c>
      <c r="X24" s="974">
        <f>+X23+X16</f>
        <v>7973</v>
      </c>
      <c r="Y24" s="975">
        <f t="shared" si="20"/>
        <v>4.7562738142162657E-2</v>
      </c>
      <c r="Z24" s="988">
        <f>+Z23+Z16</f>
        <v>3927</v>
      </c>
      <c r="AA24" s="988">
        <f>+AA23+AA16</f>
        <v>3270</v>
      </c>
      <c r="AB24" s="974">
        <f>+AB23+AB16</f>
        <v>0</v>
      </c>
      <c r="AC24" s="974">
        <f>+AC23+AC16</f>
        <v>7197</v>
      </c>
      <c r="AD24" s="975">
        <f t="shared" si="21"/>
        <v>-9.7328483632258878E-2</v>
      </c>
      <c r="AE24" s="1329">
        <f>+AE23+AE16</f>
        <v>3493</v>
      </c>
      <c r="AF24" s="988">
        <f>+AF23+AF16</f>
        <v>3365</v>
      </c>
      <c r="AG24" s="974">
        <f>+AG23+AG16</f>
        <v>0</v>
      </c>
      <c r="AH24" s="974">
        <f>+AH23+AH16</f>
        <v>6858</v>
      </c>
      <c r="AI24" s="975">
        <f t="shared" si="22"/>
        <v>-4.7102959566486038E-2</v>
      </c>
      <c r="AJ24" s="1329">
        <f>+AJ23+AJ16</f>
        <v>3477</v>
      </c>
      <c r="AK24" s="988">
        <f>+AK23+AK16</f>
        <v>3459</v>
      </c>
      <c r="AL24" s="974">
        <f>+AL23+AL16</f>
        <v>51</v>
      </c>
      <c r="AM24" s="974">
        <f>+AM23+AM16</f>
        <v>6987</v>
      </c>
      <c r="AN24" s="975">
        <f t="shared" si="23"/>
        <v>1.8810148731408575E-2</v>
      </c>
      <c r="AO24" s="988">
        <f>+AO23+AO16</f>
        <v>1642</v>
      </c>
      <c r="AP24" s="988">
        <f>+AP23+AP16</f>
        <v>4584</v>
      </c>
      <c r="AQ24" s="974">
        <f>+AQ23+AQ16</f>
        <v>39</v>
      </c>
      <c r="AR24" s="974">
        <f>+AR23+AR16</f>
        <v>6265</v>
      </c>
      <c r="AS24" s="975">
        <f t="shared" si="24"/>
        <v>-0.1033347645627594</v>
      </c>
      <c r="AT24" s="124"/>
      <c r="AU24" s="124"/>
      <c r="AV24" s="124"/>
      <c r="AW24" s="124"/>
    </row>
    <row r="25" spans="1:49" x14ac:dyDescent="0.25">
      <c r="A25" s="503"/>
      <c r="B25" s="286"/>
      <c r="C25" s="286"/>
      <c r="D25" s="286"/>
      <c r="E25" s="286"/>
      <c r="F25" s="286"/>
      <c r="G25" s="286"/>
      <c r="H25" s="286"/>
      <c r="I25" s="286"/>
      <c r="J25" s="504"/>
      <c r="K25" s="504"/>
      <c r="L25" s="280"/>
      <c r="M25" s="280"/>
      <c r="N25" s="280"/>
      <c r="O25" s="280"/>
      <c r="P25" s="286"/>
      <c r="Q25" s="286"/>
      <c r="R25" s="286"/>
      <c r="S25" s="286"/>
      <c r="T25" s="504"/>
      <c r="U25" s="504"/>
      <c r="V25" s="280"/>
      <c r="W25" s="280"/>
      <c r="X25" s="280"/>
      <c r="Y25" s="280"/>
      <c r="Z25" s="504"/>
      <c r="AA25" s="280"/>
      <c r="AB25" s="280"/>
      <c r="AC25" s="280"/>
      <c r="AD25" s="280"/>
      <c r="AE25" s="504"/>
      <c r="AF25" s="280"/>
      <c r="AG25" s="280"/>
      <c r="AH25" s="280"/>
      <c r="AI25" s="280"/>
      <c r="AJ25" s="124"/>
      <c r="AK25" s="124"/>
      <c r="AL25" s="124"/>
      <c r="AM25" s="124"/>
      <c r="AN25" s="124"/>
      <c r="AO25" s="124"/>
      <c r="AP25" s="124"/>
      <c r="AQ25" s="124"/>
      <c r="AR25" s="124"/>
      <c r="AS25" s="124"/>
      <c r="AT25" s="124"/>
      <c r="AU25" s="124"/>
      <c r="AV25" s="124"/>
      <c r="AW25" s="124"/>
    </row>
    <row r="26" spans="1:49" ht="13.8" thickBot="1" x14ac:dyDescent="0.3">
      <c r="A26" s="503"/>
      <c r="B26" s="286"/>
      <c r="C26" s="286"/>
      <c r="D26" s="286"/>
      <c r="E26" s="286"/>
      <c r="F26" s="286"/>
      <c r="G26" s="286"/>
      <c r="H26" s="286"/>
      <c r="I26" s="286"/>
      <c r="J26" s="504"/>
      <c r="K26" s="280"/>
      <c r="L26" s="280"/>
      <c r="M26" s="280"/>
      <c r="N26" s="280"/>
      <c r="O26" s="280"/>
      <c r="P26" s="286"/>
      <c r="Q26" s="286"/>
      <c r="R26" s="286"/>
      <c r="S26" s="286"/>
      <c r="T26" s="504"/>
      <c r="U26" s="280"/>
      <c r="V26" s="280"/>
      <c r="W26" s="280"/>
      <c r="X26" s="280"/>
      <c r="Y26" s="280"/>
      <c r="Z26" s="280"/>
      <c r="AA26" s="280"/>
      <c r="AB26" s="280"/>
      <c r="AC26" s="280"/>
      <c r="AD26" s="280"/>
      <c r="AE26" s="280"/>
      <c r="AF26" s="280"/>
      <c r="AG26" s="280"/>
      <c r="AH26" s="280"/>
      <c r="AI26" s="280"/>
      <c r="AJ26" s="124"/>
      <c r="AK26" s="124"/>
      <c r="AL26" s="124"/>
      <c r="AM26" s="124"/>
      <c r="AN26" s="124"/>
      <c r="AO26" s="124"/>
      <c r="AP26" s="124"/>
      <c r="AQ26" s="124"/>
      <c r="AR26" s="124"/>
      <c r="AS26" s="124"/>
      <c r="AT26" s="124"/>
      <c r="AU26" s="124"/>
      <c r="AV26" s="124"/>
      <c r="AW26" s="124"/>
    </row>
    <row r="27" spans="1:49" customFormat="1" ht="18" thickBot="1" x14ac:dyDescent="0.35">
      <c r="A27" s="2134" t="s">
        <v>424</v>
      </c>
      <c r="B27" s="2135"/>
      <c r="C27" s="2135"/>
      <c r="D27" s="2135"/>
      <c r="E27" s="2135"/>
      <c r="F27" s="2135"/>
      <c r="G27" s="2135"/>
      <c r="H27" s="2135"/>
      <c r="I27" s="2135"/>
      <c r="J27" s="2135"/>
      <c r="K27" s="2135"/>
      <c r="L27" s="2135"/>
      <c r="M27" s="2135"/>
      <c r="N27" s="2135"/>
      <c r="O27" s="2135"/>
      <c r="P27" s="2135"/>
      <c r="Q27" s="2135"/>
      <c r="R27" s="2135"/>
      <c r="S27" s="2135"/>
      <c r="T27" s="2135"/>
      <c r="U27" s="2135"/>
      <c r="V27" s="2135"/>
      <c r="W27" s="2135"/>
      <c r="X27" s="2135"/>
      <c r="Y27" s="2135"/>
      <c r="Z27" s="2135"/>
      <c r="AA27" s="2135"/>
      <c r="AB27" s="2135"/>
      <c r="AC27" s="2135"/>
      <c r="AD27" s="2135"/>
      <c r="AE27" s="2135"/>
      <c r="AF27" s="2135"/>
      <c r="AG27" s="2135"/>
      <c r="AH27" s="2135"/>
      <c r="AI27" s="2135"/>
      <c r="AJ27" s="2135"/>
      <c r="AK27" s="2135"/>
      <c r="AL27" s="2135"/>
      <c r="AM27" s="2135"/>
      <c r="AN27" s="2135"/>
      <c r="AO27" s="2135"/>
      <c r="AP27" s="2135"/>
      <c r="AQ27" s="2135"/>
      <c r="AR27" s="2135"/>
      <c r="AS27" s="2136"/>
      <c r="AT27" s="124"/>
      <c r="AU27" s="124"/>
      <c r="AV27" s="124"/>
      <c r="AW27" s="124"/>
    </row>
    <row r="28" spans="1:49" ht="31.2" customHeight="1" x14ac:dyDescent="0.25">
      <c r="A28" s="2142" t="s">
        <v>1006</v>
      </c>
      <c r="B28" s="1956" t="s">
        <v>1008</v>
      </c>
      <c r="C28" s="1956" t="s">
        <v>1009</v>
      </c>
      <c r="D28" s="1956" t="s">
        <v>1010</v>
      </c>
      <c r="E28" s="1957" t="s">
        <v>1011</v>
      </c>
      <c r="F28" s="1956" t="s">
        <v>1008</v>
      </c>
      <c r="G28" s="1956" t="s">
        <v>1009</v>
      </c>
      <c r="H28" s="1956" t="s">
        <v>1010</v>
      </c>
      <c r="I28" s="1958" t="s">
        <v>1011</v>
      </c>
      <c r="J28" s="1959" t="s">
        <v>1012</v>
      </c>
      <c r="K28" s="1956" t="s">
        <v>1008</v>
      </c>
      <c r="L28" s="1956" t="s">
        <v>1009</v>
      </c>
      <c r="M28" s="1956" t="s">
        <v>1010</v>
      </c>
      <c r="N28" s="1958" t="s">
        <v>1011</v>
      </c>
      <c r="O28" s="1959" t="s">
        <v>1012</v>
      </c>
      <c r="P28" s="1956" t="s">
        <v>1008</v>
      </c>
      <c r="Q28" s="1956" t="s">
        <v>1009</v>
      </c>
      <c r="R28" s="1956" t="s">
        <v>1010</v>
      </c>
      <c r="S28" s="1958" t="s">
        <v>1011</v>
      </c>
      <c r="T28" s="1959" t="s">
        <v>1012</v>
      </c>
      <c r="U28" s="1956" t="s">
        <v>1008</v>
      </c>
      <c r="V28" s="1956" t="s">
        <v>1009</v>
      </c>
      <c r="W28" s="1956" t="s">
        <v>1010</v>
      </c>
      <c r="X28" s="1958" t="s">
        <v>1011</v>
      </c>
      <c r="Y28" s="1959" t="s">
        <v>1012</v>
      </c>
      <c r="Z28" s="1956" t="s">
        <v>1008</v>
      </c>
      <c r="AA28" s="1960" t="s">
        <v>1009</v>
      </c>
      <c r="AB28" s="1960" t="s">
        <v>1010</v>
      </c>
      <c r="AC28" s="1961" t="s">
        <v>1011</v>
      </c>
      <c r="AD28" s="584" t="s">
        <v>1012</v>
      </c>
      <c r="AE28" s="1818" t="s">
        <v>1008</v>
      </c>
      <c r="AF28" s="1979" t="s">
        <v>1009</v>
      </c>
      <c r="AG28" s="1979" t="s">
        <v>1010</v>
      </c>
      <c r="AH28" s="1980" t="s">
        <v>1011</v>
      </c>
      <c r="AI28" s="1981" t="s">
        <v>1012</v>
      </c>
      <c r="AJ28" s="1818" t="s">
        <v>1008</v>
      </c>
      <c r="AK28" s="1979" t="s">
        <v>1009</v>
      </c>
      <c r="AL28" s="1979" t="s">
        <v>1010</v>
      </c>
      <c r="AM28" s="1980" t="s">
        <v>1011</v>
      </c>
      <c r="AN28" s="1981" t="s">
        <v>1012</v>
      </c>
      <c r="AO28" s="1956" t="s">
        <v>1008</v>
      </c>
      <c r="AP28" s="1960" t="s">
        <v>1009</v>
      </c>
      <c r="AQ28" s="1960" t="s">
        <v>1010</v>
      </c>
      <c r="AR28" s="1961" t="s">
        <v>1011</v>
      </c>
      <c r="AS28" s="584" t="s">
        <v>1012</v>
      </c>
      <c r="AT28" s="124"/>
      <c r="AU28" s="124"/>
      <c r="AV28" s="124"/>
      <c r="AW28" s="124"/>
    </row>
    <row r="29" spans="1:49" ht="12.75" customHeight="1" x14ac:dyDescent="0.25">
      <c r="A29" s="2152"/>
      <c r="B29" s="2138" t="s">
        <v>1502</v>
      </c>
      <c r="C29" s="2139"/>
      <c r="D29" s="2139"/>
      <c r="E29" s="2140"/>
      <c r="F29" s="2139" t="s">
        <v>1501</v>
      </c>
      <c r="G29" s="2139"/>
      <c r="H29" s="2139"/>
      <c r="I29" s="2139"/>
      <c r="J29" s="2140"/>
      <c r="K29" s="2139" t="s">
        <v>1451</v>
      </c>
      <c r="L29" s="2139"/>
      <c r="M29" s="2139"/>
      <c r="N29" s="2139"/>
      <c r="O29" s="2140"/>
      <c r="P29" s="2139" t="s">
        <v>1452</v>
      </c>
      <c r="Q29" s="2139"/>
      <c r="R29" s="2139"/>
      <c r="S29" s="2139"/>
      <c r="T29" s="2140"/>
      <c r="U29" s="2139" t="s">
        <v>1453</v>
      </c>
      <c r="V29" s="2139"/>
      <c r="W29" s="2139"/>
      <c r="X29" s="2139"/>
      <c r="Y29" s="2140"/>
      <c r="Z29" s="2138" t="s">
        <v>1581</v>
      </c>
      <c r="AA29" s="2139"/>
      <c r="AB29" s="2139"/>
      <c r="AC29" s="2139"/>
      <c r="AD29" s="2140"/>
      <c r="AE29" s="2138" t="s">
        <v>1632</v>
      </c>
      <c r="AF29" s="2139"/>
      <c r="AG29" s="2139"/>
      <c r="AH29" s="2139"/>
      <c r="AI29" s="2140"/>
      <c r="AJ29" s="2138" t="str">
        <f>+AJ5</f>
        <v>Spring 2015</v>
      </c>
      <c r="AK29" s="2139"/>
      <c r="AL29" s="2139"/>
      <c r="AM29" s="2139"/>
      <c r="AN29" s="2140"/>
      <c r="AO29" s="2139" t="s">
        <v>1758</v>
      </c>
      <c r="AP29" s="2139"/>
      <c r="AQ29" s="2139"/>
      <c r="AR29" s="2139"/>
      <c r="AS29" s="2140"/>
      <c r="AT29" s="124"/>
      <c r="AU29" s="124"/>
      <c r="AV29" s="124"/>
      <c r="AW29" s="124"/>
    </row>
    <row r="30" spans="1:49" x14ac:dyDescent="0.25">
      <c r="A30" s="1325" t="s">
        <v>434</v>
      </c>
      <c r="B30" s="1946"/>
      <c r="C30" s="1947"/>
      <c r="D30" s="1947"/>
      <c r="E30" s="1948"/>
      <c r="F30" s="1946"/>
      <c r="G30" s="1947"/>
      <c r="H30" s="1947"/>
      <c r="I30" s="1947"/>
      <c r="J30" s="438"/>
      <c r="K30" s="1946"/>
      <c r="L30" s="1947"/>
      <c r="M30" s="1947"/>
      <c r="N30" s="1947"/>
      <c r="O30" s="438"/>
      <c r="P30" s="1946"/>
      <c r="Q30" s="1947"/>
      <c r="R30" s="1947"/>
      <c r="S30" s="1947"/>
      <c r="T30" s="438"/>
      <c r="U30" s="1962"/>
      <c r="V30" s="1963"/>
      <c r="W30" s="1963"/>
      <c r="X30" s="1963"/>
      <c r="Y30" s="1871"/>
      <c r="Z30" s="1946"/>
      <c r="AA30" s="1947"/>
      <c r="AB30" s="1947"/>
      <c r="AC30" s="1947"/>
      <c r="AD30" s="438"/>
      <c r="AE30" s="1039"/>
      <c r="AF30" s="1947"/>
      <c r="AG30" s="1947"/>
      <c r="AH30" s="1947"/>
      <c r="AI30" s="438"/>
      <c r="AJ30" s="1039"/>
      <c r="AK30" s="1947"/>
      <c r="AL30" s="1947"/>
      <c r="AM30" s="1947"/>
      <c r="AN30" s="438"/>
      <c r="AO30" s="1946"/>
      <c r="AP30" s="1947"/>
      <c r="AQ30" s="1947"/>
      <c r="AR30" s="1947"/>
      <c r="AS30" s="438"/>
      <c r="AT30" s="124"/>
      <c r="AU30" s="124"/>
      <c r="AV30" s="124"/>
      <c r="AW30" s="124"/>
    </row>
    <row r="31" spans="1:49" x14ac:dyDescent="0.25">
      <c r="A31" s="1319" t="s">
        <v>1624</v>
      </c>
      <c r="B31" s="1949">
        <v>0</v>
      </c>
      <c r="C31" s="1949">
        <v>0</v>
      </c>
      <c r="D31" s="1949">
        <v>0</v>
      </c>
      <c r="E31" s="1951">
        <f>SUM(B31:D31)</f>
        <v>0</v>
      </c>
      <c r="F31" s="1949">
        <v>0</v>
      </c>
      <c r="G31" s="1949">
        <v>0</v>
      </c>
      <c r="H31" s="1949">
        <v>0</v>
      </c>
      <c r="I31" s="1952">
        <f>SUM(F31:H31)</f>
        <v>0</v>
      </c>
      <c r="J31" s="505" t="str">
        <f>IF(E31&gt;0,(I31-E31)/E31,(IF(I31=0,"N/A",100%)))</f>
        <v>N/A</v>
      </c>
      <c r="K31" s="1952">
        <v>0</v>
      </c>
      <c r="L31" s="1952">
        <v>0</v>
      </c>
      <c r="M31" s="1952">
        <v>0</v>
      </c>
      <c r="N31" s="1952">
        <f>SUM(K31:M31)</f>
        <v>0</v>
      </c>
      <c r="O31" s="1954" t="str">
        <f>IF(I31&gt;0,(N31-I31)/I31,(IF(N31=0,"N/A",100%)))</f>
        <v>N/A</v>
      </c>
      <c r="P31" s="1953">
        <v>0</v>
      </c>
      <c r="Q31" s="1952">
        <v>0</v>
      </c>
      <c r="R31" s="1952">
        <v>0</v>
      </c>
      <c r="S31" s="1952">
        <f>SUM(P31:R31)</f>
        <v>0</v>
      </c>
      <c r="T31" s="505" t="str">
        <f>IF(N31&gt;0,(S31-N31)/N31,(IF(S31=0,"N/A",100%)))</f>
        <v>N/A</v>
      </c>
      <c r="U31" s="1964">
        <v>0</v>
      </c>
      <c r="V31" s="1964">
        <v>0</v>
      </c>
      <c r="W31" s="1964">
        <v>0</v>
      </c>
      <c r="X31" s="1964">
        <f>SUM(U31:W31)</f>
        <v>0</v>
      </c>
      <c r="Y31" s="1954" t="str">
        <f>IF(S31&gt;0,(X31-S31)/S31,(IF(X31=0,"N/A",100%)))</f>
        <v>N/A</v>
      </c>
      <c r="Z31" s="1952">
        <v>0</v>
      </c>
      <c r="AA31" s="1952">
        <v>0</v>
      </c>
      <c r="AB31" s="1952">
        <v>0</v>
      </c>
      <c r="AC31" s="1246">
        <f>SUM(Z31:AB31)</f>
        <v>0</v>
      </c>
      <c r="AD31" s="505" t="str">
        <f>IF(X31&gt;0,(AC31-X31)/X31,(IF(AC31=0,"N/A",100%)))</f>
        <v>N/A</v>
      </c>
      <c r="AE31" s="772">
        <v>6</v>
      </c>
      <c r="AF31" s="1952">
        <v>0</v>
      </c>
      <c r="AG31" s="1952">
        <v>0</v>
      </c>
      <c r="AH31" s="1246">
        <f>SUM(AE31:AG31)</f>
        <v>6</v>
      </c>
      <c r="AI31" s="1954">
        <f>IF(AC31&gt;0,(AH31-AC31)/AC31,(IF(AH31=0,"N/A",100%)))</f>
        <v>1</v>
      </c>
      <c r="AJ31" s="772">
        <v>10</v>
      </c>
      <c r="AK31" s="1952">
        <v>0</v>
      </c>
      <c r="AL31" s="1952">
        <v>0</v>
      </c>
      <c r="AM31" s="1246">
        <f t="shared" ref="AM31:AM39" si="27">SUM(AJ31:AL31)</f>
        <v>10</v>
      </c>
      <c r="AN31" s="1954">
        <f t="shared" ref="AN31:AN40" si="28">IF(AH31&gt;0,(AM31-AH31)/AH31,(IF(AM31=0,"N/A",100%)))</f>
        <v>0.66666666666666663</v>
      </c>
      <c r="AO31" s="1952">
        <v>2</v>
      </c>
      <c r="AP31" s="1952">
        <v>4</v>
      </c>
      <c r="AQ31" s="1952">
        <v>0</v>
      </c>
      <c r="AR31" s="1246">
        <f t="shared" ref="AR31:AR39" si="29">SUM(AO31:AQ31)</f>
        <v>6</v>
      </c>
      <c r="AS31" s="1954">
        <f t="shared" ref="AS31:AS40" si="30">IF(AM31&gt;0,(AR31-AM31)/AM31,(IF(AR31=0,"N/A",100%)))</f>
        <v>-0.4</v>
      </c>
      <c r="AT31" s="124"/>
      <c r="AU31" s="124"/>
      <c r="AV31" s="124"/>
      <c r="AW31" s="124"/>
    </row>
    <row r="32" spans="1:49" x14ac:dyDescent="0.25">
      <c r="A32" s="1319" t="s">
        <v>1025</v>
      </c>
      <c r="B32" s="1949">
        <v>135</v>
      </c>
      <c r="C32" s="1949">
        <v>310</v>
      </c>
      <c r="D32" s="1949">
        <v>0</v>
      </c>
      <c r="E32" s="1951">
        <f t="shared" ref="E32:E39" si="31">SUM(B32:D32)</f>
        <v>445</v>
      </c>
      <c r="F32" s="1949">
        <v>108</v>
      </c>
      <c r="G32" s="1949">
        <v>341</v>
      </c>
      <c r="H32" s="1949">
        <v>0</v>
      </c>
      <c r="I32" s="1952">
        <f t="shared" ref="I32:I39" si="32">SUM(F32:H32)</f>
        <v>449</v>
      </c>
      <c r="J32" s="505">
        <f t="shared" ref="J32:J40" si="33">IF(E32&gt;0,(I32-E32)/E32,(IF(I32=0,"N/A",100%)))</f>
        <v>8.988764044943821E-3</v>
      </c>
      <c r="K32" s="1952">
        <v>144</v>
      </c>
      <c r="L32" s="1952">
        <v>351</v>
      </c>
      <c r="M32" s="1952">
        <v>0</v>
      </c>
      <c r="N32" s="1952">
        <f t="shared" ref="N32:N39" si="34">SUM(K32:M32)</f>
        <v>495</v>
      </c>
      <c r="O32" s="1954">
        <f t="shared" ref="O32:O40" si="35">IF(I32&gt;0,(N32-I32)/I32,(IF(N32=0,"N/A",100%)))</f>
        <v>0.10244988864142539</v>
      </c>
      <c r="P32" s="1953">
        <v>96</v>
      </c>
      <c r="Q32" s="1952">
        <v>266</v>
      </c>
      <c r="R32" s="1952">
        <v>0</v>
      </c>
      <c r="S32" s="1952">
        <f t="shared" ref="S32:S39" si="36">SUM(P32:R32)</f>
        <v>362</v>
      </c>
      <c r="T32" s="505">
        <f t="shared" ref="T32:T40" si="37">IF(N32&gt;0,(S32-N32)/N32,(IF(S32=0,"N/A",100%)))</f>
        <v>-0.2686868686868687</v>
      </c>
      <c r="U32" s="1964">
        <v>114</v>
      </c>
      <c r="V32" s="1964">
        <v>260</v>
      </c>
      <c r="W32" s="1964">
        <v>0</v>
      </c>
      <c r="X32" s="1964">
        <f t="shared" ref="X32:X39" si="38">SUM(U32:W32)</f>
        <v>374</v>
      </c>
      <c r="Y32" s="1954">
        <f t="shared" ref="Y32:Y40" si="39">IF(S32&gt;0,(X32-S32)/S32,(IF(X32=0,"N/A",100%)))</f>
        <v>3.3149171270718231E-2</v>
      </c>
      <c r="Z32" s="1952">
        <v>93</v>
      </c>
      <c r="AA32" s="1952">
        <v>381</v>
      </c>
      <c r="AB32" s="1952">
        <v>0</v>
      </c>
      <c r="AC32" s="1246">
        <f t="shared" ref="AC32:AC39" si="40">SUM(Z32:AB32)</f>
        <v>474</v>
      </c>
      <c r="AD32" s="505">
        <f t="shared" ref="AD32:AD40" si="41">IF(X32&gt;0,(AC32-X32)/X32,(IF(AC32=0,"N/A",100%)))</f>
        <v>0.26737967914438504</v>
      </c>
      <c r="AE32" s="772">
        <v>165</v>
      </c>
      <c r="AF32" s="1952">
        <v>200</v>
      </c>
      <c r="AG32" s="1952">
        <v>0</v>
      </c>
      <c r="AH32" s="1246">
        <f t="shared" ref="AH32:AH39" si="42">SUM(AE32:AG32)</f>
        <v>365</v>
      </c>
      <c r="AI32" s="1954">
        <f t="shared" ref="AI32:AI40" si="43">IF(AC32&gt;0,(AH32-AC32)/AC32,(IF(AH32=0,"N/A",100%)))</f>
        <v>-0.22995780590717299</v>
      </c>
      <c r="AJ32" s="772">
        <v>162</v>
      </c>
      <c r="AK32" s="1952">
        <v>356</v>
      </c>
      <c r="AL32" s="1952">
        <v>0</v>
      </c>
      <c r="AM32" s="1246">
        <f t="shared" si="27"/>
        <v>518</v>
      </c>
      <c r="AN32" s="1954">
        <f t="shared" si="28"/>
        <v>0.41917808219178082</v>
      </c>
      <c r="AO32" s="1952">
        <v>0</v>
      </c>
      <c r="AP32" s="1952">
        <v>557</v>
      </c>
      <c r="AQ32" s="1952">
        <v>0</v>
      </c>
      <c r="AR32" s="1246">
        <f t="shared" si="29"/>
        <v>557</v>
      </c>
      <c r="AS32" s="1954">
        <f t="shared" si="30"/>
        <v>7.5289575289575292E-2</v>
      </c>
      <c r="AT32" s="124"/>
      <c r="AU32" s="124"/>
      <c r="AV32" s="124"/>
      <c r="AW32" s="124"/>
    </row>
    <row r="33" spans="1:49" x14ac:dyDescent="0.25">
      <c r="A33" s="1319" t="s">
        <v>1026</v>
      </c>
      <c r="B33" s="1949">
        <v>794</v>
      </c>
      <c r="C33" s="1949">
        <v>969.5</v>
      </c>
      <c r="D33" s="1949">
        <v>117</v>
      </c>
      <c r="E33" s="1951">
        <f t="shared" si="31"/>
        <v>1880.5</v>
      </c>
      <c r="F33" s="1949">
        <v>832</v>
      </c>
      <c r="G33" s="1949">
        <v>1074</v>
      </c>
      <c r="H33" s="1949">
        <v>231</v>
      </c>
      <c r="I33" s="1952">
        <f t="shared" si="32"/>
        <v>2137</v>
      </c>
      <c r="J33" s="505">
        <f t="shared" si="33"/>
        <v>0.13639989364530711</v>
      </c>
      <c r="K33" s="1952">
        <v>1015.5</v>
      </c>
      <c r="L33" s="1952">
        <v>1107</v>
      </c>
      <c r="M33" s="1952">
        <v>123</v>
      </c>
      <c r="N33" s="1952">
        <f t="shared" si="34"/>
        <v>2245.5</v>
      </c>
      <c r="O33" s="1954">
        <f t="shared" si="35"/>
        <v>5.0772110435189519E-2</v>
      </c>
      <c r="P33" s="1953">
        <v>778</v>
      </c>
      <c r="Q33" s="1952">
        <v>1207</v>
      </c>
      <c r="R33" s="1952">
        <v>231</v>
      </c>
      <c r="S33" s="1952">
        <f t="shared" si="36"/>
        <v>2216</v>
      </c>
      <c r="T33" s="505">
        <f t="shared" si="37"/>
        <v>-1.3137385882876865E-2</v>
      </c>
      <c r="U33" s="1964">
        <v>803</v>
      </c>
      <c r="V33" s="1964">
        <v>1114</v>
      </c>
      <c r="W33" s="1964">
        <v>153</v>
      </c>
      <c r="X33" s="1964">
        <f t="shared" si="38"/>
        <v>2070</v>
      </c>
      <c r="Y33" s="1954">
        <f t="shared" si="39"/>
        <v>-6.5884476534296035E-2</v>
      </c>
      <c r="Z33" s="1952">
        <v>795.5</v>
      </c>
      <c r="AA33" s="1952">
        <v>1015</v>
      </c>
      <c r="AB33" s="1952">
        <v>258</v>
      </c>
      <c r="AC33" s="1246">
        <f t="shared" si="40"/>
        <v>2068.5</v>
      </c>
      <c r="AD33" s="505">
        <f t="shared" si="41"/>
        <v>-7.246376811594203E-4</v>
      </c>
      <c r="AE33" s="772">
        <v>814.5</v>
      </c>
      <c r="AF33" s="1952">
        <v>1230.5</v>
      </c>
      <c r="AG33" s="1952">
        <v>258</v>
      </c>
      <c r="AH33" s="1246">
        <f t="shared" si="42"/>
        <v>2303</v>
      </c>
      <c r="AI33" s="1954">
        <f t="shared" si="43"/>
        <v>0.11336717428087986</v>
      </c>
      <c r="AJ33" s="772">
        <v>959.5</v>
      </c>
      <c r="AK33" s="1952">
        <v>1102.5</v>
      </c>
      <c r="AL33" s="1952">
        <v>225</v>
      </c>
      <c r="AM33" s="1246">
        <f t="shared" si="27"/>
        <v>2287</v>
      </c>
      <c r="AN33" s="1954">
        <f t="shared" si="28"/>
        <v>-6.9474598349978291E-3</v>
      </c>
      <c r="AO33" s="1952">
        <v>18</v>
      </c>
      <c r="AP33" s="1952">
        <v>1912.5</v>
      </c>
      <c r="AQ33" s="1952">
        <v>132</v>
      </c>
      <c r="AR33" s="1246">
        <f t="shared" si="29"/>
        <v>2062.5</v>
      </c>
      <c r="AS33" s="1954">
        <f t="shared" si="30"/>
        <v>-9.8163533012680368E-2</v>
      </c>
      <c r="AT33" s="124"/>
      <c r="AU33" s="124"/>
      <c r="AV33" s="124"/>
      <c r="AW33" s="124"/>
    </row>
    <row r="34" spans="1:49" x14ac:dyDescent="0.25">
      <c r="A34" s="1319" t="s">
        <v>1027</v>
      </c>
      <c r="B34" s="1949">
        <v>0</v>
      </c>
      <c r="C34" s="1949">
        <v>0</v>
      </c>
      <c r="D34" s="1949">
        <v>33</v>
      </c>
      <c r="E34" s="1951">
        <f t="shared" si="31"/>
        <v>33</v>
      </c>
      <c r="F34" s="1949">
        <v>0</v>
      </c>
      <c r="G34" s="1949">
        <v>0</v>
      </c>
      <c r="H34" s="1949">
        <v>75</v>
      </c>
      <c r="I34" s="1952">
        <f t="shared" si="32"/>
        <v>75</v>
      </c>
      <c r="J34" s="505">
        <f t="shared" si="33"/>
        <v>1.2727272727272727</v>
      </c>
      <c r="K34" s="1952">
        <v>0</v>
      </c>
      <c r="L34" s="1952">
        <v>0</v>
      </c>
      <c r="M34" s="1952">
        <v>0</v>
      </c>
      <c r="N34" s="1952">
        <f t="shared" si="34"/>
        <v>0</v>
      </c>
      <c r="O34" s="1954">
        <f t="shared" si="35"/>
        <v>-1</v>
      </c>
      <c r="P34" s="1952">
        <v>0</v>
      </c>
      <c r="Q34" s="1952">
        <v>0</v>
      </c>
      <c r="R34" s="1952">
        <v>0</v>
      </c>
      <c r="S34" s="1952">
        <f t="shared" si="36"/>
        <v>0</v>
      </c>
      <c r="T34" s="505" t="str">
        <f t="shared" si="37"/>
        <v>N/A</v>
      </c>
      <c r="U34" s="1964">
        <v>0</v>
      </c>
      <c r="V34" s="1964">
        <v>0</v>
      </c>
      <c r="W34" s="1964">
        <v>0</v>
      </c>
      <c r="X34" s="1964">
        <f t="shared" si="38"/>
        <v>0</v>
      </c>
      <c r="Y34" s="1954" t="str">
        <f t="shared" si="39"/>
        <v>N/A</v>
      </c>
      <c r="Z34" s="1952">
        <v>0</v>
      </c>
      <c r="AA34" s="1952">
        <v>0</v>
      </c>
      <c r="AB34" s="1952">
        <v>0</v>
      </c>
      <c r="AC34" s="1246">
        <f t="shared" si="40"/>
        <v>0</v>
      </c>
      <c r="AD34" s="505" t="str">
        <f t="shared" si="41"/>
        <v>N/A</v>
      </c>
      <c r="AE34" s="772">
        <v>0</v>
      </c>
      <c r="AF34" s="1952">
        <v>0</v>
      </c>
      <c r="AG34" s="1952">
        <v>0</v>
      </c>
      <c r="AH34" s="1246">
        <f t="shared" si="42"/>
        <v>0</v>
      </c>
      <c r="AI34" s="1954" t="str">
        <f t="shared" si="43"/>
        <v>N/A</v>
      </c>
      <c r="AJ34" s="772">
        <v>0</v>
      </c>
      <c r="AK34" s="1952">
        <v>0</v>
      </c>
      <c r="AL34" s="1952">
        <v>0</v>
      </c>
      <c r="AM34" s="1246">
        <f t="shared" si="27"/>
        <v>0</v>
      </c>
      <c r="AN34" s="1954" t="str">
        <f t="shared" si="28"/>
        <v>N/A</v>
      </c>
      <c r="AO34" s="1952">
        <v>0</v>
      </c>
      <c r="AP34" s="1952">
        <v>0</v>
      </c>
      <c r="AQ34" s="1952">
        <v>0</v>
      </c>
      <c r="AR34" s="1246">
        <f t="shared" si="29"/>
        <v>0</v>
      </c>
      <c r="AS34" s="1954" t="str">
        <f t="shared" si="30"/>
        <v>N/A</v>
      </c>
      <c r="AT34" s="124"/>
      <c r="AU34" s="124"/>
      <c r="AV34" s="124"/>
      <c r="AW34" s="124"/>
    </row>
    <row r="35" spans="1:49" x14ac:dyDescent="0.25">
      <c r="A35" s="1334" t="s">
        <v>1463</v>
      </c>
      <c r="B35" s="1952">
        <v>0</v>
      </c>
      <c r="C35" s="1952">
        <v>0</v>
      </c>
      <c r="D35" s="1952">
        <v>0</v>
      </c>
      <c r="E35" s="1951">
        <f t="shared" si="31"/>
        <v>0</v>
      </c>
      <c r="F35" s="1952">
        <v>0</v>
      </c>
      <c r="G35" s="1952">
        <v>0</v>
      </c>
      <c r="H35" s="1952">
        <v>0</v>
      </c>
      <c r="I35" s="1952">
        <f>SUM(F35:H35)</f>
        <v>0</v>
      </c>
      <c r="J35" s="505" t="str">
        <f>IF(E35&gt;0,(I35-E35)/E35,(IF(I35=0,"N/A",100%)))</f>
        <v>N/A</v>
      </c>
      <c r="K35" s="1952">
        <v>0</v>
      </c>
      <c r="L35" s="1952">
        <v>0</v>
      </c>
      <c r="M35" s="1952">
        <v>0</v>
      </c>
      <c r="N35" s="1952">
        <f>SUM(K35:M35)</f>
        <v>0</v>
      </c>
      <c r="O35" s="1954" t="str">
        <f>IF(I35&gt;0,(N35-I35)/I35,(IF(N35=0,"N/A",100%)))</f>
        <v>N/A</v>
      </c>
      <c r="P35" s="1952">
        <v>0</v>
      </c>
      <c r="Q35" s="1952">
        <v>0</v>
      </c>
      <c r="R35" s="1952">
        <v>0</v>
      </c>
      <c r="S35" s="1952">
        <f t="shared" si="36"/>
        <v>0</v>
      </c>
      <c r="T35" s="505" t="str">
        <f t="shared" si="37"/>
        <v>N/A</v>
      </c>
      <c r="U35" s="1964">
        <v>0</v>
      </c>
      <c r="V35" s="1964">
        <v>0</v>
      </c>
      <c r="W35" s="1964">
        <v>0</v>
      </c>
      <c r="X35" s="1964">
        <f t="shared" si="38"/>
        <v>0</v>
      </c>
      <c r="Y35" s="1954" t="str">
        <f t="shared" si="39"/>
        <v>N/A</v>
      </c>
      <c r="Z35" s="1952">
        <v>0</v>
      </c>
      <c r="AA35" s="1952">
        <v>0</v>
      </c>
      <c r="AB35" s="1952">
        <v>0</v>
      </c>
      <c r="AC35" s="1246">
        <f t="shared" si="40"/>
        <v>0</v>
      </c>
      <c r="AD35" s="505" t="str">
        <f t="shared" si="41"/>
        <v>N/A</v>
      </c>
      <c r="AE35" s="772">
        <v>0</v>
      </c>
      <c r="AF35" s="1952">
        <v>0</v>
      </c>
      <c r="AG35" s="1952">
        <v>0</v>
      </c>
      <c r="AH35" s="1246">
        <f t="shared" si="42"/>
        <v>0</v>
      </c>
      <c r="AI35" s="1954" t="str">
        <f t="shared" si="43"/>
        <v>N/A</v>
      </c>
      <c r="AJ35" s="772">
        <v>0</v>
      </c>
      <c r="AK35" s="1952">
        <v>0</v>
      </c>
      <c r="AL35" s="1952">
        <v>0</v>
      </c>
      <c r="AM35" s="1246">
        <f t="shared" si="27"/>
        <v>0</v>
      </c>
      <c r="AN35" s="1954" t="str">
        <f t="shared" si="28"/>
        <v>N/A</v>
      </c>
      <c r="AO35" s="1952">
        <v>0</v>
      </c>
      <c r="AP35" s="1952">
        <v>0</v>
      </c>
      <c r="AQ35" s="1952">
        <v>0</v>
      </c>
      <c r="AR35" s="1246">
        <f t="shared" si="29"/>
        <v>0</v>
      </c>
      <c r="AS35" s="1954" t="str">
        <f t="shared" si="30"/>
        <v>N/A</v>
      </c>
      <c r="AT35" s="124"/>
      <c r="AU35" s="124"/>
      <c r="AV35" s="124"/>
      <c r="AW35" s="124"/>
    </row>
    <row r="36" spans="1:49" x14ac:dyDescent="0.25">
      <c r="A36" s="1334" t="s">
        <v>1464</v>
      </c>
      <c r="B36" s="1952">
        <v>0</v>
      </c>
      <c r="C36" s="1952">
        <v>0</v>
      </c>
      <c r="D36" s="1952">
        <v>0</v>
      </c>
      <c r="E36" s="1951">
        <f t="shared" si="31"/>
        <v>0</v>
      </c>
      <c r="F36" s="1952">
        <v>0</v>
      </c>
      <c r="G36" s="1952">
        <v>0</v>
      </c>
      <c r="H36" s="1952">
        <v>0</v>
      </c>
      <c r="I36" s="1952">
        <f>SUM(F36:H36)</f>
        <v>0</v>
      </c>
      <c r="J36" s="505" t="str">
        <f>IF(E36&gt;0,(I36-E36)/E36,(IF(I36=0,"N/A",100%)))</f>
        <v>N/A</v>
      </c>
      <c r="K36" s="1952">
        <v>0</v>
      </c>
      <c r="L36" s="1952">
        <v>0</v>
      </c>
      <c r="M36" s="1952">
        <v>0</v>
      </c>
      <c r="N36" s="1952">
        <f>SUM(K36:M36)</f>
        <v>0</v>
      </c>
      <c r="O36" s="1954" t="str">
        <f>IF(I36&gt;0,(N36-I36)/I36,(IF(N36=0,"N/A",100%)))</f>
        <v>N/A</v>
      </c>
      <c r="P36" s="1952">
        <v>0</v>
      </c>
      <c r="Q36" s="1952">
        <v>0</v>
      </c>
      <c r="R36" s="1952">
        <v>0</v>
      </c>
      <c r="S36" s="1952">
        <f t="shared" si="36"/>
        <v>0</v>
      </c>
      <c r="T36" s="505" t="str">
        <f t="shared" si="37"/>
        <v>N/A</v>
      </c>
      <c r="U36" s="1964">
        <v>0</v>
      </c>
      <c r="V36" s="1964">
        <v>0</v>
      </c>
      <c r="W36" s="1964">
        <v>0</v>
      </c>
      <c r="X36" s="1964">
        <f t="shared" si="38"/>
        <v>0</v>
      </c>
      <c r="Y36" s="1954" t="str">
        <f t="shared" si="39"/>
        <v>N/A</v>
      </c>
      <c r="Z36" s="1952">
        <v>0</v>
      </c>
      <c r="AA36" s="1952">
        <v>0</v>
      </c>
      <c r="AB36" s="1952">
        <v>0</v>
      </c>
      <c r="AC36" s="1246">
        <f t="shared" si="40"/>
        <v>0</v>
      </c>
      <c r="AD36" s="505" t="str">
        <f t="shared" si="41"/>
        <v>N/A</v>
      </c>
      <c r="AE36" s="772">
        <v>0</v>
      </c>
      <c r="AF36" s="1952">
        <v>0</v>
      </c>
      <c r="AG36" s="1952">
        <v>0</v>
      </c>
      <c r="AH36" s="1246">
        <f t="shared" si="42"/>
        <v>0</v>
      </c>
      <c r="AI36" s="1954" t="str">
        <f t="shared" si="43"/>
        <v>N/A</v>
      </c>
      <c r="AJ36" s="772">
        <v>0</v>
      </c>
      <c r="AK36" s="1952">
        <v>0</v>
      </c>
      <c r="AL36" s="1952">
        <v>0</v>
      </c>
      <c r="AM36" s="1246">
        <f t="shared" si="27"/>
        <v>0</v>
      </c>
      <c r="AN36" s="1954" t="str">
        <f t="shared" si="28"/>
        <v>N/A</v>
      </c>
      <c r="AO36" s="1952">
        <v>0</v>
      </c>
      <c r="AP36" s="1952">
        <v>0</v>
      </c>
      <c r="AQ36" s="1952">
        <v>0</v>
      </c>
      <c r="AR36" s="1246">
        <f t="shared" si="29"/>
        <v>0</v>
      </c>
      <c r="AS36" s="1954" t="str">
        <f t="shared" si="30"/>
        <v>N/A</v>
      </c>
      <c r="AT36" s="124"/>
      <c r="AU36" s="124"/>
      <c r="AV36" s="124"/>
      <c r="AW36" s="124"/>
    </row>
    <row r="37" spans="1:49" x14ac:dyDescent="0.25">
      <c r="A37" s="1319" t="s">
        <v>1149</v>
      </c>
      <c r="B37" s="1949">
        <v>0</v>
      </c>
      <c r="C37" s="1949">
        <v>51</v>
      </c>
      <c r="D37" s="1949">
        <v>213</v>
      </c>
      <c r="E37" s="1951">
        <f t="shared" si="31"/>
        <v>264</v>
      </c>
      <c r="F37" s="1949">
        <v>0</v>
      </c>
      <c r="G37" s="1949">
        <v>87</v>
      </c>
      <c r="H37" s="1949">
        <v>159</v>
      </c>
      <c r="I37" s="1952">
        <f t="shared" si="32"/>
        <v>246</v>
      </c>
      <c r="J37" s="505">
        <f t="shared" si="33"/>
        <v>-6.8181818181818177E-2</v>
      </c>
      <c r="K37" s="1952">
        <v>0</v>
      </c>
      <c r="L37" s="1952">
        <v>60</v>
      </c>
      <c r="M37" s="1952">
        <v>201</v>
      </c>
      <c r="N37" s="1952">
        <f t="shared" si="34"/>
        <v>261</v>
      </c>
      <c r="O37" s="1954">
        <f t="shared" si="35"/>
        <v>6.097560975609756E-2</v>
      </c>
      <c r="P37" s="1952">
        <v>0</v>
      </c>
      <c r="Q37" s="1952">
        <v>57</v>
      </c>
      <c r="R37" s="1952">
        <v>183</v>
      </c>
      <c r="S37" s="1952">
        <f t="shared" si="36"/>
        <v>240</v>
      </c>
      <c r="T37" s="505">
        <f t="shared" si="37"/>
        <v>-8.0459770114942528E-2</v>
      </c>
      <c r="U37" s="1964">
        <v>0</v>
      </c>
      <c r="V37" s="1964">
        <v>63</v>
      </c>
      <c r="W37" s="1964">
        <v>207</v>
      </c>
      <c r="X37" s="1964">
        <f t="shared" si="38"/>
        <v>270</v>
      </c>
      <c r="Y37" s="1954">
        <f t="shared" si="39"/>
        <v>0.125</v>
      </c>
      <c r="Z37" s="1952">
        <v>0</v>
      </c>
      <c r="AA37" s="1952">
        <v>87</v>
      </c>
      <c r="AB37" s="1952">
        <v>180</v>
      </c>
      <c r="AC37" s="1246">
        <f t="shared" si="40"/>
        <v>267</v>
      </c>
      <c r="AD37" s="505">
        <f t="shared" si="41"/>
        <v>-1.1111111111111112E-2</v>
      </c>
      <c r="AE37" s="772">
        <v>0</v>
      </c>
      <c r="AF37" s="1952">
        <v>54</v>
      </c>
      <c r="AG37" s="1952">
        <v>240</v>
      </c>
      <c r="AH37" s="1246">
        <f t="shared" si="42"/>
        <v>294</v>
      </c>
      <c r="AI37" s="1954">
        <f t="shared" si="43"/>
        <v>0.10112359550561797</v>
      </c>
      <c r="AJ37" s="772">
        <v>0</v>
      </c>
      <c r="AK37" s="1952">
        <v>51</v>
      </c>
      <c r="AL37" s="1952">
        <v>90</v>
      </c>
      <c r="AM37" s="1246">
        <f t="shared" si="27"/>
        <v>141</v>
      </c>
      <c r="AN37" s="1954">
        <f t="shared" si="28"/>
        <v>-0.52040816326530615</v>
      </c>
      <c r="AO37" s="1952">
        <v>0</v>
      </c>
      <c r="AP37" s="1952">
        <v>60</v>
      </c>
      <c r="AQ37" s="1952">
        <v>105</v>
      </c>
      <c r="AR37" s="1246">
        <f t="shared" si="29"/>
        <v>165</v>
      </c>
      <c r="AS37" s="1954">
        <f t="shared" si="30"/>
        <v>0.1702127659574468</v>
      </c>
      <c r="AT37" s="124"/>
      <c r="AU37" s="124"/>
      <c r="AV37" s="124"/>
      <c r="AW37" s="124"/>
    </row>
    <row r="38" spans="1:49" x14ac:dyDescent="0.25">
      <c r="A38" s="1319" t="s">
        <v>1028</v>
      </c>
      <c r="B38" s="1949">
        <v>174</v>
      </c>
      <c r="C38" s="1949">
        <v>175</v>
      </c>
      <c r="D38" s="1949">
        <v>0</v>
      </c>
      <c r="E38" s="1951">
        <f t="shared" si="31"/>
        <v>349</v>
      </c>
      <c r="F38" s="1949">
        <v>141</v>
      </c>
      <c r="G38" s="1949">
        <v>49</v>
      </c>
      <c r="H38" s="1949">
        <v>0</v>
      </c>
      <c r="I38" s="1952">
        <f t="shared" si="32"/>
        <v>190</v>
      </c>
      <c r="J38" s="505">
        <f t="shared" si="33"/>
        <v>-0.45558739255014324</v>
      </c>
      <c r="K38" s="1952">
        <v>195</v>
      </c>
      <c r="L38" s="1952">
        <v>106</v>
      </c>
      <c r="M38" s="1952">
        <v>0</v>
      </c>
      <c r="N38" s="1952">
        <f t="shared" si="34"/>
        <v>301</v>
      </c>
      <c r="O38" s="1954">
        <f t="shared" si="35"/>
        <v>0.58421052631578951</v>
      </c>
      <c r="P38" s="1952">
        <v>159</v>
      </c>
      <c r="Q38" s="1952">
        <v>117</v>
      </c>
      <c r="R38" s="1952">
        <v>0</v>
      </c>
      <c r="S38" s="1952">
        <f t="shared" si="36"/>
        <v>276</v>
      </c>
      <c r="T38" s="505">
        <f t="shared" si="37"/>
        <v>-8.3056478405315617E-2</v>
      </c>
      <c r="U38" s="1964">
        <v>243</v>
      </c>
      <c r="V38" s="1964">
        <v>149</v>
      </c>
      <c r="W38" s="1964">
        <v>0</v>
      </c>
      <c r="X38" s="1964">
        <f t="shared" si="38"/>
        <v>392</v>
      </c>
      <c r="Y38" s="1954">
        <f t="shared" si="39"/>
        <v>0.42028985507246375</v>
      </c>
      <c r="Z38" s="1952">
        <v>207</v>
      </c>
      <c r="AA38" s="1952">
        <v>102</v>
      </c>
      <c r="AB38" s="1952">
        <v>0</v>
      </c>
      <c r="AC38" s="1246">
        <f t="shared" si="40"/>
        <v>309</v>
      </c>
      <c r="AD38" s="505">
        <f t="shared" si="41"/>
        <v>-0.21173469387755103</v>
      </c>
      <c r="AE38" s="772">
        <v>222</v>
      </c>
      <c r="AF38" s="1952">
        <v>103</v>
      </c>
      <c r="AG38" s="1952">
        <v>0</v>
      </c>
      <c r="AH38" s="1246">
        <f t="shared" si="42"/>
        <v>325</v>
      </c>
      <c r="AI38" s="1954">
        <f t="shared" si="43"/>
        <v>5.1779935275080909E-2</v>
      </c>
      <c r="AJ38" s="772">
        <v>225</v>
      </c>
      <c r="AK38" s="1952">
        <v>85</v>
      </c>
      <c r="AL38" s="1952">
        <v>0</v>
      </c>
      <c r="AM38" s="1246">
        <f t="shared" si="27"/>
        <v>310</v>
      </c>
      <c r="AN38" s="1954">
        <f t="shared" si="28"/>
        <v>-4.6153846153846156E-2</v>
      </c>
      <c r="AO38" s="1952">
        <v>0</v>
      </c>
      <c r="AP38" s="1952">
        <v>357</v>
      </c>
      <c r="AQ38" s="1952">
        <v>0</v>
      </c>
      <c r="AR38" s="1246">
        <f t="shared" si="29"/>
        <v>357</v>
      </c>
      <c r="AS38" s="1954">
        <f t="shared" si="30"/>
        <v>0.15161290322580645</v>
      </c>
      <c r="AT38" s="124"/>
      <c r="AU38" s="124"/>
      <c r="AV38" s="124"/>
      <c r="AW38" s="124"/>
    </row>
    <row r="39" spans="1:49" x14ac:dyDescent="0.25">
      <c r="A39" s="1319" t="s">
        <v>1029</v>
      </c>
      <c r="B39" s="1949">
        <v>9</v>
      </c>
      <c r="C39" s="1949">
        <v>0</v>
      </c>
      <c r="D39" s="1949">
        <v>0</v>
      </c>
      <c r="E39" s="1951">
        <f t="shared" si="31"/>
        <v>9</v>
      </c>
      <c r="F39" s="1949">
        <v>18</v>
      </c>
      <c r="G39" s="1949">
        <v>20</v>
      </c>
      <c r="H39" s="1949">
        <v>0</v>
      </c>
      <c r="I39" s="1952">
        <f t="shared" si="32"/>
        <v>38</v>
      </c>
      <c r="J39" s="505">
        <f t="shared" si="33"/>
        <v>3.2222222222222223</v>
      </c>
      <c r="K39" s="1952">
        <v>10</v>
      </c>
      <c r="L39" s="1952">
        <v>14</v>
      </c>
      <c r="M39" s="1952">
        <v>0</v>
      </c>
      <c r="N39" s="1952">
        <f t="shared" si="34"/>
        <v>24</v>
      </c>
      <c r="O39" s="1954">
        <f t="shared" si="35"/>
        <v>-0.36842105263157893</v>
      </c>
      <c r="P39" s="1952">
        <v>16</v>
      </c>
      <c r="Q39" s="1952">
        <v>15</v>
      </c>
      <c r="R39" s="1952">
        <v>0</v>
      </c>
      <c r="S39" s="1952">
        <f t="shared" si="36"/>
        <v>31</v>
      </c>
      <c r="T39" s="505">
        <f t="shared" si="37"/>
        <v>0.29166666666666669</v>
      </c>
      <c r="U39" s="1964">
        <v>21</v>
      </c>
      <c r="V39" s="1964">
        <v>12</v>
      </c>
      <c r="W39" s="1964">
        <v>0</v>
      </c>
      <c r="X39" s="1964">
        <f t="shared" si="38"/>
        <v>33</v>
      </c>
      <c r="Y39" s="1954">
        <f t="shared" si="39"/>
        <v>6.4516129032258063E-2</v>
      </c>
      <c r="Z39" s="1952">
        <v>24</v>
      </c>
      <c r="AA39" s="1952">
        <v>15</v>
      </c>
      <c r="AB39" s="1952">
        <v>0</v>
      </c>
      <c r="AC39" s="1246">
        <f t="shared" si="40"/>
        <v>39</v>
      </c>
      <c r="AD39" s="505">
        <f t="shared" si="41"/>
        <v>0.18181818181818182</v>
      </c>
      <c r="AE39" s="772">
        <v>24</v>
      </c>
      <c r="AF39" s="1952">
        <v>17</v>
      </c>
      <c r="AG39" s="1952">
        <v>0</v>
      </c>
      <c r="AH39" s="1246">
        <f t="shared" si="42"/>
        <v>41</v>
      </c>
      <c r="AI39" s="1954">
        <f t="shared" si="43"/>
        <v>5.128205128205128E-2</v>
      </c>
      <c r="AJ39" s="772">
        <v>29</v>
      </c>
      <c r="AK39" s="1952">
        <v>22</v>
      </c>
      <c r="AL39" s="1952">
        <v>0</v>
      </c>
      <c r="AM39" s="1246">
        <f t="shared" si="27"/>
        <v>51</v>
      </c>
      <c r="AN39" s="1954">
        <f t="shared" si="28"/>
        <v>0.24390243902439024</v>
      </c>
      <c r="AO39" s="1952">
        <v>19</v>
      </c>
      <c r="AP39" s="1952">
        <v>38</v>
      </c>
      <c r="AQ39" s="1952">
        <v>0</v>
      </c>
      <c r="AR39" s="1246">
        <f t="shared" si="29"/>
        <v>57</v>
      </c>
      <c r="AS39" s="1954">
        <f t="shared" si="30"/>
        <v>0.11764705882352941</v>
      </c>
      <c r="AT39" s="124"/>
      <c r="AU39" s="124"/>
      <c r="AV39" s="124"/>
      <c r="AW39" s="124"/>
    </row>
    <row r="40" spans="1:49" s="484" customFormat="1" ht="13.8" x14ac:dyDescent="0.25">
      <c r="A40" s="1335" t="s">
        <v>1015</v>
      </c>
      <c r="B40" s="1732">
        <f t="shared" ref="B40:I40" si="44">SUM(B31:B39)</f>
        <v>1112</v>
      </c>
      <c r="C40" s="1732">
        <f t="shared" si="44"/>
        <v>1505.5</v>
      </c>
      <c r="D40" s="1732">
        <f t="shared" si="44"/>
        <v>363</v>
      </c>
      <c r="E40" s="495">
        <f t="shared" si="44"/>
        <v>2980.5</v>
      </c>
      <c r="F40" s="1732">
        <f t="shared" si="44"/>
        <v>1099</v>
      </c>
      <c r="G40" s="1732">
        <f t="shared" si="44"/>
        <v>1571</v>
      </c>
      <c r="H40" s="1732">
        <f t="shared" si="44"/>
        <v>465</v>
      </c>
      <c r="I40" s="1732">
        <f t="shared" si="44"/>
        <v>3135</v>
      </c>
      <c r="J40" s="496">
        <f t="shared" si="33"/>
        <v>5.1836940110719675E-2</v>
      </c>
      <c r="K40" s="1732">
        <f>SUM(K31:K39)</f>
        <v>1364.5</v>
      </c>
      <c r="L40" s="1732">
        <f>SUM(L31:L39)</f>
        <v>1638</v>
      </c>
      <c r="M40" s="1732">
        <f>SUM(M31:M39)</f>
        <v>324</v>
      </c>
      <c r="N40" s="1732">
        <f>SUM(N31:N39)</f>
        <v>3326.5</v>
      </c>
      <c r="O40" s="1965">
        <f t="shared" si="35"/>
        <v>6.1084529505582137E-2</v>
      </c>
      <c r="P40" s="1732">
        <f>SUM(P31:P39)</f>
        <v>1049</v>
      </c>
      <c r="Q40" s="1732">
        <f>SUM(Q31:Q39)</f>
        <v>1662</v>
      </c>
      <c r="R40" s="1732">
        <f>SUM(R31:R39)</f>
        <v>414</v>
      </c>
      <c r="S40" s="1732">
        <f>SUM(S31:S39)</f>
        <v>3125</v>
      </c>
      <c r="T40" s="586">
        <f t="shared" si="37"/>
        <v>-6.0574177062979108E-2</v>
      </c>
      <c r="U40" s="1732">
        <f>SUM(U31:U39)</f>
        <v>1181</v>
      </c>
      <c r="V40" s="1732">
        <f>SUM(V31:V39)</f>
        <v>1598</v>
      </c>
      <c r="W40" s="1732">
        <f>SUM(W31:W39)</f>
        <v>360</v>
      </c>
      <c r="X40" s="1732">
        <f>SUM(X31:X39)</f>
        <v>3139</v>
      </c>
      <c r="Y40" s="1965">
        <f t="shared" si="39"/>
        <v>4.4799999999999996E-3</v>
      </c>
      <c r="Z40" s="1732">
        <f>SUM(Z31:Z39)</f>
        <v>1119.5</v>
      </c>
      <c r="AA40" s="1732">
        <f>SUM(AA31:AA39)</f>
        <v>1600</v>
      </c>
      <c r="AB40" s="1732">
        <f>SUM(AB31:AB39)</f>
        <v>438</v>
      </c>
      <c r="AC40" s="1732">
        <f>SUM(AC31:AC39)</f>
        <v>3157.5</v>
      </c>
      <c r="AD40" s="586">
        <f t="shared" si="41"/>
        <v>5.8935966868429437E-3</v>
      </c>
      <c r="AE40" s="1025">
        <f>SUM(AE31:AE39)</f>
        <v>1231.5</v>
      </c>
      <c r="AF40" s="1732">
        <f>SUM(AF31:AF39)</f>
        <v>1604.5</v>
      </c>
      <c r="AG40" s="1732">
        <f>SUM(AG31:AG39)</f>
        <v>498</v>
      </c>
      <c r="AH40" s="1732">
        <f>SUM(AH31:AH39)</f>
        <v>3334</v>
      </c>
      <c r="AI40" s="1965">
        <f t="shared" si="43"/>
        <v>5.5898653998416467E-2</v>
      </c>
      <c r="AJ40" s="1025">
        <f>SUM(AJ31:AJ39)</f>
        <v>1385.5</v>
      </c>
      <c r="AK40" s="1732">
        <f>SUM(AK31:AK39)</f>
        <v>1616.5</v>
      </c>
      <c r="AL40" s="1732">
        <f>SUM(AL31:AL39)</f>
        <v>315</v>
      </c>
      <c r="AM40" s="1732">
        <f>SUM(AM31:AM39)</f>
        <v>3317</v>
      </c>
      <c r="AN40" s="1965">
        <f t="shared" si="28"/>
        <v>-5.0989802039592084E-3</v>
      </c>
      <c r="AO40" s="1732">
        <f>SUM(AO31:AO39)</f>
        <v>39</v>
      </c>
      <c r="AP40" s="1732">
        <f>SUM(AP31:AP39)</f>
        <v>2928.5</v>
      </c>
      <c r="AQ40" s="1732">
        <f>SUM(AQ31:AQ39)</f>
        <v>237</v>
      </c>
      <c r="AR40" s="1732">
        <f>SUM(AR31:AR39)</f>
        <v>3204.5</v>
      </c>
      <c r="AS40" s="1965">
        <f t="shared" si="30"/>
        <v>-3.3916189327705758E-2</v>
      </c>
      <c r="AT40" s="124"/>
      <c r="AU40" s="124"/>
      <c r="AV40" s="124"/>
      <c r="AW40" s="124"/>
    </row>
    <row r="41" spans="1:49" x14ac:dyDescent="0.25">
      <c r="A41" s="1325" t="s">
        <v>435</v>
      </c>
      <c r="B41" s="1869"/>
      <c r="C41" s="1877"/>
      <c r="D41" s="1877"/>
      <c r="E41" s="438"/>
      <c r="F41" s="1869"/>
      <c r="G41" s="1877"/>
      <c r="H41" s="1877"/>
      <c r="I41" s="1877"/>
      <c r="J41" s="438"/>
      <c r="K41" s="1869"/>
      <c r="L41" s="1877"/>
      <c r="M41" s="1877"/>
      <c r="N41" s="1877"/>
      <c r="O41" s="438"/>
      <c r="P41" s="1869"/>
      <c r="Q41" s="1877"/>
      <c r="R41" s="1877"/>
      <c r="S41" s="1877"/>
      <c r="T41" s="438"/>
      <c r="U41" s="1053"/>
      <c r="V41" s="1036"/>
      <c r="W41" s="1036"/>
      <c r="X41" s="1036"/>
      <c r="Y41" s="1871"/>
      <c r="Z41" s="1869"/>
      <c r="AA41" s="1877"/>
      <c r="AB41" s="1877"/>
      <c r="AC41" s="1877"/>
      <c r="AD41" s="438"/>
      <c r="AE41" s="1041"/>
      <c r="AF41" s="1877"/>
      <c r="AG41" s="1877"/>
      <c r="AH41" s="1877"/>
      <c r="AI41" s="438"/>
      <c r="AJ41" s="1041"/>
      <c r="AK41" s="1877"/>
      <c r="AL41" s="1877"/>
      <c r="AM41" s="1877"/>
      <c r="AN41" s="438"/>
      <c r="AO41" s="1869"/>
      <c r="AP41" s="1877"/>
      <c r="AQ41" s="1877"/>
      <c r="AR41" s="1877"/>
      <c r="AS41" s="438"/>
      <c r="AT41" s="124"/>
      <c r="AU41" s="124"/>
      <c r="AV41" s="124"/>
      <c r="AW41" s="124"/>
    </row>
    <row r="42" spans="1:49" x14ac:dyDescent="0.25">
      <c r="A42" s="1336" t="s">
        <v>1059</v>
      </c>
      <c r="B42" s="1616">
        <v>1756</v>
      </c>
      <c r="C42" s="1617">
        <v>725</v>
      </c>
      <c r="D42" s="1617">
        <v>0</v>
      </c>
      <c r="E42" s="326">
        <f>SUM(B42:D42)</f>
        <v>2481</v>
      </c>
      <c r="F42" s="1616">
        <v>1999</v>
      </c>
      <c r="G42" s="1617">
        <v>851</v>
      </c>
      <c r="H42" s="1617">
        <v>0</v>
      </c>
      <c r="I42" s="1246">
        <f>SUM(F42:H42)</f>
        <v>2850</v>
      </c>
      <c r="J42" s="491">
        <f>IF(E42&gt;0,(I42-E42)/E42,(IF(I42=0,"N/A",100%)))</f>
        <v>0.14873035066505441</v>
      </c>
      <c r="K42" s="1683">
        <v>1894</v>
      </c>
      <c r="L42" s="1246">
        <v>939</v>
      </c>
      <c r="M42" s="1246">
        <v>0</v>
      </c>
      <c r="N42" s="1246">
        <f>SUM(K42:M42)</f>
        <v>2833</v>
      </c>
      <c r="O42" s="1954">
        <f>IF(I42&gt;0,(N42-I42)/I42,(IF(N42=0,"N/A",100%)))</f>
        <v>-5.9649122807017545E-3</v>
      </c>
      <c r="P42" s="1683">
        <v>2111</v>
      </c>
      <c r="Q42" s="1246">
        <v>1120</v>
      </c>
      <c r="R42" s="1246">
        <v>0</v>
      </c>
      <c r="S42" s="1246">
        <f>SUM(P42:R42)</f>
        <v>3231</v>
      </c>
      <c r="T42" s="505">
        <f>IF(N42&gt;0,(S42-N42)/N42,(IF(S42=0,"N/A",100%)))</f>
        <v>0.14048711613130957</v>
      </c>
      <c r="U42" s="1047">
        <v>1912</v>
      </c>
      <c r="V42" s="1047">
        <v>1041</v>
      </c>
      <c r="W42" s="1047">
        <v>3</v>
      </c>
      <c r="X42" s="1047">
        <f>SUM(U42:W42)</f>
        <v>2956</v>
      </c>
      <c r="Y42" s="1954">
        <f>IF(S42&gt;0,(X42-S42)/S42,(IF(X42=0,"N/A",100%)))</f>
        <v>-8.511296812132467E-2</v>
      </c>
      <c r="Z42" s="1683">
        <v>1987</v>
      </c>
      <c r="AA42" s="1246">
        <v>1082</v>
      </c>
      <c r="AB42" s="1246">
        <v>6</v>
      </c>
      <c r="AC42" s="1246">
        <f>SUM(Z42:AB42)</f>
        <v>3075</v>
      </c>
      <c r="AD42" s="505">
        <f>IF(X42&gt;0,(AC42-X42)/X42,(IF(AC42=0,"N/A",100%)))</f>
        <v>4.0257104194857916E-2</v>
      </c>
      <c r="AE42" s="683">
        <v>1868</v>
      </c>
      <c r="AF42" s="1246">
        <v>1103</v>
      </c>
      <c r="AG42" s="1246">
        <v>6</v>
      </c>
      <c r="AH42" s="1246">
        <f>SUM(AE42:AG42)</f>
        <v>2977</v>
      </c>
      <c r="AI42" s="1954">
        <f>IF(AC42&gt;0,(AH42-AC42)/AC42,(IF(AH42=0,"N/A",100%)))</f>
        <v>-3.186991869918699E-2</v>
      </c>
      <c r="AJ42" s="683">
        <v>1816</v>
      </c>
      <c r="AK42" s="1246">
        <v>1130</v>
      </c>
      <c r="AL42" s="1246">
        <v>0</v>
      </c>
      <c r="AM42" s="1246">
        <f>SUM(AJ42:AL42)</f>
        <v>2946</v>
      </c>
      <c r="AN42" s="1954">
        <f>IF(AH42&gt;0,(AM42-AH42)/AH42,(IF(AM42=0,"N/A",100%)))</f>
        <v>-1.0413167618407793E-2</v>
      </c>
      <c r="AO42" s="1683">
        <v>1301</v>
      </c>
      <c r="AP42" s="1246">
        <v>1476</v>
      </c>
      <c r="AQ42" s="1246">
        <v>0</v>
      </c>
      <c r="AR42" s="1246">
        <f>SUM(AO42:AQ42)</f>
        <v>2777</v>
      </c>
      <c r="AS42" s="1954">
        <f>IF(AM42&gt;0,(AR42-AM42)/AM42,(IF(AR42=0,"N/A",100%)))</f>
        <v>-5.7365919891378139E-2</v>
      </c>
      <c r="AT42" s="124"/>
      <c r="AU42" s="124"/>
      <c r="AV42" s="124"/>
      <c r="AW42" s="124"/>
    </row>
    <row r="43" spans="1:49" x14ac:dyDescent="0.25">
      <c r="A43" s="1325" t="s">
        <v>426</v>
      </c>
      <c r="B43" s="1904"/>
      <c r="C43" s="1905"/>
      <c r="D43" s="1905"/>
      <c r="E43" s="438"/>
      <c r="F43" s="1904"/>
      <c r="G43" s="1905"/>
      <c r="H43" s="1905"/>
      <c r="I43" s="1877"/>
      <c r="J43" s="438"/>
      <c r="K43" s="1869"/>
      <c r="L43" s="1877"/>
      <c r="M43" s="1877"/>
      <c r="N43" s="1877"/>
      <c r="O43" s="438"/>
      <c r="P43" s="1869"/>
      <c r="Q43" s="1877"/>
      <c r="R43" s="1877"/>
      <c r="S43" s="1877"/>
      <c r="T43" s="438"/>
      <c r="U43" s="1053"/>
      <c r="V43" s="1036"/>
      <c r="W43" s="1036"/>
      <c r="X43" s="1036"/>
      <c r="Y43" s="1871"/>
      <c r="Z43" s="1869"/>
      <c r="AA43" s="1877"/>
      <c r="AB43" s="1877"/>
      <c r="AC43" s="1877"/>
      <c r="AD43" s="438"/>
      <c r="AE43" s="1041"/>
      <c r="AF43" s="1877"/>
      <c r="AG43" s="1877"/>
      <c r="AH43" s="1877"/>
      <c r="AI43" s="438"/>
      <c r="AJ43" s="1041"/>
      <c r="AK43" s="1877"/>
      <c r="AL43" s="1877"/>
      <c r="AM43" s="1877"/>
      <c r="AN43" s="438"/>
      <c r="AO43" s="1869"/>
      <c r="AP43" s="1877"/>
      <c r="AQ43" s="1877"/>
      <c r="AR43" s="1877"/>
      <c r="AS43" s="438"/>
      <c r="AT43" s="124"/>
      <c r="AU43" s="124"/>
      <c r="AV43" s="124"/>
      <c r="AW43" s="124"/>
    </row>
    <row r="44" spans="1:49" x14ac:dyDescent="0.25">
      <c r="A44" s="1319" t="s">
        <v>1013</v>
      </c>
      <c r="B44" s="1616">
        <v>892</v>
      </c>
      <c r="C44" s="1617">
        <v>711</v>
      </c>
      <c r="D44" s="1617">
        <v>0</v>
      </c>
      <c r="E44" s="326">
        <f>SUM(B44:D44)</f>
        <v>1603</v>
      </c>
      <c r="F44" s="1616">
        <v>681</v>
      </c>
      <c r="G44" s="1617">
        <v>708</v>
      </c>
      <c r="H44" s="1617">
        <v>0</v>
      </c>
      <c r="I44" s="1246">
        <f>SUM(F44:H44)</f>
        <v>1389</v>
      </c>
      <c r="J44" s="491">
        <f>IF(E44&gt;0,(I44-E44)/E44,(IF(I44=0,"N/A",100%)))</f>
        <v>-0.13349968808484092</v>
      </c>
      <c r="K44" s="1683">
        <v>837</v>
      </c>
      <c r="L44" s="1246">
        <v>800</v>
      </c>
      <c r="M44" s="1246">
        <v>0</v>
      </c>
      <c r="N44" s="1246">
        <f>SUM(K44:M44)</f>
        <v>1637</v>
      </c>
      <c r="O44" s="1954">
        <f>IF(I44&gt;0,(N44-I44)/I44,(IF(N44=0,"N/A",100%)))</f>
        <v>0.17854571634269259</v>
      </c>
      <c r="P44" s="1683">
        <v>1212</v>
      </c>
      <c r="Q44" s="1246">
        <v>702</v>
      </c>
      <c r="R44" s="1246">
        <v>0</v>
      </c>
      <c r="S44" s="1246">
        <f>SUM(P44:R44)</f>
        <v>1914</v>
      </c>
      <c r="T44" s="505">
        <f>IF(N44&gt;0,(S44-N44)/N44,(IF(S44=0,"N/A",100%)))</f>
        <v>0.16921197312156383</v>
      </c>
      <c r="U44" s="1047">
        <v>1313</v>
      </c>
      <c r="V44" s="1047">
        <v>618</v>
      </c>
      <c r="W44" s="1047">
        <v>0</v>
      </c>
      <c r="X44" s="1047">
        <f>SUM(U44:W44)</f>
        <v>1931</v>
      </c>
      <c r="Y44" s="1954">
        <f>IF(S44&gt;0,(X44-S44)/S44,(IF(X44=0,"N/A",100%)))</f>
        <v>8.881922675026124E-3</v>
      </c>
      <c r="Z44" s="1683">
        <v>1096</v>
      </c>
      <c r="AA44" s="1246">
        <v>799</v>
      </c>
      <c r="AB44" s="1246">
        <v>0</v>
      </c>
      <c r="AC44" s="1246">
        <f>SUM(Z44:AB44)</f>
        <v>1895</v>
      </c>
      <c r="AD44" s="505">
        <f>IF(X44&gt;0,(AC44-X44)/X44,(IF(AC44=0,"N/A",100%)))</f>
        <v>-1.8643190056965304E-2</v>
      </c>
      <c r="AE44" s="683">
        <v>930</v>
      </c>
      <c r="AF44" s="1246">
        <v>932</v>
      </c>
      <c r="AG44" s="1246">
        <v>0</v>
      </c>
      <c r="AH44" s="1246">
        <f>SUM(AE44:AG44)</f>
        <v>1862</v>
      </c>
      <c r="AI44" s="1954">
        <f>IF(AC44&gt;0,(AH44-AC44)/AC44,(IF(AH44=0,"N/A",100%)))</f>
        <v>-1.7414248021108178E-2</v>
      </c>
      <c r="AJ44" s="683">
        <v>930</v>
      </c>
      <c r="AK44" s="1246">
        <v>849</v>
      </c>
      <c r="AL44" s="1246">
        <v>0</v>
      </c>
      <c r="AM44" s="1246">
        <f>SUM(AJ44:AL44)</f>
        <v>1779</v>
      </c>
      <c r="AN44" s="1954">
        <f>IF(AH44&gt;0,(AM44-AH44)/AH44,(IF(AM44=0,"N/A",100%)))</f>
        <v>-4.4575725026852843E-2</v>
      </c>
      <c r="AO44" s="1683">
        <v>646</v>
      </c>
      <c r="AP44" s="1246">
        <v>1113</v>
      </c>
      <c r="AQ44" s="1246">
        <v>0</v>
      </c>
      <c r="AR44" s="1246">
        <f>SUM(AO44:AQ44)</f>
        <v>1759</v>
      </c>
      <c r="AS44" s="1954">
        <f>IF(AM44&gt;0,(AR44-AM44)/AM44,(IF(AR44=0,"N/A",100%)))</f>
        <v>-1.1242270938729624E-2</v>
      </c>
      <c r="AT44" s="124"/>
      <c r="AU44" s="124"/>
      <c r="AV44" s="124"/>
      <c r="AW44" s="124"/>
    </row>
    <row r="45" spans="1:49" s="502" customFormat="1" ht="16.2" thickBot="1" x14ac:dyDescent="0.35">
      <c r="A45" s="1328" t="s">
        <v>427</v>
      </c>
      <c r="B45" s="988">
        <f t="shared" ref="B45:I45" si="45">B44+B42+B40</f>
        <v>3760</v>
      </c>
      <c r="C45" s="988">
        <f t="shared" si="45"/>
        <v>2941.5</v>
      </c>
      <c r="D45" s="988">
        <f t="shared" si="45"/>
        <v>363</v>
      </c>
      <c r="E45" s="1337">
        <f t="shared" si="45"/>
        <v>7064.5</v>
      </c>
      <c r="F45" s="988">
        <f t="shared" si="45"/>
        <v>3779</v>
      </c>
      <c r="G45" s="988">
        <f t="shared" si="45"/>
        <v>3130</v>
      </c>
      <c r="H45" s="988">
        <f t="shared" si="45"/>
        <v>465</v>
      </c>
      <c r="I45" s="988">
        <f t="shared" si="45"/>
        <v>7374</v>
      </c>
      <c r="J45" s="975">
        <f>IF(E45&gt;0,(I45-E45)/E45,(IF(I45=0,"N/A",100%)))</f>
        <v>4.3810602307311201E-2</v>
      </c>
      <c r="K45" s="988">
        <f>K44+K42+K40</f>
        <v>4095.5</v>
      </c>
      <c r="L45" s="988">
        <f>L44+L42+L40</f>
        <v>3377</v>
      </c>
      <c r="M45" s="988">
        <f>M44+M42+M40</f>
        <v>324</v>
      </c>
      <c r="N45" s="988">
        <f>N44+N42+N40</f>
        <v>7796.5</v>
      </c>
      <c r="O45" s="975">
        <f>IF(I45&gt;0,(N45-I45)/I45,(IF(N45=0,"N/A",100%)))</f>
        <v>5.7295904529427719E-2</v>
      </c>
      <c r="P45" s="988">
        <f>P44+P42+P40</f>
        <v>4372</v>
      </c>
      <c r="Q45" s="988">
        <f>Q44+Q42+Q40</f>
        <v>3484</v>
      </c>
      <c r="R45" s="988">
        <f>R44+R42+R40</f>
        <v>414</v>
      </c>
      <c r="S45" s="988">
        <f>S44+S42+S40</f>
        <v>8270</v>
      </c>
      <c r="T45" s="975">
        <f>IF(N45&gt;0,(S45-N45)/N45,(IF(S45=0,"N/A",100%)))</f>
        <v>6.0732379914064001E-2</v>
      </c>
      <c r="U45" s="1049">
        <f>U44+U42+U40</f>
        <v>4406</v>
      </c>
      <c r="V45" s="1049">
        <f>V44+V42+V40</f>
        <v>3257</v>
      </c>
      <c r="W45" s="1049">
        <f>W44+W42+W40</f>
        <v>363</v>
      </c>
      <c r="X45" s="1049">
        <f>X44+X42+X40</f>
        <v>8026</v>
      </c>
      <c r="Y45" s="1050">
        <f>IF(S45&gt;0,(X45-S45)/S45,(IF(X45=0,"N/A",100%)))</f>
        <v>-2.950423216444982E-2</v>
      </c>
      <c r="Z45" s="988">
        <f>Z44+Z42+Z40</f>
        <v>4202.5</v>
      </c>
      <c r="AA45" s="988">
        <f>AA44+AA42+AA40</f>
        <v>3481</v>
      </c>
      <c r="AB45" s="988">
        <f>AB44+AB42+AB40</f>
        <v>444</v>
      </c>
      <c r="AC45" s="988">
        <f>AC44+AC42+AC40</f>
        <v>8127.5</v>
      </c>
      <c r="AD45" s="975">
        <f>IF(X45&gt;0,(AC45-X45)/X45,(IF(AC45=0,"N/A",100%)))</f>
        <v>1.2646399202591578E-2</v>
      </c>
      <c r="AE45" s="1329">
        <f>AE44+AE42+AE40</f>
        <v>4029.5</v>
      </c>
      <c r="AF45" s="988">
        <f>AF44+AF42+AF40</f>
        <v>3639.5</v>
      </c>
      <c r="AG45" s="988">
        <f>AG44+AG42+AG40</f>
        <v>504</v>
      </c>
      <c r="AH45" s="988">
        <f>AH44+AH42+AH40</f>
        <v>8173</v>
      </c>
      <c r="AI45" s="975">
        <f>IF(AC45&gt;0,(AH45-AC45)/AC45,(IF(AH45=0,"N/A",100%)))</f>
        <v>5.5982774530913566E-3</v>
      </c>
      <c r="AJ45" s="1329">
        <f>AJ44+AJ42+AJ40</f>
        <v>4131.5</v>
      </c>
      <c r="AK45" s="988">
        <f>AK44+AK42+AK40</f>
        <v>3595.5</v>
      </c>
      <c r="AL45" s="988">
        <f>AL44+AL42+AL40</f>
        <v>315</v>
      </c>
      <c r="AM45" s="988">
        <f>AM44+AM42+AM40</f>
        <v>8042</v>
      </c>
      <c r="AN45" s="975">
        <f>IF(AH45&gt;0,(AM45-AH45)/AH45,(IF(AM45=0,"N/A",100%)))</f>
        <v>-1.60283861495167E-2</v>
      </c>
      <c r="AO45" s="988">
        <f>AO44+AO42+AO40</f>
        <v>1986</v>
      </c>
      <c r="AP45" s="988">
        <f>AP44+AP42+AP40</f>
        <v>5517.5</v>
      </c>
      <c r="AQ45" s="988">
        <f>AQ44+AQ42+AQ40</f>
        <v>237</v>
      </c>
      <c r="AR45" s="988">
        <f>AR44+AR42+AR40</f>
        <v>7740.5</v>
      </c>
      <c r="AS45" s="975">
        <f>IF(AM45&gt;0,(AR45-AM45)/AM45,(IF(AR45=0,"N/A",100%)))</f>
        <v>-3.7490673961701068E-2</v>
      </c>
      <c r="AT45" s="124"/>
      <c r="AU45" s="124"/>
      <c r="AV45" s="124"/>
      <c r="AW45" s="124"/>
    </row>
    <row r="46" spans="1:49" ht="14.25" customHeight="1" x14ac:dyDescent="0.25">
      <c r="A46" s="507"/>
      <c r="B46" s="286"/>
      <c r="C46" s="286"/>
      <c r="D46" s="286"/>
      <c r="E46" s="286"/>
      <c r="F46" s="286"/>
      <c r="G46" s="286"/>
      <c r="H46" s="286"/>
      <c r="I46" s="286"/>
      <c r="J46" s="280"/>
      <c r="K46" s="280"/>
      <c r="L46" s="280"/>
      <c r="M46" s="280"/>
      <c r="N46" s="280"/>
      <c r="O46" s="280"/>
      <c r="P46" s="286"/>
      <c r="Q46" s="286"/>
      <c r="R46" s="286"/>
      <c r="S46" s="286"/>
      <c r="T46" s="280"/>
      <c r="U46" s="280"/>
      <c r="V46" s="280"/>
      <c r="W46" s="280"/>
      <c r="X46" s="280"/>
      <c r="Y46" s="280"/>
      <c r="Z46" s="280"/>
      <c r="AA46" s="280"/>
      <c r="AB46" s="280"/>
      <c r="AC46" s="280"/>
      <c r="AD46" s="280"/>
      <c r="AE46" s="280"/>
      <c r="AF46" s="280"/>
      <c r="AG46" s="280"/>
      <c r="AH46" s="280"/>
      <c r="AI46" s="280"/>
      <c r="AJ46" s="124"/>
      <c r="AK46" s="124"/>
      <c r="AL46" s="124"/>
      <c r="AM46" s="124"/>
      <c r="AN46" s="124"/>
      <c r="AO46" s="124"/>
      <c r="AP46" s="124"/>
      <c r="AQ46" s="124"/>
      <c r="AR46" s="124"/>
      <c r="AS46" s="124"/>
      <c r="AT46" s="124"/>
      <c r="AU46" s="124"/>
      <c r="AV46" s="124"/>
      <c r="AW46" s="124"/>
    </row>
    <row r="47" spans="1:49" ht="14.25" customHeight="1" thickBot="1" x14ac:dyDescent="0.3">
      <c r="A47" s="507"/>
      <c r="B47" s="286"/>
      <c r="C47" s="286"/>
      <c r="D47" s="286"/>
      <c r="E47" s="286"/>
      <c r="F47" s="286"/>
      <c r="G47" s="286"/>
      <c r="H47" s="286"/>
      <c r="I47" s="286"/>
      <c r="J47" s="280"/>
      <c r="K47" s="280"/>
      <c r="L47" s="280"/>
      <c r="M47" s="280"/>
      <c r="N47" s="280"/>
      <c r="O47" s="280"/>
      <c r="P47" s="286"/>
      <c r="Q47" s="286"/>
      <c r="R47" s="286"/>
      <c r="S47" s="286"/>
      <c r="T47" s="280"/>
      <c r="U47" s="280"/>
      <c r="V47" s="280"/>
      <c r="W47" s="280"/>
      <c r="X47" s="280"/>
      <c r="Y47" s="280"/>
      <c r="Z47" s="280"/>
      <c r="AA47" s="280"/>
      <c r="AB47" s="280"/>
      <c r="AC47" s="280"/>
      <c r="AD47" s="280"/>
      <c r="AE47" s="280"/>
      <c r="AF47" s="280"/>
      <c r="AG47" s="280"/>
      <c r="AH47" s="280"/>
      <c r="AI47" s="280"/>
      <c r="AJ47" s="124"/>
      <c r="AK47" s="124"/>
      <c r="AL47" s="124"/>
      <c r="AM47" s="124"/>
      <c r="AN47" s="124"/>
      <c r="AO47" s="124"/>
      <c r="AP47" s="124"/>
      <c r="AQ47" s="124"/>
      <c r="AR47" s="124"/>
      <c r="AS47" s="124"/>
      <c r="AT47" s="124"/>
      <c r="AU47" s="124"/>
      <c r="AV47" s="124"/>
      <c r="AW47" s="124"/>
    </row>
    <row r="48" spans="1:49" customFormat="1" ht="18" thickBot="1" x14ac:dyDescent="0.35">
      <c r="A48" s="2134" t="s">
        <v>416</v>
      </c>
      <c r="B48" s="2135"/>
      <c r="C48" s="2135"/>
      <c r="D48" s="2135"/>
      <c r="E48" s="2135"/>
      <c r="F48" s="2135"/>
      <c r="G48" s="2135"/>
      <c r="H48" s="2135"/>
      <c r="I48" s="2135"/>
      <c r="J48" s="2135"/>
      <c r="K48" s="2135"/>
      <c r="L48" s="2135"/>
      <c r="M48" s="2135"/>
      <c r="N48" s="2135"/>
      <c r="O48" s="2135"/>
      <c r="P48" s="2135"/>
      <c r="Q48" s="2135"/>
      <c r="R48" s="2135"/>
      <c r="S48" s="2135"/>
      <c r="T48" s="2135"/>
      <c r="U48" s="2135"/>
      <c r="V48" s="2135"/>
      <c r="W48" s="2135"/>
      <c r="X48" s="2135"/>
      <c r="Y48" s="2135"/>
      <c r="Z48" s="2135"/>
      <c r="AA48" s="2135"/>
      <c r="AB48" s="2135"/>
      <c r="AC48" s="2135"/>
      <c r="AD48" s="2135"/>
      <c r="AE48" s="2135"/>
      <c r="AF48" s="2135"/>
      <c r="AG48" s="2135"/>
      <c r="AH48" s="2135"/>
      <c r="AI48" s="2135"/>
      <c r="AJ48" s="2135"/>
      <c r="AK48" s="2135"/>
      <c r="AL48" s="2135"/>
      <c r="AM48" s="2135"/>
      <c r="AN48" s="2135"/>
      <c r="AO48" s="2135"/>
      <c r="AP48" s="2135"/>
      <c r="AQ48" s="2135"/>
      <c r="AR48" s="2135"/>
      <c r="AS48" s="2136"/>
      <c r="AT48" s="124"/>
      <c r="AU48" s="124"/>
      <c r="AV48" s="124"/>
      <c r="AW48" s="124"/>
    </row>
    <row r="49" spans="1:255" ht="26.4" x14ac:dyDescent="0.25">
      <c r="A49" s="2142" t="s">
        <v>1006</v>
      </c>
      <c r="B49" s="1956" t="s">
        <v>1008</v>
      </c>
      <c r="C49" s="1956" t="s">
        <v>1009</v>
      </c>
      <c r="D49" s="1956" t="s">
        <v>1010</v>
      </c>
      <c r="E49" s="1957" t="s">
        <v>1011</v>
      </c>
      <c r="F49" s="1956" t="s">
        <v>1008</v>
      </c>
      <c r="G49" s="1956" t="s">
        <v>1009</v>
      </c>
      <c r="H49" s="1956" t="s">
        <v>1010</v>
      </c>
      <c r="I49" s="1958" t="s">
        <v>1011</v>
      </c>
      <c r="J49" s="1959" t="s">
        <v>1012</v>
      </c>
      <c r="K49" s="1971" t="s">
        <v>1008</v>
      </c>
      <c r="L49" s="1972" t="s">
        <v>1009</v>
      </c>
      <c r="M49" s="1972" t="s">
        <v>1010</v>
      </c>
      <c r="N49" s="1973" t="s">
        <v>1011</v>
      </c>
      <c r="O49" s="1959" t="s">
        <v>1012</v>
      </c>
      <c r="P49" s="1956" t="s">
        <v>1008</v>
      </c>
      <c r="Q49" s="1956" t="s">
        <v>1009</v>
      </c>
      <c r="R49" s="1956" t="s">
        <v>1010</v>
      </c>
      <c r="S49" s="1958" t="s">
        <v>1011</v>
      </c>
      <c r="T49" s="1959" t="s">
        <v>1012</v>
      </c>
      <c r="U49" s="1956" t="s">
        <v>1008</v>
      </c>
      <c r="V49" s="1956" t="s">
        <v>1009</v>
      </c>
      <c r="W49" s="1956" t="s">
        <v>1010</v>
      </c>
      <c r="X49" s="1958" t="s">
        <v>1011</v>
      </c>
      <c r="Y49" s="1959" t="s">
        <v>1012</v>
      </c>
      <c r="Z49" s="1956" t="s">
        <v>1008</v>
      </c>
      <c r="AA49" s="1956" t="s">
        <v>1009</v>
      </c>
      <c r="AB49" s="1956" t="s">
        <v>1010</v>
      </c>
      <c r="AC49" s="1958" t="s">
        <v>1011</v>
      </c>
      <c r="AD49" s="584" t="s">
        <v>1012</v>
      </c>
      <c r="AE49" s="1818" t="s">
        <v>1008</v>
      </c>
      <c r="AF49" s="1979" t="s">
        <v>1009</v>
      </c>
      <c r="AG49" s="1979" t="s">
        <v>1010</v>
      </c>
      <c r="AH49" s="1980" t="s">
        <v>1011</v>
      </c>
      <c r="AI49" s="1981" t="s">
        <v>1012</v>
      </c>
      <c r="AJ49" s="1818" t="s">
        <v>1008</v>
      </c>
      <c r="AK49" s="1979" t="s">
        <v>1009</v>
      </c>
      <c r="AL49" s="1979" t="s">
        <v>1010</v>
      </c>
      <c r="AM49" s="1980" t="s">
        <v>1011</v>
      </c>
      <c r="AN49" s="1981" t="s">
        <v>1012</v>
      </c>
      <c r="AO49" s="1956" t="s">
        <v>1008</v>
      </c>
      <c r="AP49" s="1960" t="s">
        <v>1009</v>
      </c>
      <c r="AQ49" s="1960" t="s">
        <v>1010</v>
      </c>
      <c r="AR49" s="1961" t="s">
        <v>1011</v>
      </c>
      <c r="AS49" s="584" t="s">
        <v>1012</v>
      </c>
      <c r="AT49" s="124"/>
      <c r="AU49" s="124"/>
      <c r="AV49" s="124"/>
      <c r="AW49" s="124"/>
      <c r="AX49" s="280"/>
      <c r="AY49" s="280"/>
      <c r="AZ49" s="280"/>
      <c r="BA49" s="280"/>
      <c r="BB49" s="280"/>
      <c r="BC49" s="280"/>
      <c r="BD49" s="280"/>
      <c r="BE49" s="280"/>
      <c r="BF49" s="280"/>
      <c r="BG49" s="280"/>
      <c r="BH49" s="280"/>
      <c r="BI49" s="280"/>
      <c r="BJ49" s="280"/>
      <c r="BK49" s="280"/>
      <c r="BL49" s="280"/>
      <c r="BM49" s="280"/>
      <c r="BN49" s="280"/>
      <c r="BO49" s="280"/>
      <c r="BP49" s="280"/>
      <c r="BQ49" s="280"/>
      <c r="BR49" s="280"/>
      <c r="BS49" s="280"/>
      <c r="BT49" s="280"/>
      <c r="BU49" s="280"/>
      <c r="BV49" s="280"/>
      <c r="BW49" s="280"/>
      <c r="BX49" s="280"/>
      <c r="BY49" s="280"/>
      <c r="BZ49" s="280"/>
      <c r="CA49" s="280"/>
      <c r="CB49" s="280"/>
      <c r="CC49" s="280"/>
      <c r="CD49" s="280"/>
      <c r="CE49" s="280"/>
      <c r="CF49" s="280"/>
      <c r="CG49" s="280"/>
      <c r="CH49" s="280"/>
      <c r="CI49" s="280"/>
      <c r="CJ49" s="280"/>
      <c r="CK49" s="280"/>
      <c r="CL49" s="280"/>
      <c r="CM49" s="280"/>
      <c r="CN49" s="280"/>
      <c r="CO49" s="280"/>
      <c r="CP49" s="280"/>
      <c r="CQ49" s="280"/>
      <c r="CR49" s="280"/>
      <c r="CS49" s="280"/>
      <c r="CT49" s="280"/>
      <c r="CU49" s="280"/>
      <c r="CV49" s="280"/>
      <c r="CW49" s="280"/>
      <c r="CX49" s="280"/>
      <c r="CY49" s="280"/>
      <c r="CZ49" s="280"/>
      <c r="DA49" s="280"/>
      <c r="DB49" s="280"/>
      <c r="DC49" s="280"/>
      <c r="DD49" s="280"/>
      <c r="DE49" s="280"/>
      <c r="DF49" s="280"/>
      <c r="DG49" s="280"/>
      <c r="DH49" s="280"/>
      <c r="DI49" s="280"/>
      <c r="DJ49" s="280"/>
      <c r="DK49" s="280"/>
      <c r="DL49" s="280"/>
      <c r="DM49" s="280"/>
      <c r="DN49" s="280"/>
      <c r="DO49" s="280"/>
      <c r="DP49" s="280"/>
      <c r="DQ49" s="280"/>
      <c r="DR49" s="280"/>
      <c r="DS49" s="280"/>
      <c r="DT49" s="280"/>
      <c r="DU49" s="280"/>
      <c r="DV49" s="280"/>
      <c r="DW49" s="280"/>
      <c r="DX49" s="280"/>
      <c r="DY49" s="280"/>
      <c r="DZ49" s="280"/>
      <c r="EA49" s="280"/>
      <c r="EB49" s="280"/>
      <c r="EC49" s="280"/>
      <c r="ED49" s="280"/>
      <c r="EE49" s="280"/>
      <c r="EF49" s="280"/>
      <c r="EG49" s="280"/>
      <c r="EH49" s="280"/>
      <c r="EI49" s="280"/>
      <c r="EJ49" s="280"/>
      <c r="EK49" s="280"/>
      <c r="EL49" s="280"/>
      <c r="EM49" s="280"/>
      <c r="EN49" s="280"/>
      <c r="EO49" s="280"/>
      <c r="EP49" s="280"/>
      <c r="EQ49" s="280"/>
      <c r="ER49" s="280"/>
      <c r="ES49" s="280"/>
      <c r="ET49" s="280"/>
      <c r="EU49" s="280"/>
      <c r="EV49" s="280"/>
      <c r="EW49" s="280"/>
      <c r="EX49" s="280"/>
      <c r="EY49" s="280"/>
      <c r="EZ49" s="280"/>
      <c r="FA49" s="280"/>
      <c r="FB49" s="280"/>
      <c r="FC49" s="280"/>
      <c r="FD49" s="280"/>
      <c r="FE49" s="280"/>
      <c r="FF49" s="280"/>
      <c r="FG49" s="280"/>
      <c r="FH49" s="280"/>
      <c r="FI49" s="280"/>
      <c r="FJ49" s="280"/>
      <c r="FK49" s="280"/>
      <c r="FL49" s="280"/>
      <c r="FM49" s="280"/>
      <c r="FN49" s="280"/>
      <c r="FO49" s="280"/>
      <c r="FP49" s="280"/>
      <c r="FQ49" s="280"/>
      <c r="FR49" s="280"/>
      <c r="FS49" s="280"/>
      <c r="FT49" s="280"/>
      <c r="FU49" s="280"/>
      <c r="FV49" s="280"/>
      <c r="FW49" s="280"/>
      <c r="FX49" s="280"/>
      <c r="FY49" s="280"/>
      <c r="FZ49" s="280"/>
      <c r="GA49" s="280"/>
      <c r="GB49" s="280"/>
      <c r="GC49" s="280"/>
      <c r="GD49" s="280"/>
      <c r="GE49" s="280"/>
      <c r="GF49" s="280"/>
      <c r="GG49" s="280"/>
      <c r="GH49" s="280"/>
      <c r="GI49" s="280"/>
      <c r="GJ49" s="280"/>
      <c r="GK49" s="280"/>
      <c r="GL49" s="280"/>
      <c r="GM49" s="280"/>
      <c r="GN49" s="280"/>
      <c r="GO49" s="280"/>
      <c r="GP49" s="280"/>
      <c r="GQ49" s="280"/>
      <c r="GR49" s="280"/>
      <c r="GS49" s="280"/>
      <c r="GT49" s="280"/>
      <c r="GU49" s="280"/>
      <c r="GV49" s="280"/>
      <c r="GW49" s="280"/>
      <c r="GX49" s="280"/>
      <c r="GY49" s="280"/>
      <c r="GZ49" s="280"/>
      <c r="HA49" s="280"/>
      <c r="HB49" s="280"/>
      <c r="HC49" s="280"/>
      <c r="HD49" s="280"/>
      <c r="HE49" s="280"/>
      <c r="HF49" s="280"/>
      <c r="HG49" s="280"/>
      <c r="HH49" s="280"/>
      <c r="HI49" s="280"/>
      <c r="HJ49" s="280"/>
      <c r="HK49" s="280"/>
      <c r="HL49" s="280"/>
      <c r="HM49" s="280"/>
      <c r="HN49" s="280"/>
      <c r="HO49" s="280"/>
      <c r="HP49" s="280"/>
      <c r="HQ49" s="280"/>
      <c r="HR49" s="280"/>
      <c r="HS49" s="280"/>
      <c r="HT49" s="280"/>
      <c r="HU49" s="280"/>
      <c r="HV49" s="280"/>
      <c r="HW49" s="280"/>
      <c r="HX49" s="280"/>
      <c r="HY49" s="280"/>
      <c r="HZ49" s="280"/>
      <c r="IA49" s="280"/>
      <c r="IB49" s="280"/>
      <c r="IC49" s="280"/>
      <c r="ID49" s="280"/>
      <c r="IE49" s="280"/>
      <c r="IF49" s="280"/>
      <c r="IG49" s="280"/>
      <c r="IH49" s="280"/>
      <c r="II49" s="280"/>
      <c r="IJ49" s="280"/>
      <c r="IK49" s="280"/>
      <c r="IL49" s="280"/>
      <c r="IM49" s="280"/>
      <c r="IN49" s="280"/>
      <c r="IO49" s="280"/>
      <c r="IP49" s="280"/>
      <c r="IQ49" s="280"/>
      <c r="IR49" s="280"/>
      <c r="IS49" s="280"/>
      <c r="IT49" s="280"/>
      <c r="IU49" s="280"/>
    </row>
    <row r="50" spans="1:255" ht="12.75" customHeight="1" x14ac:dyDescent="0.25">
      <c r="A50" s="2152"/>
      <c r="B50" s="2138" t="s">
        <v>1502</v>
      </c>
      <c r="C50" s="2139"/>
      <c r="D50" s="2139"/>
      <c r="E50" s="2140"/>
      <c r="F50" s="2139" t="s">
        <v>1501</v>
      </c>
      <c r="G50" s="2139"/>
      <c r="H50" s="2139"/>
      <c r="I50" s="2139"/>
      <c r="J50" s="2140"/>
      <c r="K50" s="2139" t="s">
        <v>1451</v>
      </c>
      <c r="L50" s="2139"/>
      <c r="M50" s="2139"/>
      <c r="N50" s="2139"/>
      <c r="O50" s="2140"/>
      <c r="P50" s="2139" t="s">
        <v>1452</v>
      </c>
      <c r="Q50" s="2139"/>
      <c r="R50" s="2139"/>
      <c r="S50" s="2139"/>
      <c r="T50" s="2140"/>
      <c r="U50" s="2139" t="s">
        <v>1453</v>
      </c>
      <c r="V50" s="2139"/>
      <c r="W50" s="2139"/>
      <c r="X50" s="2139"/>
      <c r="Y50" s="2140"/>
      <c r="Z50" s="2138" t="s">
        <v>1581</v>
      </c>
      <c r="AA50" s="2139"/>
      <c r="AB50" s="2139"/>
      <c r="AC50" s="2139"/>
      <c r="AD50" s="2140"/>
      <c r="AE50" s="2138" t="s">
        <v>1632</v>
      </c>
      <c r="AF50" s="2139"/>
      <c r="AG50" s="2139"/>
      <c r="AH50" s="2139"/>
      <c r="AI50" s="2140"/>
      <c r="AJ50" s="2138" t="str">
        <f>+AJ29</f>
        <v>Spring 2015</v>
      </c>
      <c r="AK50" s="2139"/>
      <c r="AL50" s="2139"/>
      <c r="AM50" s="2139"/>
      <c r="AN50" s="2140"/>
      <c r="AO50" s="2139" t="s">
        <v>1758</v>
      </c>
      <c r="AP50" s="2139"/>
      <c r="AQ50" s="2139"/>
      <c r="AR50" s="2139"/>
      <c r="AS50" s="2140"/>
      <c r="AT50" s="124"/>
      <c r="AU50" s="124"/>
      <c r="AV50" s="124"/>
      <c r="AW50" s="124"/>
      <c r="AX50" s="280"/>
      <c r="AY50" s="280"/>
      <c r="AZ50" s="280"/>
      <c r="BA50" s="280"/>
      <c r="BB50" s="280"/>
      <c r="BC50" s="280"/>
      <c r="BD50" s="280"/>
      <c r="BE50" s="280"/>
      <c r="BF50" s="280"/>
      <c r="BG50" s="280"/>
      <c r="BH50" s="280"/>
      <c r="BI50" s="280"/>
      <c r="BJ50" s="280"/>
      <c r="BK50" s="280"/>
      <c r="BL50" s="280"/>
      <c r="BM50" s="280"/>
      <c r="BN50" s="280"/>
      <c r="BO50" s="280"/>
      <c r="BP50" s="280"/>
      <c r="BQ50" s="280"/>
      <c r="BR50" s="280"/>
      <c r="BS50" s="280"/>
      <c r="BT50" s="280"/>
      <c r="BU50" s="280"/>
      <c r="BV50" s="280"/>
      <c r="BW50" s="280"/>
      <c r="BX50" s="280"/>
      <c r="BY50" s="280"/>
      <c r="BZ50" s="280"/>
      <c r="CA50" s="280"/>
      <c r="CB50" s="280"/>
      <c r="CC50" s="280"/>
      <c r="CD50" s="280"/>
      <c r="CE50" s="280"/>
      <c r="CF50" s="280"/>
      <c r="CG50" s="280"/>
      <c r="CH50" s="280"/>
      <c r="CI50" s="280"/>
      <c r="CJ50" s="280"/>
      <c r="CK50" s="280"/>
      <c r="CL50" s="280"/>
      <c r="CM50" s="280"/>
      <c r="CN50" s="280"/>
      <c r="CO50" s="280"/>
      <c r="CP50" s="280"/>
      <c r="CQ50" s="280"/>
      <c r="CR50" s="280"/>
      <c r="CS50" s="280"/>
      <c r="CT50" s="280"/>
      <c r="CU50" s="280"/>
      <c r="CV50" s="280"/>
      <c r="CW50" s="280"/>
      <c r="CX50" s="280"/>
      <c r="CY50" s="280"/>
      <c r="CZ50" s="280"/>
      <c r="DA50" s="280"/>
      <c r="DB50" s="280"/>
      <c r="DC50" s="280"/>
      <c r="DD50" s="280"/>
      <c r="DE50" s="280"/>
      <c r="DF50" s="280"/>
      <c r="DG50" s="280"/>
      <c r="DH50" s="280"/>
      <c r="DI50" s="280"/>
      <c r="DJ50" s="280"/>
      <c r="DK50" s="280"/>
      <c r="DL50" s="280"/>
      <c r="DM50" s="280"/>
      <c r="DN50" s="280"/>
      <c r="DO50" s="280"/>
      <c r="DP50" s="280"/>
      <c r="DQ50" s="280"/>
      <c r="DR50" s="280"/>
      <c r="DS50" s="280"/>
      <c r="DT50" s="280"/>
      <c r="DU50" s="280"/>
      <c r="DV50" s="280"/>
      <c r="DW50" s="280"/>
      <c r="DX50" s="280"/>
      <c r="DY50" s="280"/>
      <c r="DZ50" s="280"/>
      <c r="EA50" s="280"/>
      <c r="EB50" s="280"/>
      <c r="EC50" s="280"/>
      <c r="ED50" s="280"/>
      <c r="EE50" s="280"/>
      <c r="EF50" s="280"/>
      <c r="EG50" s="280"/>
      <c r="EH50" s="280"/>
      <c r="EI50" s="280"/>
      <c r="EJ50" s="280"/>
      <c r="EK50" s="280"/>
      <c r="EL50" s="280"/>
      <c r="EM50" s="280"/>
      <c r="EN50" s="280"/>
      <c r="EO50" s="280"/>
      <c r="EP50" s="280"/>
      <c r="EQ50" s="280"/>
      <c r="ER50" s="280"/>
      <c r="ES50" s="280"/>
      <c r="ET50" s="280"/>
      <c r="EU50" s="280"/>
      <c r="EV50" s="280"/>
      <c r="EW50" s="280"/>
      <c r="EX50" s="280"/>
      <c r="EY50" s="280"/>
      <c r="EZ50" s="280"/>
      <c r="FA50" s="280"/>
      <c r="FB50" s="280"/>
      <c r="FC50" s="280"/>
      <c r="FD50" s="280"/>
      <c r="FE50" s="280"/>
      <c r="FF50" s="280"/>
      <c r="FG50" s="280"/>
      <c r="FH50" s="280"/>
      <c r="FI50" s="280"/>
      <c r="FJ50" s="280"/>
      <c r="FK50" s="280"/>
      <c r="FL50" s="280"/>
      <c r="FM50" s="280"/>
      <c r="FN50" s="280"/>
      <c r="FO50" s="280"/>
      <c r="FP50" s="280"/>
      <c r="FQ50" s="280"/>
      <c r="FR50" s="280"/>
      <c r="FS50" s="280"/>
      <c r="FT50" s="280"/>
      <c r="FU50" s="280"/>
      <c r="FV50" s="280"/>
      <c r="FW50" s="280"/>
      <c r="FX50" s="280"/>
      <c r="FY50" s="280"/>
      <c r="FZ50" s="280"/>
      <c r="GA50" s="280"/>
      <c r="GB50" s="280"/>
      <c r="GC50" s="280"/>
      <c r="GD50" s="280"/>
      <c r="GE50" s="280"/>
      <c r="GF50" s="280"/>
      <c r="GG50" s="280"/>
      <c r="GH50" s="280"/>
      <c r="GI50" s="280"/>
      <c r="GJ50" s="280"/>
      <c r="GK50" s="280"/>
      <c r="GL50" s="280"/>
      <c r="GM50" s="280"/>
      <c r="GN50" s="280"/>
      <c r="GO50" s="280"/>
      <c r="GP50" s="280"/>
      <c r="GQ50" s="280"/>
      <c r="GR50" s="280"/>
      <c r="GS50" s="280"/>
      <c r="GT50" s="280"/>
      <c r="GU50" s="280"/>
      <c r="GV50" s="280"/>
      <c r="GW50" s="280"/>
      <c r="GX50" s="280"/>
      <c r="GY50" s="280"/>
      <c r="GZ50" s="280"/>
      <c r="HA50" s="280"/>
      <c r="HB50" s="280"/>
      <c r="HC50" s="280"/>
      <c r="HD50" s="280"/>
      <c r="HE50" s="280"/>
      <c r="HF50" s="280"/>
      <c r="HG50" s="280"/>
      <c r="HH50" s="280"/>
      <c r="HI50" s="280"/>
      <c r="HJ50" s="280"/>
      <c r="HK50" s="280"/>
      <c r="HL50" s="280"/>
      <c r="HM50" s="280"/>
      <c r="HN50" s="280"/>
      <c r="HO50" s="280"/>
      <c r="HP50" s="280"/>
      <c r="HQ50" s="280"/>
      <c r="HR50" s="280"/>
      <c r="HS50" s="280"/>
      <c r="HT50" s="280"/>
      <c r="HU50" s="280"/>
      <c r="HV50" s="280"/>
      <c r="HW50" s="280"/>
      <c r="HX50" s="280"/>
      <c r="HY50" s="280"/>
      <c r="HZ50" s="280"/>
      <c r="IA50" s="280"/>
      <c r="IB50" s="280"/>
      <c r="IC50" s="280"/>
      <c r="ID50" s="280"/>
      <c r="IE50" s="280"/>
      <c r="IF50" s="280"/>
      <c r="IG50" s="280"/>
      <c r="IH50" s="280"/>
      <c r="II50" s="280"/>
      <c r="IJ50" s="280"/>
      <c r="IK50" s="280"/>
      <c r="IL50" s="280"/>
      <c r="IM50" s="280"/>
      <c r="IN50" s="280"/>
      <c r="IO50" s="280"/>
      <c r="IP50" s="280"/>
      <c r="IQ50" s="280"/>
      <c r="IR50" s="280"/>
      <c r="IS50" s="280"/>
      <c r="IT50" s="280"/>
      <c r="IU50" s="280"/>
    </row>
    <row r="51" spans="1:255" s="511" customFormat="1" x14ac:dyDescent="0.25">
      <c r="A51" s="1325" t="s">
        <v>417</v>
      </c>
      <c r="B51" s="1869"/>
      <c r="C51" s="1870"/>
      <c r="D51" s="1870"/>
      <c r="E51" s="1871"/>
      <c r="F51" s="1869"/>
      <c r="G51" s="1870"/>
      <c r="H51" s="1870"/>
      <c r="I51" s="1870"/>
      <c r="J51" s="1871"/>
      <c r="K51" s="1035"/>
      <c r="L51" s="1036"/>
      <c r="M51" s="1036"/>
      <c r="N51" s="1036"/>
      <c r="O51" s="1871"/>
      <c r="P51" s="1869"/>
      <c r="Q51" s="1870"/>
      <c r="R51" s="1870"/>
      <c r="S51" s="1870"/>
      <c r="T51" s="1871"/>
      <c r="U51" s="1869"/>
      <c r="V51" s="1870"/>
      <c r="W51" s="1870"/>
      <c r="X51" s="1870"/>
      <c r="Y51" s="1871"/>
      <c r="Z51" s="1869"/>
      <c r="AA51" s="1870"/>
      <c r="AB51" s="1870"/>
      <c r="AC51" s="1870"/>
      <c r="AD51" s="438"/>
      <c r="AE51" s="1041"/>
      <c r="AF51" s="1870"/>
      <c r="AG51" s="1870"/>
      <c r="AH51" s="1870"/>
      <c r="AI51" s="1871"/>
      <c r="AJ51" s="1041"/>
      <c r="AK51" s="1870"/>
      <c r="AL51" s="1870"/>
      <c r="AM51" s="1870"/>
      <c r="AN51" s="1871"/>
      <c r="AO51" s="1869"/>
      <c r="AP51" s="1870"/>
      <c r="AQ51" s="1870"/>
      <c r="AR51" s="1870"/>
      <c r="AS51" s="1871"/>
      <c r="AT51" s="124"/>
      <c r="AU51" s="124"/>
      <c r="AV51" s="124"/>
      <c r="AW51" s="124"/>
      <c r="AX51" s="280"/>
      <c r="AY51" s="280"/>
      <c r="AZ51" s="280"/>
      <c r="BA51" s="280"/>
      <c r="BB51" s="280"/>
      <c r="BC51" s="280"/>
      <c r="BD51" s="280"/>
      <c r="BE51" s="280"/>
      <c r="BF51" s="280"/>
      <c r="BG51" s="280"/>
      <c r="BH51" s="280"/>
      <c r="BI51" s="280"/>
      <c r="BJ51" s="280"/>
      <c r="BK51" s="280"/>
      <c r="BL51" s="280"/>
      <c r="BM51" s="280"/>
      <c r="BN51" s="280"/>
      <c r="BO51" s="280"/>
      <c r="BP51" s="280"/>
      <c r="BQ51" s="280"/>
      <c r="BR51" s="280"/>
      <c r="BS51" s="280"/>
      <c r="BT51" s="280"/>
      <c r="BU51" s="280"/>
      <c r="BV51" s="280"/>
      <c r="BW51" s="280"/>
      <c r="BX51" s="280"/>
      <c r="BY51" s="280"/>
      <c r="BZ51" s="280"/>
      <c r="CA51" s="280"/>
      <c r="CB51" s="280"/>
      <c r="CC51" s="280"/>
      <c r="CD51" s="280"/>
      <c r="CE51" s="280"/>
      <c r="CF51" s="280"/>
      <c r="CG51" s="280"/>
      <c r="CH51" s="280"/>
      <c r="CI51" s="280"/>
      <c r="CJ51" s="280"/>
      <c r="CK51" s="280"/>
      <c r="CL51" s="280"/>
      <c r="CM51" s="280"/>
      <c r="CN51" s="280"/>
      <c r="CO51" s="280"/>
      <c r="CP51" s="280"/>
      <c r="CQ51" s="280"/>
      <c r="CR51" s="280"/>
      <c r="CS51" s="280"/>
      <c r="CT51" s="280"/>
      <c r="CU51" s="280"/>
      <c r="CV51" s="280"/>
      <c r="CW51" s="280"/>
      <c r="CX51" s="280"/>
      <c r="CY51" s="280"/>
      <c r="CZ51" s="280"/>
      <c r="DA51" s="280"/>
      <c r="DB51" s="280"/>
      <c r="DC51" s="280"/>
      <c r="DD51" s="280"/>
      <c r="DE51" s="280"/>
      <c r="DF51" s="280"/>
      <c r="DG51" s="280"/>
      <c r="DH51" s="280"/>
      <c r="DI51" s="280"/>
      <c r="DJ51" s="280"/>
      <c r="DK51" s="280"/>
      <c r="DL51" s="280"/>
      <c r="DM51" s="280"/>
      <c r="DN51" s="280"/>
      <c r="DO51" s="280"/>
      <c r="DP51" s="280"/>
      <c r="DQ51" s="280"/>
      <c r="DR51" s="280"/>
      <c r="DS51" s="280"/>
      <c r="DT51" s="280"/>
      <c r="DU51" s="280"/>
      <c r="DV51" s="280"/>
      <c r="DW51" s="280"/>
      <c r="DX51" s="280"/>
      <c r="DY51" s="280"/>
      <c r="DZ51" s="280"/>
      <c r="EA51" s="280"/>
      <c r="EB51" s="280"/>
      <c r="EC51" s="280"/>
      <c r="ED51" s="280"/>
      <c r="EE51" s="280"/>
      <c r="EF51" s="280"/>
      <c r="EG51" s="280"/>
      <c r="EH51" s="280"/>
      <c r="EI51" s="280"/>
      <c r="EJ51" s="280"/>
      <c r="EK51" s="280"/>
      <c r="EL51" s="280"/>
      <c r="EM51" s="280"/>
      <c r="EN51" s="280"/>
      <c r="EO51" s="280"/>
      <c r="EP51" s="280"/>
      <c r="EQ51" s="280"/>
      <c r="ER51" s="280"/>
      <c r="ES51" s="280"/>
      <c r="ET51" s="280"/>
      <c r="EU51" s="280"/>
      <c r="EV51" s="280"/>
      <c r="EW51" s="280"/>
      <c r="EX51" s="280"/>
      <c r="EY51" s="280"/>
      <c r="EZ51" s="280"/>
      <c r="FA51" s="280"/>
      <c r="FB51" s="280"/>
      <c r="FC51" s="280"/>
      <c r="FD51" s="280"/>
      <c r="FE51" s="280"/>
      <c r="FF51" s="280"/>
      <c r="FG51" s="280"/>
      <c r="FH51" s="280"/>
      <c r="FI51" s="280"/>
      <c r="FJ51" s="280"/>
      <c r="FK51" s="280"/>
      <c r="FL51" s="280"/>
      <c r="FM51" s="280"/>
      <c r="FN51" s="280"/>
      <c r="FO51" s="280"/>
      <c r="FP51" s="280"/>
      <c r="FQ51" s="280"/>
      <c r="FR51" s="280"/>
      <c r="FS51" s="280"/>
      <c r="FT51" s="280"/>
      <c r="FU51" s="280"/>
      <c r="FV51" s="280"/>
      <c r="FW51" s="280"/>
      <c r="FX51" s="280"/>
      <c r="FY51" s="280"/>
      <c r="FZ51" s="280"/>
      <c r="GA51" s="280"/>
      <c r="GB51" s="280"/>
      <c r="GC51" s="280"/>
      <c r="GD51" s="280"/>
      <c r="GE51" s="280"/>
      <c r="GF51" s="280"/>
      <c r="GG51" s="280"/>
      <c r="GH51" s="280"/>
      <c r="GI51" s="280"/>
      <c r="GJ51" s="280"/>
      <c r="GK51" s="280"/>
      <c r="GL51" s="280"/>
      <c r="GM51" s="280"/>
      <c r="GN51" s="280"/>
      <c r="GO51" s="280"/>
      <c r="GP51" s="280"/>
      <c r="GQ51" s="280"/>
      <c r="GR51" s="280"/>
      <c r="GS51" s="280"/>
      <c r="GT51" s="280"/>
      <c r="GU51" s="280"/>
      <c r="GV51" s="280"/>
      <c r="GW51" s="280"/>
      <c r="GX51" s="280"/>
      <c r="GY51" s="280"/>
      <c r="GZ51" s="280"/>
      <c r="HA51" s="280"/>
      <c r="HB51" s="280"/>
      <c r="HC51" s="280"/>
      <c r="HD51" s="280"/>
      <c r="HE51" s="280"/>
      <c r="HF51" s="280"/>
      <c r="HG51" s="280"/>
      <c r="HH51" s="280"/>
      <c r="HI51" s="280"/>
      <c r="HJ51" s="280"/>
      <c r="HK51" s="280"/>
      <c r="HL51" s="280"/>
      <c r="HM51" s="280"/>
      <c r="HN51" s="280"/>
      <c r="HO51" s="280"/>
      <c r="HP51" s="280"/>
      <c r="HQ51" s="280"/>
      <c r="HR51" s="280"/>
      <c r="HS51" s="280"/>
      <c r="HT51" s="280"/>
      <c r="HU51" s="280"/>
      <c r="HV51" s="280"/>
      <c r="HW51" s="280"/>
      <c r="HX51" s="280"/>
      <c r="HY51" s="280"/>
      <c r="HZ51" s="280"/>
      <c r="IA51" s="280"/>
      <c r="IB51" s="280"/>
      <c r="IC51" s="280"/>
      <c r="ID51" s="280"/>
      <c r="IE51" s="280"/>
      <c r="IF51" s="280"/>
      <c r="IG51" s="280"/>
      <c r="IH51" s="280"/>
      <c r="II51" s="280"/>
      <c r="IJ51" s="280"/>
      <c r="IK51" s="280"/>
      <c r="IL51" s="280"/>
      <c r="IM51" s="280"/>
      <c r="IN51" s="280"/>
      <c r="IO51" s="280"/>
      <c r="IP51" s="280"/>
      <c r="IQ51" s="280"/>
      <c r="IR51" s="280"/>
      <c r="IS51" s="280"/>
      <c r="IT51" s="280"/>
      <c r="IU51" s="280"/>
    </row>
    <row r="52" spans="1:255" x14ac:dyDescent="0.25">
      <c r="A52" s="1319" t="s">
        <v>1030</v>
      </c>
      <c r="B52" s="1949">
        <v>825</v>
      </c>
      <c r="C52" s="1949">
        <v>443</v>
      </c>
      <c r="D52" s="1617">
        <v>0</v>
      </c>
      <c r="E52" s="1951">
        <f>SUM(B52:D52)</f>
        <v>1268</v>
      </c>
      <c r="F52" s="1949">
        <v>885</v>
      </c>
      <c r="G52" s="1949">
        <v>461</v>
      </c>
      <c r="H52" s="1617">
        <v>0</v>
      </c>
      <c r="I52" s="1964">
        <f>SUM(F52:H52)</f>
        <v>1346</v>
      </c>
      <c r="J52" s="491">
        <f>IF(E52&gt;0,(I52-E52)/E52,(IF(I52=0,"N/A",100%)))</f>
        <v>6.1514195583596214E-2</v>
      </c>
      <c r="K52" s="1683">
        <v>1272</v>
      </c>
      <c r="L52" s="1246">
        <v>307</v>
      </c>
      <c r="M52" s="1246">
        <v>0</v>
      </c>
      <c r="N52" s="1246">
        <f>SUM(K52:M52)</f>
        <v>1579</v>
      </c>
      <c r="O52" s="1954">
        <f t="shared" ref="O52:O85" si="46">IF(I52&gt;0,(N52-I52)/I52,(IF(N52=0,"N/A",100%)))</f>
        <v>0.17310549777117384</v>
      </c>
      <c r="P52" s="1953">
        <v>1401</v>
      </c>
      <c r="Q52" s="1952">
        <v>273</v>
      </c>
      <c r="R52" s="1246">
        <v>0</v>
      </c>
      <c r="S52" s="1952">
        <f>SUM(P52:R52)</f>
        <v>1674</v>
      </c>
      <c r="T52" s="505">
        <f>IF(N52&gt;0,(S52-N52)/N52,(IF(S52=0,"N/A",100%)))</f>
        <v>6.0164661177960738E-2</v>
      </c>
      <c r="U52" s="1952">
        <v>1077</v>
      </c>
      <c r="V52" s="1952">
        <v>500</v>
      </c>
      <c r="W52" s="1246">
        <v>0</v>
      </c>
      <c r="X52" s="1952">
        <f>SUM(U52:W52)</f>
        <v>1577</v>
      </c>
      <c r="Y52" s="1954">
        <f>IF(S52&gt;0,(X52-S52)/S52,(IF(X52=0,"N/A",100%)))</f>
        <v>-5.7945041816009561E-2</v>
      </c>
      <c r="Z52" s="1952">
        <v>816</v>
      </c>
      <c r="AA52" s="1952">
        <v>547</v>
      </c>
      <c r="AB52" s="1246">
        <v>3</v>
      </c>
      <c r="AC52" s="1952">
        <f>SUM(Z52:AB52)</f>
        <v>1366</v>
      </c>
      <c r="AD52" s="505">
        <f>IF(X52&gt;0,(AC52-X52)/X52,(IF(AC52=0,"N/A",100%)))</f>
        <v>-0.13379835129993659</v>
      </c>
      <c r="AE52" s="772">
        <v>924</v>
      </c>
      <c r="AF52" s="1952">
        <v>610</v>
      </c>
      <c r="AG52" s="1246">
        <v>0</v>
      </c>
      <c r="AH52" s="1952">
        <f>SUM(AE52:AG52)</f>
        <v>1534</v>
      </c>
      <c r="AI52" s="1954">
        <f>IF(AC52&gt;0,(AH52-AC52)/AC52,(IF(AH52=0,"N/A",100%)))</f>
        <v>0.12298682284040996</v>
      </c>
      <c r="AJ52" s="772">
        <v>678</v>
      </c>
      <c r="AK52" s="1952">
        <v>368</v>
      </c>
      <c r="AL52" s="1246">
        <v>0</v>
      </c>
      <c r="AM52" s="1952">
        <f>SUM(AJ52:AL52)</f>
        <v>1046</v>
      </c>
      <c r="AN52" s="1954">
        <f>IF(AH52&gt;0,(AM52-AH52)/AH52,(IF(AM52=0,"N/A",100%)))</f>
        <v>-0.31812255541069101</v>
      </c>
      <c r="AO52" s="1952">
        <v>564</v>
      </c>
      <c r="AP52" s="1952">
        <v>490</v>
      </c>
      <c r="AQ52" s="1246">
        <v>0</v>
      </c>
      <c r="AR52" s="1952">
        <f>SUM(AO52:AQ52)</f>
        <v>1054</v>
      </c>
      <c r="AS52" s="1954">
        <f>IF(AM52&gt;0,(AR52-AM52)/AM52,(IF(AR52=0,"N/A",100%)))</f>
        <v>7.6481835564053535E-3</v>
      </c>
      <c r="AT52" s="124"/>
      <c r="AU52" s="124"/>
      <c r="AV52" s="124"/>
      <c r="AW52" s="124"/>
      <c r="AX52" s="280"/>
      <c r="AY52" s="280"/>
      <c r="AZ52" s="280"/>
      <c r="BA52" s="280"/>
      <c r="BB52" s="280"/>
      <c r="BC52" s="280"/>
      <c r="BD52" s="280"/>
      <c r="BE52" s="280"/>
      <c r="BF52" s="280"/>
      <c r="BG52" s="280"/>
      <c r="BH52" s="280"/>
      <c r="BI52" s="280"/>
      <c r="BJ52" s="280"/>
      <c r="BK52" s="280"/>
      <c r="BL52" s="280"/>
      <c r="BM52" s="280"/>
      <c r="BN52" s="280"/>
      <c r="BO52" s="280"/>
      <c r="BP52" s="280"/>
      <c r="BQ52" s="280"/>
      <c r="BR52" s="280"/>
      <c r="BS52" s="280"/>
      <c r="BT52" s="280"/>
      <c r="BU52" s="280"/>
      <c r="BV52" s="280"/>
      <c r="BW52" s="280"/>
      <c r="BX52" s="280"/>
      <c r="BY52" s="280"/>
      <c r="BZ52" s="280"/>
      <c r="CA52" s="280"/>
      <c r="CB52" s="280"/>
      <c r="CC52" s="280"/>
      <c r="CD52" s="280"/>
      <c r="CE52" s="280"/>
      <c r="CF52" s="280"/>
      <c r="CG52" s="280"/>
      <c r="CH52" s="280"/>
      <c r="CI52" s="280"/>
      <c r="CJ52" s="280"/>
      <c r="CK52" s="280"/>
      <c r="CL52" s="280"/>
      <c r="CM52" s="280"/>
      <c r="CN52" s="280"/>
      <c r="CO52" s="280"/>
      <c r="CP52" s="280"/>
      <c r="CQ52" s="280"/>
      <c r="CR52" s="280"/>
      <c r="CS52" s="280"/>
      <c r="CT52" s="280"/>
      <c r="CU52" s="280"/>
      <c r="CV52" s="280"/>
      <c r="CW52" s="280"/>
      <c r="CX52" s="280"/>
      <c r="CY52" s="280"/>
      <c r="CZ52" s="280"/>
      <c r="DA52" s="280"/>
      <c r="DB52" s="280"/>
      <c r="DC52" s="280"/>
      <c r="DD52" s="280"/>
      <c r="DE52" s="280"/>
      <c r="DF52" s="280"/>
      <c r="DG52" s="280"/>
      <c r="DH52" s="280"/>
      <c r="DI52" s="280"/>
      <c r="DJ52" s="280"/>
      <c r="DK52" s="280"/>
      <c r="DL52" s="280"/>
      <c r="DM52" s="280"/>
      <c r="DN52" s="280"/>
      <c r="DO52" s="280"/>
      <c r="DP52" s="280"/>
      <c r="DQ52" s="280"/>
      <c r="DR52" s="280"/>
      <c r="DS52" s="280"/>
      <c r="DT52" s="280"/>
      <c r="DU52" s="280"/>
      <c r="DV52" s="280"/>
      <c r="DW52" s="280"/>
      <c r="DX52" s="280"/>
      <c r="DY52" s="280"/>
      <c r="DZ52" s="280"/>
      <c r="EA52" s="280"/>
      <c r="EB52" s="280"/>
      <c r="EC52" s="280"/>
      <c r="ED52" s="280"/>
      <c r="EE52" s="280"/>
      <c r="EF52" s="280"/>
      <c r="EG52" s="280"/>
      <c r="EH52" s="280"/>
      <c r="EI52" s="280"/>
      <c r="EJ52" s="280"/>
      <c r="EK52" s="280"/>
      <c r="EL52" s="280"/>
      <c r="EM52" s="280"/>
      <c r="EN52" s="280"/>
      <c r="EO52" s="280"/>
      <c r="EP52" s="280"/>
      <c r="EQ52" s="280"/>
      <c r="ER52" s="280"/>
      <c r="ES52" s="280"/>
      <c r="ET52" s="280"/>
      <c r="EU52" s="280"/>
      <c r="EV52" s="280"/>
      <c r="EW52" s="280"/>
      <c r="EX52" s="280"/>
      <c r="EY52" s="280"/>
      <c r="EZ52" s="280"/>
      <c r="FA52" s="280"/>
      <c r="FB52" s="280"/>
      <c r="FC52" s="280"/>
      <c r="FD52" s="280"/>
      <c r="FE52" s="280"/>
      <c r="FF52" s="280"/>
      <c r="FG52" s="280"/>
      <c r="FH52" s="280"/>
      <c r="FI52" s="280"/>
      <c r="FJ52" s="280"/>
      <c r="FK52" s="280"/>
      <c r="FL52" s="280"/>
      <c r="FM52" s="280"/>
      <c r="FN52" s="280"/>
      <c r="FO52" s="280"/>
      <c r="FP52" s="280"/>
      <c r="FQ52" s="280"/>
      <c r="FR52" s="280"/>
      <c r="FS52" s="280"/>
      <c r="FT52" s="280"/>
      <c r="FU52" s="280"/>
      <c r="FV52" s="280"/>
      <c r="FW52" s="280"/>
      <c r="FX52" s="280"/>
      <c r="FY52" s="280"/>
      <c r="FZ52" s="280"/>
      <c r="GA52" s="280"/>
      <c r="GB52" s="280"/>
      <c r="GC52" s="280"/>
      <c r="GD52" s="280"/>
      <c r="GE52" s="280"/>
      <c r="GF52" s="280"/>
      <c r="GG52" s="280"/>
      <c r="GH52" s="280"/>
      <c r="GI52" s="280"/>
      <c r="GJ52" s="280"/>
      <c r="GK52" s="280"/>
      <c r="GL52" s="280"/>
      <c r="GM52" s="280"/>
      <c r="GN52" s="280"/>
      <c r="GO52" s="280"/>
      <c r="GP52" s="280"/>
      <c r="GQ52" s="280"/>
      <c r="GR52" s="280"/>
      <c r="GS52" s="280"/>
      <c r="GT52" s="280"/>
      <c r="GU52" s="280"/>
      <c r="GV52" s="280"/>
      <c r="GW52" s="280"/>
      <c r="GX52" s="280"/>
      <c r="GY52" s="280"/>
      <c r="GZ52" s="280"/>
      <c r="HA52" s="280"/>
      <c r="HB52" s="280"/>
      <c r="HC52" s="280"/>
      <c r="HD52" s="280"/>
      <c r="HE52" s="280"/>
      <c r="HF52" s="280"/>
      <c r="HG52" s="280"/>
      <c r="HH52" s="280"/>
      <c r="HI52" s="280"/>
      <c r="HJ52" s="280"/>
      <c r="HK52" s="280"/>
      <c r="HL52" s="280"/>
      <c r="HM52" s="280"/>
      <c r="HN52" s="280"/>
      <c r="HO52" s="280"/>
      <c r="HP52" s="280"/>
      <c r="HQ52" s="280"/>
      <c r="HR52" s="280"/>
      <c r="HS52" s="280"/>
      <c r="HT52" s="280"/>
      <c r="HU52" s="280"/>
      <c r="HV52" s="280"/>
      <c r="HW52" s="280"/>
      <c r="HX52" s="280"/>
      <c r="HY52" s="280"/>
      <c r="HZ52" s="280"/>
      <c r="IA52" s="280"/>
      <c r="IB52" s="280"/>
      <c r="IC52" s="280"/>
      <c r="ID52" s="280"/>
      <c r="IE52" s="280"/>
      <c r="IF52" s="280"/>
      <c r="IG52" s="280"/>
      <c r="IH52" s="280"/>
      <c r="II52" s="280"/>
      <c r="IJ52" s="280"/>
      <c r="IK52" s="280"/>
      <c r="IL52" s="280"/>
      <c r="IM52" s="280"/>
      <c r="IN52" s="280"/>
      <c r="IO52" s="280"/>
      <c r="IP52" s="280"/>
      <c r="IQ52" s="280"/>
      <c r="IR52" s="280"/>
      <c r="IS52" s="280"/>
      <c r="IT52" s="280"/>
      <c r="IU52" s="280"/>
    </row>
    <row r="53" spans="1:255" x14ac:dyDescent="0.25">
      <c r="A53" s="1319" t="s">
        <v>1031</v>
      </c>
      <c r="B53" s="1949">
        <v>16</v>
      </c>
      <c r="C53" s="1949">
        <v>41</v>
      </c>
      <c r="D53" s="1617">
        <v>0</v>
      </c>
      <c r="E53" s="1951">
        <f>SUM(B53:D53)</f>
        <v>57</v>
      </c>
      <c r="F53" s="1949">
        <v>59</v>
      </c>
      <c r="G53" s="1949">
        <v>11</v>
      </c>
      <c r="H53" s="1617">
        <v>0</v>
      </c>
      <c r="I53" s="1964">
        <f>SUM(F53:H53)</f>
        <v>70</v>
      </c>
      <c r="J53" s="505">
        <f>IF(E53&gt;0,(I53-E53)/E53,(IF(I53=0,"N/A",100%)))</f>
        <v>0.22807017543859648</v>
      </c>
      <c r="K53" s="1683">
        <v>0</v>
      </c>
      <c r="L53" s="1246">
        <v>18</v>
      </c>
      <c r="M53" s="1246">
        <v>0</v>
      </c>
      <c r="N53" s="1246">
        <f>SUM(K53:M53)</f>
        <v>18</v>
      </c>
      <c r="O53" s="1954">
        <f t="shared" si="46"/>
        <v>-0.74285714285714288</v>
      </c>
      <c r="P53" s="1953">
        <v>87</v>
      </c>
      <c r="Q53" s="1952">
        <v>25</v>
      </c>
      <c r="R53" s="1246">
        <v>0</v>
      </c>
      <c r="S53" s="1952">
        <f>SUM(P53:R53)</f>
        <v>112</v>
      </c>
      <c r="T53" s="505">
        <f>IF(N53&gt;0,(S53-N53)/N53,(IF(S53=0,"N/A",100%)))</f>
        <v>5.2222222222222223</v>
      </c>
      <c r="U53" s="1952">
        <v>159</v>
      </c>
      <c r="V53" s="1952">
        <v>60</v>
      </c>
      <c r="W53" s="1246">
        <v>0</v>
      </c>
      <c r="X53" s="1952">
        <f>SUM(U53:W53)</f>
        <v>219</v>
      </c>
      <c r="Y53" s="1954">
        <f>IF(S53&gt;0,(X53-S53)/S53,(IF(X53=0,"N/A",100%)))</f>
        <v>0.9553571428571429</v>
      </c>
      <c r="Z53" s="1952">
        <v>78</v>
      </c>
      <c r="AA53" s="1952">
        <v>21</v>
      </c>
      <c r="AB53" s="1246">
        <v>0</v>
      </c>
      <c r="AC53" s="1952">
        <f>SUM(Z53:AB53)</f>
        <v>99</v>
      </c>
      <c r="AD53" s="505">
        <f>IF(X53&gt;0,(AC53-X53)/X53,(IF(AC53=0,"N/A",100%)))</f>
        <v>-0.54794520547945202</v>
      </c>
      <c r="AE53" s="772">
        <v>140</v>
      </c>
      <c r="AF53" s="1952">
        <v>48</v>
      </c>
      <c r="AG53" s="1246">
        <v>0</v>
      </c>
      <c r="AH53" s="1952">
        <f>SUM(AE53:AG53)</f>
        <v>188</v>
      </c>
      <c r="AI53" s="1954">
        <f>IF(AC53&gt;0,(AH53-AC53)/AC53,(IF(AH53=0,"N/A",100%)))</f>
        <v>0.89898989898989901</v>
      </c>
      <c r="AJ53" s="772">
        <v>147</v>
      </c>
      <c r="AK53" s="1952">
        <v>38</v>
      </c>
      <c r="AL53" s="1246">
        <v>0</v>
      </c>
      <c r="AM53" s="1952">
        <f>SUM(AJ53:AL53)</f>
        <v>185</v>
      </c>
      <c r="AN53" s="1954">
        <f>IF(AH53&gt;0,(AM53-AH53)/AH53,(IF(AM53=0,"N/A",100%)))</f>
        <v>-1.5957446808510637E-2</v>
      </c>
      <c r="AO53" s="1952">
        <v>0</v>
      </c>
      <c r="AP53" s="1952">
        <v>0</v>
      </c>
      <c r="AQ53" s="1246">
        <v>0</v>
      </c>
      <c r="AR53" s="1952">
        <f>SUM(AO53:AQ53)</f>
        <v>0</v>
      </c>
      <c r="AS53" s="1954">
        <f>IF(AM53&gt;0,(AR53-AM53)/AM53,(IF(AR53=0,"N/A",100%)))</f>
        <v>-1</v>
      </c>
      <c r="AT53" s="124"/>
      <c r="AU53" s="124"/>
      <c r="AV53" s="124"/>
      <c r="AW53" s="124"/>
      <c r="AX53" s="280"/>
      <c r="AY53" s="280"/>
      <c r="AZ53" s="280"/>
      <c r="BA53" s="280"/>
      <c r="BB53" s="280"/>
      <c r="BC53" s="280"/>
      <c r="BD53" s="280"/>
      <c r="BE53" s="280"/>
      <c r="BF53" s="280"/>
      <c r="BG53" s="280"/>
      <c r="BH53" s="280"/>
      <c r="BI53" s="280"/>
      <c r="BJ53" s="280"/>
      <c r="BK53" s="280"/>
      <c r="BL53" s="280"/>
      <c r="BM53" s="280"/>
      <c r="BN53" s="280"/>
      <c r="BO53" s="280"/>
      <c r="BP53" s="280"/>
      <c r="BQ53" s="280"/>
      <c r="BR53" s="280"/>
      <c r="BS53" s="280"/>
      <c r="BT53" s="280"/>
      <c r="BU53" s="280"/>
      <c r="BV53" s="280"/>
      <c r="BW53" s="280"/>
      <c r="BX53" s="280"/>
      <c r="BY53" s="280"/>
      <c r="BZ53" s="280"/>
      <c r="CA53" s="280"/>
      <c r="CB53" s="280"/>
      <c r="CC53" s="280"/>
      <c r="CD53" s="280"/>
      <c r="CE53" s="280"/>
      <c r="CF53" s="280"/>
      <c r="CG53" s="280"/>
      <c r="CH53" s="280"/>
      <c r="CI53" s="280"/>
      <c r="CJ53" s="280"/>
      <c r="CK53" s="280"/>
      <c r="CL53" s="280"/>
      <c r="CM53" s="280"/>
      <c r="CN53" s="280"/>
      <c r="CO53" s="280"/>
      <c r="CP53" s="280"/>
      <c r="CQ53" s="280"/>
      <c r="CR53" s="280"/>
      <c r="CS53" s="280"/>
      <c r="CT53" s="280"/>
      <c r="CU53" s="280"/>
      <c r="CV53" s="280"/>
      <c r="CW53" s="280"/>
      <c r="CX53" s="280"/>
      <c r="CY53" s="280"/>
      <c r="CZ53" s="280"/>
      <c r="DA53" s="280"/>
      <c r="DB53" s="280"/>
      <c r="DC53" s="280"/>
      <c r="DD53" s="280"/>
      <c r="DE53" s="280"/>
      <c r="DF53" s="280"/>
      <c r="DG53" s="280"/>
      <c r="DH53" s="280"/>
      <c r="DI53" s="280"/>
      <c r="DJ53" s="280"/>
      <c r="DK53" s="280"/>
      <c r="DL53" s="280"/>
      <c r="DM53" s="280"/>
      <c r="DN53" s="280"/>
      <c r="DO53" s="280"/>
      <c r="DP53" s="280"/>
      <c r="DQ53" s="280"/>
      <c r="DR53" s="280"/>
      <c r="DS53" s="280"/>
      <c r="DT53" s="280"/>
      <c r="DU53" s="280"/>
      <c r="DV53" s="280"/>
      <c r="DW53" s="280"/>
      <c r="DX53" s="280"/>
      <c r="DY53" s="280"/>
      <c r="DZ53" s="280"/>
      <c r="EA53" s="280"/>
      <c r="EB53" s="280"/>
      <c r="EC53" s="280"/>
      <c r="ED53" s="280"/>
      <c r="EE53" s="280"/>
      <c r="EF53" s="280"/>
      <c r="EG53" s="280"/>
      <c r="EH53" s="280"/>
      <c r="EI53" s="280"/>
      <c r="EJ53" s="280"/>
      <c r="EK53" s="280"/>
      <c r="EL53" s="280"/>
      <c r="EM53" s="280"/>
      <c r="EN53" s="280"/>
      <c r="EO53" s="280"/>
      <c r="EP53" s="280"/>
      <c r="EQ53" s="280"/>
      <c r="ER53" s="280"/>
      <c r="ES53" s="280"/>
      <c r="ET53" s="280"/>
      <c r="EU53" s="280"/>
      <c r="EV53" s="280"/>
      <c r="EW53" s="280"/>
      <c r="EX53" s="280"/>
      <c r="EY53" s="280"/>
      <c r="EZ53" s="280"/>
      <c r="FA53" s="280"/>
      <c r="FB53" s="280"/>
      <c r="FC53" s="280"/>
      <c r="FD53" s="280"/>
      <c r="FE53" s="280"/>
      <c r="FF53" s="280"/>
      <c r="FG53" s="280"/>
      <c r="FH53" s="280"/>
      <c r="FI53" s="280"/>
      <c r="FJ53" s="280"/>
      <c r="FK53" s="280"/>
      <c r="FL53" s="280"/>
      <c r="FM53" s="280"/>
      <c r="FN53" s="280"/>
      <c r="FO53" s="280"/>
      <c r="FP53" s="280"/>
      <c r="FQ53" s="280"/>
      <c r="FR53" s="280"/>
      <c r="FS53" s="280"/>
      <c r="FT53" s="280"/>
      <c r="FU53" s="280"/>
      <c r="FV53" s="280"/>
      <c r="FW53" s="280"/>
      <c r="FX53" s="280"/>
      <c r="FY53" s="280"/>
      <c r="FZ53" s="280"/>
      <c r="GA53" s="280"/>
      <c r="GB53" s="280"/>
      <c r="GC53" s="280"/>
      <c r="GD53" s="280"/>
      <c r="GE53" s="280"/>
      <c r="GF53" s="280"/>
      <c r="GG53" s="280"/>
      <c r="GH53" s="280"/>
      <c r="GI53" s="280"/>
      <c r="GJ53" s="280"/>
      <c r="GK53" s="280"/>
      <c r="GL53" s="280"/>
      <c r="GM53" s="280"/>
      <c r="GN53" s="280"/>
      <c r="GO53" s="280"/>
      <c r="GP53" s="280"/>
      <c r="GQ53" s="280"/>
      <c r="GR53" s="280"/>
      <c r="GS53" s="280"/>
      <c r="GT53" s="280"/>
      <c r="GU53" s="280"/>
      <c r="GV53" s="280"/>
      <c r="GW53" s="280"/>
      <c r="GX53" s="280"/>
      <c r="GY53" s="280"/>
      <c r="GZ53" s="280"/>
      <c r="HA53" s="280"/>
      <c r="HB53" s="280"/>
      <c r="HC53" s="280"/>
      <c r="HD53" s="280"/>
      <c r="HE53" s="280"/>
      <c r="HF53" s="280"/>
      <c r="HG53" s="280"/>
      <c r="HH53" s="280"/>
      <c r="HI53" s="280"/>
      <c r="HJ53" s="280"/>
      <c r="HK53" s="280"/>
      <c r="HL53" s="280"/>
      <c r="HM53" s="280"/>
      <c r="HN53" s="280"/>
      <c r="HO53" s="280"/>
      <c r="HP53" s="280"/>
      <c r="HQ53" s="280"/>
      <c r="HR53" s="280"/>
      <c r="HS53" s="280"/>
      <c r="HT53" s="280"/>
      <c r="HU53" s="280"/>
      <c r="HV53" s="280"/>
      <c r="HW53" s="280"/>
      <c r="HX53" s="280"/>
      <c r="HY53" s="280"/>
      <c r="HZ53" s="280"/>
      <c r="IA53" s="280"/>
      <c r="IB53" s="280"/>
      <c r="IC53" s="280"/>
      <c r="ID53" s="280"/>
      <c r="IE53" s="280"/>
      <c r="IF53" s="280"/>
      <c r="IG53" s="280"/>
      <c r="IH53" s="280"/>
      <c r="II53" s="280"/>
      <c r="IJ53" s="280"/>
      <c r="IK53" s="280"/>
      <c r="IL53" s="280"/>
      <c r="IM53" s="280"/>
      <c r="IN53" s="280"/>
      <c r="IO53" s="280"/>
      <c r="IP53" s="280"/>
      <c r="IQ53" s="280"/>
      <c r="IR53" s="280"/>
      <c r="IS53" s="280"/>
      <c r="IT53" s="280"/>
      <c r="IU53" s="280"/>
    </row>
    <row r="54" spans="1:255" s="484" customFormat="1" ht="13.8" x14ac:dyDescent="0.25">
      <c r="A54" s="1322" t="s">
        <v>1015</v>
      </c>
      <c r="B54" s="1966">
        <f t="shared" ref="B54:I54" si="47">+B53+B52</f>
        <v>841</v>
      </c>
      <c r="C54" s="1966">
        <f t="shared" si="47"/>
        <v>484</v>
      </c>
      <c r="D54" s="1966">
        <f t="shared" si="47"/>
        <v>0</v>
      </c>
      <c r="E54" s="1967">
        <f t="shared" si="47"/>
        <v>1325</v>
      </c>
      <c r="F54" s="1966">
        <f t="shared" si="47"/>
        <v>944</v>
      </c>
      <c r="G54" s="1966">
        <f t="shared" si="47"/>
        <v>472</v>
      </c>
      <c r="H54" s="1966">
        <f t="shared" si="47"/>
        <v>0</v>
      </c>
      <c r="I54" s="1968">
        <f t="shared" si="47"/>
        <v>1416</v>
      </c>
      <c r="J54" s="586">
        <f>IF(E54&gt;0,(I54-E54)/E54,(IF(I54=0,"N/A",100%)))</f>
        <v>6.8679245283018872E-2</v>
      </c>
      <c r="K54" s="1732">
        <f>+K53+K52</f>
        <v>1272</v>
      </c>
      <c r="L54" s="1259">
        <f>+L53+L52</f>
        <v>325</v>
      </c>
      <c r="M54" s="1259">
        <f>+M53+M52</f>
        <v>0</v>
      </c>
      <c r="N54" s="1259">
        <f>+N53+N52</f>
        <v>1597</v>
      </c>
      <c r="O54" s="1965">
        <f t="shared" si="46"/>
        <v>0.12782485875706215</v>
      </c>
      <c r="P54" s="1966">
        <f>+P53+P52</f>
        <v>1488</v>
      </c>
      <c r="Q54" s="1966">
        <f>+Q53+Q52</f>
        <v>298</v>
      </c>
      <c r="R54" s="1966">
        <f>+R53+R52</f>
        <v>0</v>
      </c>
      <c r="S54" s="1966">
        <f>+S53+S52</f>
        <v>1786</v>
      </c>
      <c r="T54" s="586">
        <f>IF(N54&gt;0,(S54-N54)/N54,(IF(S54=0,"N/A",100%)))</f>
        <v>0.11834690043832186</v>
      </c>
      <c r="U54" s="1966">
        <f>+U53+U52</f>
        <v>1236</v>
      </c>
      <c r="V54" s="1966">
        <f>+V53+V52</f>
        <v>560</v>
      </c>
      <c r="W54" s="1966">
        <f>+W53+W52</f>
        <v>0</v>
      </c>
      <c r="X54" s="1966">
        <f>+X53+X52</f>
        <v>1796</v>
      </c>
      <c r="Y54" s="1965">
        <f>IF(S54&gt;0,(X54-S54)/S54,(IF(X54=0,"N/A",100%)))</f>
        <v>5.5991041433370659E-3</v>
      </c>
      <c r="Z54" s="1966">
        <f>+Z53+Z52</f>
        <v>894</v>
      </c>
      <c r="AA54" s="1966">
        <f>+AA53+AA52</f>
        <v>568</v>
      </c>
      <c r="AB54" s="1966">
        <f>+AB53+AB52</f>
        <v>3</v>
      </c>
      <c r="AC54" s="1966">
        <f>+AC53+AC52</f>
        <v>1465</v>
      </c>
      <c r="AD54" s="586">
        <f>IF(X54&gt;0,(AC54-X54)/X54,(IF(AC54=0,"N/A",100%)))</f>
        <v>-0.18429844097995546</v>
      </c>
      <c r="AE54" s="1042">
        <f>+AE53+AE52</f>
        <v>1064</v>
      </c>
      <c r="AF54" s="1966">
        <f>+AF53+AF52</f>
        <v>658</v>
      </c>
      <c r="AG54" s="1966">
        <f>+AG53+AG52</f>
        <v>0</v>
      </c>
      <c r="AH54" s="1966">
        <f>+AH53+AH52</f>
        <v>1722</v>
      </c>
      <c r="AI54" s="1965">
        <f>IF(AC54&gt;0,(AH54-AC54)/AC54,(IF(AH54=0,"N/A",100%)))</f>
        <v>0.17542662116040955</v>
      </c>
      <c r="AJ54" s="1042">
        <f>+AJ53+AJ52</f>
        <v>825</v>
      </c>
      <c r="AK54" s="1966">
        <f>+AK53+AK52</f>
        <v>406</v>
      </c>
      <c r="AL54" s="1966">
        <f>+AL53+AL52</f>
        <v>0</v>
      </c>
      <c r="AM54" s="1966">
        <f>+AM53+AM52</f>
        <v>1231</v>
      </c>
      <c r="AN54" s="1965">
        <f>IF(AH54&gt;0,(AM54-AH54)/AH54,(IF(AM54=0,"N/A",100%)))</f>
        <v>-0.28513356562137049</v>
      </c>
      <c r="AO54" s="1966">
        <f>+AO53+AO52</f>
        <v>564</v>
      </c>
      <c r="AP54" s="1966">
        <f>+AP53+AP52</f>
        <v>490</v>
      </c>
      <c r="AQ54" s="1966">
        <f>+AQ53+AQ52</f>
        <v>0</v>
      </c>
      <c r="AR54" s="1966">
        <f>+AR53+AR52</f>
        <v>1054</v>
      </c>
      <c r="AS54" s="1965">
        <f>IF(AM54&gt;0,(AR54-AM54)/AM54,(IF(AR54=0,"N/A",100%)))</f>
        <v>-0.1437855402112104</v>
      </c>
      <c r="AT54" s="124"/>
      <c r="AU54" s="124"/>
      <c r="AV54" s="124"/>
      <c r="AW54" s="124"/>
      <c r="AX54" s="280"/>
      <c r="AY54" s="280"/>
      <c r="AZ54" s="280"/>
      <c r="BA54" s="280"/>
      <c r="BB54" s="280"/>
      <c r="BC54" s="280"/>
      <c r="BD54" s="280"/>
      <c r="BE54" s="280"/>
      <c r="BF54" s="280"/>
      <c r="BG54" s="280"/>
      <c r="BH54" s="280"/>
      <c r="BI54" s="280"/>
      <c r="BJ54" s="280"/>
      <c r="BK54" s="280"/>
      <c r="BL54" s="280"/>
      <c r="BM54" s="280"/>
      <c r="BN54" s="280"/>
      <c r="BO54" s="280"/>
      <c r="BP54" s="280"/>
      <c r="BQ54" s="280"/>
      <c r="BR54" s="280"/>
      <c r="BS54" s="280"/>
      <c r="BT54" s="280"/>
      <c r="BU54" s="280"/>
      <c r="BV54" s="280"/>
      <c r="BW54" s="280"/>
      <c r="BX54" s="280"/>
      <c r="BY54" s="280"/>
      <c r="BZ54" s="280"/>
      <c r="CA54" s="280"/>
      <c r="CB54" s="280"/>
      <c r="CC54" s="280"/>
      <c r="CD54" s="280"/>
      <c r="CE54" s="280"/>
      <c r="CF54" s="280"/>
      <c r="CG54" s="280"/>
      <c r="CH54" s="280"/>
      <c r="CI54" s="280"/>
      <c r="CJ54" s="280"/>
      <c r="CK54" s="280"/>
      <c r="CL54" s="280"/>
      <c r="CM54" s="280"/>
      <c r="CN54" s="280"/>
      <c r="CO54" s="280"/>
      <c r="CP54" s="280"/>
      <c r="CQ54" s="280"/>
      <c r="CR54" s="280"/>
      <c r="CS54" s="280"/>
      <c r="CT54" s="280"/>
      <c r="CU54" s="280"/>
      <c r="CV54" s="280"/>
      <c r="CW54" s="280"/>
      <c r="CX54" s="280"/>
      <c r="CY54" s="280"/>
      <c r="CZ54" s="280"/>
      <c r="DA54" s="280"/>
      <c r="DB54" s="280"/>
      <c r="DC54" s="280"/>
      <c r="DD54" s="280"/>
      <c r="DE54" s="280"/>
      <c r="DF54" s="280"/>
      <c r="DG54" s="280"/>
      <c r="DH54" s="280"/>
      <c r="DI54" s="280"/>
      <c r="DJ54" s="280"/>
      <c r="DK54" s="280"/>
      <c r="DL54" s="280"/>
      <c r="DM54" s="280"/>
      <c r="DN54" s="280"/>
      <c r="DO54" s="280"/>
      <c r="DP54" s="280"/>
      <c r="DQ54" s="280"/>
      <c r="DR54" s="280"/>
      <c r="DS54" s="280"/>
      <c r="DT54" s="280"/>
      <c r="DU54" s="280"/>
      <c r="DV54" s="280"/>
      <c r="DW54" s="280"/>
      <c r="DX54" s="280"/>
      <c r="DY54" s="280"/>
      <c r="DZ54" s="280"/>
      <c r="EA54" s="280"/>
      <c r="EB54" s="280"/>
      <c r="EC54" s="280"/>
      <c r="ED54" s="280"/>
      <c r="EE54" s="280"/>
      <c r="EF54" s="280"/>
      <c r="EG54" s="280"/>
      <c r="EH54" s="280"/>
      <c r="EI54" s="280"/>
      <c r="EJ54" s="280"/>
      <c r="EK54" s="280"/>
      <c r="EL54" s="280"/>
      <c r="EM54" s="280"/>
      <c r="EN54" s="280"/>
      <c r="EO54" s="280"/>
      <c r="EP54" s="280"/>
      <c r="EQ54" s="280"/>
      <c r="ER54" s="280"/>
      <c r="ES54" s="280"/>
      <c r="ET54" s="280"/>
      <c r="EU54" s="280"/>
      <c r="EV54" s="280"/>
      <c r="EW54" s="280"/>
      <c r="EX54" s="280"/>
      <c r="EY54" s="280"/>
      <c r="EZ54" s="280"/>
      <c r="FA54" s="280"/>
      <c r="FB54" s="280"/>
      <c r="FC54" s="280"/>
      <c r="FD54" s="280"/>
      <c r="FE54" s="280"/>
      <c r="FF54" s="280"/>
      <c r="FG54" s="280"/>
      <c r="FH54" s="280"/>
      <c r="FI54" s="280"/>
      <c r="FJ54" s="280"/>
      <c r="FK54" s="280"/>
      <c r="FL54" s="280"/>
      <c r="FM54" s="280"/>
      <c r="FN54" s="280"/>
      <c r="FO54" s="280"/>
      <c r="FP54" s="280"/>
      <c r="FQ54" s="280"/>
      <c r="FR54" s="280"/>
      <c r="FS54" s="280"/>
      <c r="FT54" s="280"/>
      <c r="FU54" s="280"/>
      <c r="FV54" s="280"/>
      <c r="FW54" s="280"/>
      <c r="FX54" s="280"/>
      <c r="FY54" s="280"/>
      <c r="FZ54" s="280"/>
      <c r="GA54" s="280"/>
      <c r="GB54" s="280"/>
      <c r="GC54" s="280"/>
      <c r="GD54" s="280"/>
      <c r="GE54" s="280"/>
      <c r="GF54" s="280"/>
      <c r="GG54" s="280"/>
      <c r="GH54" s="280"/>
      <c r="GI54" s="280"/>
      <c r="GJ54" s="280"/>
      <c r="GK54" s="280"/>
      <c r="GL54" s="280"/>
      <c r="GM54" s="280"/>
      <c r="GN54" s="280"/>
      <c r="GO54" s="280"/>
      <c r="GP54" s="280"/>
      <c r="GQ54" s="280"/>
      <c r="GR54" s="280"/>
      <c r="GS54" s="280"/>
      <c r="GT54" s="280"/>
      <c r="GU54" s="280"/>
      <c r="GV54" s="280"/>
      <c r="GW54" s="280"/>
      <c r="GX54" s="280"/>
      <c r="GY54" s="280"/>
      <c r="GZ54" s="280"/>
      <c r="HA54" s="280"/>
      <c r="HB54" s="280"/>
      <c r="HC54" s="280"/>
      <c r="HD54" s="280"/>
      <c r="HE54" s="280"/>
      <c r="HF54" s="280"/>
      <c r="HG54" s="280"/>
      <c r="HH54" s="280"/>
      <c r="HI54" s="280"/>
      <c r="HJ54" s="280"/>
      <c r="HK54" s="280"/>
      <c r="HL54" s="280"/>
      <c r="HM54" s="280"/>
      <c r="HN54" s="280"/>
      <c r="HO54" s="280"/>
      <c r="HP54" s="280"/>
      <c r="HQ54" s="280"/>
      <c r="HR54" s="280"/>
      <c r="HS54" s="280"/>
      <c r="HT54" s="280"/>
      <c r="HU54" s="280"/>
      <c r="HV54" s="280"/>
      <c r="HW54" s="280"/>
      <c r="HX54" s="280"/>
      <c r="HY54" s="280"/>
      <c r="HZ54" s="280"/>
      <c r="IA54" s="280"/>
      <c r="IB54" s="280"/>
      <c r="IC54" s="280"/>
      <c r="ID54" s="280"/>
      <c r="IE54" s="280"/>
      <c r="IF54" s="280"/>
      <c r="IG54" s="280"/>
      <c r="IH54" s="280"/>
      <c r="II54" s="280"/>
      <c r="IJ54" s="280"/>
      <c r="IK54" s="280"/>
      <c r="IL54" s="280"/>
      <c r="IM54" s="280"/>
      <c r="IN54" s="280"/>
      <c r="IO54" s="280"/>
      <c r="IP54" s="280"/>
      <c r="IQ54" s="280"/>
      <c r="IR54" s="280"/>
      <c r="IS54" s="280"/>
      <c r="IT54" s="280"/>
      <c r="IU54" s="280"/>
    </row>
    <row r="55" spans="1:255" x14ac:dyDescent="0.25">
      <c r="A55" s="1325" t="s">
        <v>420</v>
      </c>
      <c r="B55" s="1946"/>
      <c r="C55" s="1947"/>
      <c r="D55" s="1947"/>
      <c r="E55" s="1948"/>
      <c r="F55" s="1946"/>
      <c r="G55" s="1947"/>
      <c r="H55" s="1947"/>
      <c r="I55" s="1963"/>
      <c r="J55" s="281"/>
      <c r="K55" s="1869"/>
      <c r="L55" s="1877"/>
      <c r="M55" s="1877"/>
      <c r="N55" s="1877"/>
      <c r="O55" s="1948"/>
      <c r="P55" s="1946"/>
      <c r="Q55" s="1947"/>
      <c r="R55" s="1947"/>
      <c r="S55" s="1947"/>
      <c r="T55" s="1948"/>
      <c r="U55" s="1946"/>
      <c r="V55" s="1947"/>
      <c r="W55" s="1947"/>
      <c r="X55" s="1947"/>
      <c r="Y55" s="1948"/>
      <c r="Z55" s="1946"/>
      <c r="AA55" s="1947"/>
      <c r="AB55" s="1947"/>
      <c r="AC55" s="1947"/>
      <c r="AD55" s="281"/>
      <c r="AE55" s="1039"/>
      <c r="AF55" s="1947"/>
      <c r="AG55" s="1947"/>
      <c r="AH55" s="1947"/>
      <c r="AI55" s="1948"/>
      <c r="AJ55" s="1039"/>
      <c r="AK55" s="1947"/>
      <c r="AL55" s="1947"/>
      <c r="AM55" s="1947"/>
      <c r="AN55" s="1948"/>
      <c r="AO55" s="1946"/>
      <c r="AP55" s="1947"/>
      <c r="AQ55" s="1947"/>
      <c r="AR55" s="1947"/>
      <c r="AS55" s="1948"/>
      <c r="AT55" s="124"/>
      <c r="AU55" s="124"/>
      <c r="AV55" s="124"/>
      <c r="AW55" s="124"/>
    </row>
    <row r="56" spans="1:255" x14ac:dyDescent="0.25">
      <c r="A56" s="1344" t="s">
        <v>1068</v>
      </c>
      <c r="B56" s="1949">
        <v>0</v>
      </c>
      <c r="C56" s="1949">
        <v>0</v>
      </c>
      <c r="D56" s="1617">
        <v>0</v>
      </c>
      <c r="E56" s="1951">
        <f t="shared" ref="E56:E61" si="48">SUM(B56:D56)</f>
        <v>0</v>
      </c>
      <c r="F56" s="1949">
        <v>8</v>
      </c>
      <c r="G56" s="1949">
        <v>0</v>
      </c>
      <c r="H56" s="1617">
        <v>0</v>
      </c>
      <c r="I56" s="1964">
        <f t="shared" ref="I56:I61" si="49">SUM(F56:H56)</f>
        <v>8</v>
      </c>
      <c r="J56" s="505">
        <f t="shared" ref="J56:J62" si="50">IF(E56&gt;0,(I56-E56)/E56,(IF(I56=0,"N/A",100%)))</f>
        <v>1</v>
      </c>
      <c r="K56" s="1683">
        <v>24</v>
      </c>
      <c r="L56" s="1246">
        <v>0</v>
      </c>
      <c r="M56" s="1246">
        <v>0</v>
      </c>
      <c r="N56" s="1246">
        <f t="shared" ref="N56:N61" si="51">SUM(K56:M56)</f>
        <v>24</v>
      </c>
      <c r="O56" s="1954">
        <f t="shared" si="46"/>
        <v>2</v>
      </c>
      <c r="P56" s="1952">
        <v>0</v>
      </c>
      <c r="Q56" s="1952">
        <v>0</v>
      </c>
      <c r="R56" s="1246">
        <v>0</v>
      </c>
      <c r="S56" s="1952">
        <f t="shared" ref="S56:S61" si="52">SUM(P56:R56)</f>
        <v>0</v>
      </c>
      <c r="T56" s="505">
        <f t="shared" ref="T56:T62" si="53">IF(N56&gt;0,(S56-N56)/N56,(IF(S56=0,"N/A",100%)))</f>
        <v>-1</v>
      </c>
      <c r="U56" s="1952">
        <v>0</v>
      </c>
      <c r="V56" s="1952">
        <v>0</v>
      </c>
      <c r="W56" s="1246">
        <v>0</v>
      </c>
      <c r="X56" s="1952">
        <f t="shared" ref="X56:X61" si="54">SUM(U56:W56)</f>
        <v>0</v>
      </c>
      <c r="Y56" s="1954" t="str">
        <f t="shared" ref="Y56:Y62" si="55">IF(S56&gt;0,(X56-S56)/S56,(IF(X56=0,"N/A",100%)))</f>
        <v>N/A</v>
      </c>
      <c r="Z56" s="1952">
        <v>0</v>
      </c>
      <c r="AA56" s="1952">
        <v>0</v>
      </c>
      <c r="AB56" s="1246">
        <v>0</v>
      </c>
      <c r="AC56" s="1952">
        <f t="shared" ref="AC56:AC61" si="56">SUM(Z56:AB56)</f>
        <v>0</v>
      </c>
      <c r="AD56" s="505" t="str">
        <f t="shared" ref="AD56:AD62" si="57">IF(X56&gt;0,(AC56-X56)/X56,(IF(AC56=0,"N/A",100%)))</f>
        <v>N/A</v>
      </c>
      <c r="AE56" s="772">
        <v>0</v>
      </c>
      <c r="AF56" s="1952">
        <v>0</v>
      </c>
      <c r="AG56" s="1246">
        <v>0</v>
      </c>
      <c r="AH56" s="1952">
        <f t="shared" ref="AH56:AH61" si="58">SUM(AE56:AG56)</f>
        <v>0</v>
      </c>
      <c r="AI56" s="1954" t="str">
        <f t="shared" ref="AI56:AI62" si="59">IF(AC56&gt;0,(AH56-AC56)/AC56,(IF(AH56=0,"N/A",100%)))</f>
        <v>N/A</v>
      </c>
      <c r="AJ56" s="772">
        <v>0</v>
      </c>
      <c r="AK56" s="1952">
        <v>0</v>
      </c>
      <c r="AL56" s="1246">
        <v>0</v>
      </c>
      <c r="AM56" s="1952">
        <f t="shared" ref="AM56:AM61" si="60">SUM(AJ56:AL56)</f>
        <v>0</v>
      </c>
      <c r="AN56" s="1954" t="str">
        <f t="shared" ref="AN56:AN62" si="61">IF(AH56&gt;0,(AM56-AH56)/AH56,(IF(AM56=0,"N/A",100%)))</f>
        <v>N/A</v>
      </c>
      <c r="AO56" s="1952">
        <v>0</v>
      </c>
      <c r="AP56" s="1952">
        <v>0</v>
      </c>
      <c r="AQ56" s="1246">
        <v>0</v>
      </c>
      <c r="AR56" s="1952">
        <f t="shared" ref="AR56:AR61" si="62">SUM(AO56:AQ56)</f>
        <v>0</v>
      </c>
      <c r="AS56" s="1954" t="str">
        <f t="shared" ref="AS56:AS62" si="63">IF(AM56&gt;0,(AR56-AM56)/AM56,(IF(AR56=0,"N/A",100%)))</f>
        <v>N/A</v>
      </c>
      <c r="AT56" s="124"/>
      <c r="AU56" s="124"/>
      <c r="AV56" s="124"/>
      <c r="AW56" s="124"/>
    </row>
    <row r="57" spans="1:255" x14ac:dyDescent="0.25">
      <c r="A57" s="1319" t="s">
        <v>1032</v>
      </c>
      <c r="B57" s="1949">
        <v>120</v>
      </c>
      <c r="C57" s="1949">
        <v>150</v>
      </c>
      <c r="D57" s="1617">
        <v>0</v>
      </c>
      <c r="E57" s="1951">
        <f t="shared" si="48"/>
        <v>270</v>
      </c>
      <c r="F57" s="1949">
        <v>90</v>
      </c>
      <c r="G57" s="1949">
        <v>147</v>
      </c>
      <c r="H57" s="1617">
        <v>0</v>
      </c>
      <c r="I57" s="1964">
        <f t="shared" si="49"/>
        <v>237</v>
      </c>
      <c r="J57" s="505">
        <f t="shared" si="50"/>
        <v>-0.12222222222222222</v>
      </c>
      <c r="K57" s="1683">
        <v>147</v>
      </c>
      <c r="L57" s="1246">
        <v>141</v>
      </c>
      <c r="M57" s="1246">
        <v>0</v>
      </c>
      <c r="N57" s="1246">
        <f t="shared" si="51"/>
        <v>288</v>
      </c>
      <c r="O57" s="1954">
        <f t="shared" si="46"/>
        <v>0.21518987341772153</v>
      </c>
      <c r="P57" s="1952">
        <v>117</v>
      </c>
      <c r="Q57" s="1952">
        <v>153</v>
      </c>
      <c r="R57" s="1246">
        <v>0</v>
      </c>
      <c r="S57" s="1952">
        <f t="shared" si="52"/>
        <v>270</v>
      </c>
      <c r="T57" s="505">
        <f t="shared" si="53"/>
        <v>-6.25E-2</v>
      </c>
      <c r="U57" s="1952">
        <v>201</v>
      </c>
      <c r="V57" s="1952">
        <v>129</v>
      </c>
      <c r="W57" s="1246">
        <v>0</v>
      </c>
      <c r="X57" s="1952">
        <f t="shared" si="54"/>
        <v>330</v>
      </c>
      <c r="Y57" s="1954">
        <f t="shared" si="55"/>
        <v>0.22222222222222221</v>
      </c>
      <c r="Z57" s="1952">
        <v>147</v>
      </c>
      <c r="AA57" s="1952">
        <v>117</v>
      </c>
      <c r="AB57" s="1246">
        <v>0</v>
      </c>
      <c r="AC57" s="1952">
        <f t="shared" si="56"/>
        <v>264</v>
      </c>
      <c r="AD57" s="505">
        <f t="shared" si="57"/>
        <v>-0.2</v>
      </c>
      <c r="AE57" s="772">
        <v>75</v>
      </c>
      <c r="AF57" s="1952">
        <v>48</v>
      </c>
      <c r="AG57" s="1246">
        <v>0</v>
      </c>
      <c r="AH57" s="1952">
        <f t="shared" si="58"/>
        <v>123</v>
      </c>
      <c r="AI57" s="1954">
        <f t="shared" si="59"/>
        <v>-0.53409090909090906</v>
      </c>
      <c r="AJ57" s="772">
        <v>81</v>
      </c>
      <c r="AK57" s="1952">
        <v>57</v>
      </c>
      <c r="AL57" s="1246">
        <v>0</v>
      </c>
      <c r="AM57" s="1952">
        <f t="shared" si="60"/>
        <v>138</v>
      </c>
      <c r="AN57" s="1954">
        <f t="shared" si="61"/>
        <v>0.12195121951219512</v>
      </c>
      <c r="AO57" s="1952">
        <v>0</v>
      </c>
      <c r="AP57" s="1952">
        <v>141</v>
      </c>
      <c r="AQ57" s="1246">
        <v>0</v>
      </c>
      <c r="AR57" s="1952">
        <f t="shared" si="62"/>
        <v>141</v>
      </c>
      <c r="AS57" s="1954">
        <f t="shared" si="63"/>
        <v>2.1739130434782608E-2</v>
      </c>
      <c r="AT57" s="124"/>
      <c r="AU57" s="124"/>
      <c r="AV57" s="124"/>
      <c r="AW57" s="124"/>
    </row>
    <row r="58" spans="1:255" x14ac:dyDescent="0.25">
      <c r="A58" s="1319" t="s">
        <v>1035</v>
      </c>
      <c r="B58" s="1949">
        <v>0</v>
      </c>
      <c r="C58" s="1949">
        <v>22</v>
      </c>
      <c r="D58" s="1617">
        <v>0</v>
      </c>
      <c r="E58" s="1951">
        <f t="shared" si="48"/>
        <v>22</v>
      </c>
      <c r="F58" s="1949">
        <v>0</v>
      </c>
      <c r="G58" s="1949">
        <v>11</v>
      </c>
      <c r="H58" s="1617">
        <v>0</v>
      </c>
      <c r="I58" s="1964">
        <f t="shared" si="49"/>
        <v>11</v>
      </c>
      <c r="J58" s="505">
        <f t="shared" si="50"/>
        <v>-0.5</v>
      </c>
      <c r="K58" s="1683">
        <v>0</v>
      </c>
      <c r="L58" s="1246">
        <v>14</v>
      </c>
      <c r="M58" s="1246">
        <v>0</v>
      </c>
      <c r="N58" s="1246">
        <f t="shared" si="51"/>
        <v>14</v>
      </c>
      <c r="O58" s="1954">
        <f t="shared" si="46"/>
        <v>0.27272727272727271</v>
      </c>
      <c r="P58" s="1952">
        <v>90</v>
      </c>
      <c r="Q58" s="1952">
        <v>10</v>
      </c>
      <c r="R58" s="1246">
        <v>0</v>
      </c>
      <c r="S58" s="1952">
        <f t="shared" si="52"/>
        <v>100</v>
      </c>
      <c r="T58" s="505">
        <f t="shared" si="53"/>
        <v>6.1428571428571432</v>
      </c>
      <c r="U58" s="1952">
        <v>93</v>
      </c>
      <c r="V58" s="1952">
        <v>16</v>
      </c>
      <c r="W58" s="1246">
        <v>0</v>
      </c>
      <c r="X58" s="1952">
        <f t="shared" si="54"/>
        <v>109</v>
      </c>
      <c r="Y58" s="1954">
        <f t="shared" si="55"/>
        <v>0.09</v>
      </c>
      <c r="Z58" s="1952">
        <v>90</v>
      </c>
      <c r="AA58" s="1952">
        <v>21</v>
      </c>
      <c r="AB58" s="1246">
        <v>0</v>
      </c>
      <c r="AC58" s="1952">
        <f t="shared" si="56"/>
        <v>111</v>
      </c>
      <c r="AD58" s="505">
        <f t="shared" si="57"/>
        <v>1.834862385321101E-2</v>
      </c>
      <c r="AE58" s="772">
        <v>90</v>
      </c>
      <c r="AF58" s="1952">
        <v>19</v>
      </c>
      <c r="AG58" s="1246">
        <v>0</v>
      </c>
      <c r="AH58" s="1952">
        <f t="shared" si="58"/>
        <v>109</v>
      </c>
      <c r="AI58" s="1954">
        <f t="shared" si="59"/>
        <v>-1.8018018018018018E-2</v>
      </c>
      <c r="AJ58" s="772">
        <v>60</v>
      </c>
      <c r="AK58" s="1952">
        <v>19</v>
      </c>
      <c r="AL58" s="1246">
        <v>0</v>
      </c>
      <c r="AM58" s="1952">
        <f t="shared" si="60"/>
        <v>79</v>
      </c>
      <c r="AN58" s="1954">
        <f t="shared" si="61"/>
        <v>-0.27522935779816515</v>
      </c>
      <c r="AO58" s="1952">
        <v>42</v>
      </c>
      <c r="AP58" s="1952">
        <v>12</v>
      </c>
      <c r="AQ58" s="1246">
        <v>0</v>
      </c>
      <c r="AR58" s="1952">
        <f t="shared" si="62"/>
        <v>54</v>
      </c>
      <c r="AS58" s="1954">
        <f t="shared" si="63"/>
        <v>-0.31645569620253167</v>
      </c>
      <c r="AT58" s="124"/>
      <c r="AU58" s="124"/>
      <c r="AV58" s="124"/>
      <c r="AW58" s="124"/>
    </row>
    <row r="59" spans="1:255" x14ac:dyDescent="0.25">
      <c r="A59" s="1319" t="s">
        <v>1036</v>
      </c>
      <c r="B59" s="1949">
        <v>150</v>
      </c>
      <c r="C59" s="1949">
        <v>399</v>
      </c>
      <c r="D59" s="1617">
        <v>0</v>
      </c>
      <c r="E59" s="1951">
        <f t="shared" si="48"/>
        <v>549</v>
      </c>
      <c r="F59" s="1949">
        <v>165</v>
      </c>
      <c r="G59" s="1949">
        <v>432</v>
      </c>
      <c r="H59" s="1617">
        <v>0</v>
      </c>
      <c r="I59" s="1964">
        <f t="shared" si="49"/>
        <v>597</v>
      </c>
      <c r="J59" s="505">
        <f t="shared" si="50"/>
        <v>8.7431693989071038E-2</v>
      </c>
      <c r="K59" s="1683">
        <v>276</v>
      </c>
      <c r="L59" s="1246">
        <v>537</v>
      </c>
      <c r="M59" s="1246">
        <v>0</v>
      </c>
      <c r="N59" s="1246">
        <f t="shared" si="51"/>
        <v>813</v>
      </c>
      <c r="O59" s="1954">
        <f t="shared" si="46"/>
        <v>0.36180904522613067</v>
      </c>
      <c r="P59" s="1952">
        <v>399</v>
      </c>
      <c r="Q59" s="1952">
        <v>504</v>
      </c>
      <c r="R59" s="1246">
        <v>0</v>
      </c>
      <c r="S59" s="1952">
        <f t="shared" si="52"/>
        <v>903</v>
      </c>
      <c r="T59" s="505">
        <f t="shared" si="53"/>
        <v>0.11070110701107011</v>
      </c>
      <c r="U59" s="1952">
        <v>441</v>
      </c>
      <c r="V59" s="1952">
        <v>441</v>
      </c>
      <c r="W59" s="1246">
        <v>0</v>
      </c>
      <c r="X59" s="1952">
        <f t="shared" si="54"/>
        <v>882</v>
      </c>
      <c r="Y59" s="1954">
        <f t="shared" si="55"/>
        <v>-2.3255813953488372E-2</v>
      </c>
      <c r="Z59" s="1952">
        <v>426</v>
      </c>
      <c r="AA59" s="1952">
        <v>463</v>
      </c>
      <c r="AB59" s="1246">
        <v>0</v>
      </c>
      <c r="AC59" s="1952">
        <f t="shared" si="56"/>
        <v>889</v>
      </c>
      <c r="AD59" s="505">
        <f t="shared" si="57"/>
        <v>7.9365079365079361E-3</v>
      </c>
      <c r="AE59" s="772">
        <v>396</v>
      </c>
      <c r="AF59" s="1952">
        <v>545</v>
      </c>
      <c r="AG59" s="1246">
        <v>0</v>
      </c>
      <c r="AH59" s="1952">
        <f t="shared" si="58"/>
        <v>941</v>
      </c>
      <c r="AI59" s="1954">
        <f t="shared" si="59"/>
        <v>5.8492688413948259E-2</v>
      </c>
      <c r="AJ59" s="772">
        <v>369</v>
      </c>
      <c r="AK59" s="1952">
        <v>508</v>
      </c>
      <c r="AL59" s="1246">
        <v>0</v>
      </c>
      <c r="AM59" s="1952">
        <f t="shared" si="60"/>
        <v>877</v>
      </c>
      <c r="AN59" s="1954">
        <f t="shared" si="61"/>
        <v>-6.8012752391073322E-2</v>
      </c>
      <c r="AO59" s="1952">
        <v>162</v>
      </c>
      <c r="AP59" s="1952">
        <v>592</v>
      </c>
      <c r="AQ59" s="1246">
        <v>0</v>
      </c>
      <c r="AR59" s="1952">
        <f t="shared" si="62"/>
        <v>754</v>
      </c>
      <c r="AS59" s="1954">
        <f t="shared" si="63"/>
        <v>-0.1402508551881414</v>
      </c>
      <c r="AT59" s="124"/>
      <c r="AU59" s="124"/>
      <c r="AV59" s="124"/>
      <c r="AW59" s="124"/>
    </row>
    <row r="60" spans="1:255" x14ac:dyDescent="0.25">
      <c r="A60" s="1319" t="s">
        <v>1039</v>
      </c>
      <c r="B60" s="1949">
        <v>408</v>
      </c>
      <c r="C60" s="1949">
        <v>0</v>
      </c>
      <c r="D60" s="1617">
        <v>0</v>
      </c>
      <c r="E60" s="1951">
        <f t="shared" si="48"/>
        <v>408</v>
      </c>
      <c r="F60" s="1949">
        <v>456</v>
      </c>
      <c r="G60" s="1949">
        <v>0</v>
      </c>
      <c r="H60" s="1617">
        <v>0</v>
      </c>
      <c r="I60" s="1964">
        <f t="shared" si="49"/>
        <v>456</v>
      </c>
      <c r="J60" s="505">
        <f t="shared" si="50"/>
        <v>0.11764705882352941</v>
      </c>
      <c r="K60" s="1683">
        <v>648</v>
      </c>
      <c r="L60" s="1246">
        <v>0</v>
      </c>
      <c r="M60" s="1246">
        <v>0</v>
      </c>
      <c r="N60" s="1246">
        <f t="shared" si="51"/>
        <v>648</v>
      </c>
      <c r="O60" s="1954">
        <f t="shared" si="46"/>
        <v>0.42105263157894735</v>
      </c>
      <c r="P60" s="1952">
        <v>624</v>
      </c>
      <c r="Q60" s="1952">
        <v>0</v>
      </c>
      <c r="R60" s="1246">
        <v>0</v>
      </c>
      <c r="S60" s="1952">
        <f t="shared" si="52"/>
        <v>624</v>
      </c>
      <c r="T60" s="505">
        <f t="shared" si="53"/>
        <v>-3.7037037037037035E-2</v>
      </c>
      <c r="U60" s="1952">
        <v>516</v>
      </c>
      <c r="V60" s="1952">
        <v>0</v>
      </c>
      <c r="W60" s="1246">
        <v>0</v>
      </c>
      <c r="X60" s="1952">
        <f t="shared" si="54"/>
        <v>516</v>
      </c>
      <c r="Y60" s="1954">
        <f t="shared" si="55"/>
        <v>-0.17307692307692307</v>
      </c>
      <c r="Z60" s="1952">
        <v>426</v>
      </c>
      <c r="AA60" s="1952">
        <v>0</v>
      </c>
      <c r="AB60" s="1246">
        <v>0</v>
      </c>
      <c r="AC60" s="1952">
        <f t="shared" si="56"/>
        <v>426</v>
      </c>
      <c r="AD60" s="505">
        <f t="shared" si="57"/>
        <v>-0.1744186046511628</v>
      </c>
      <c r="AE60" s="772">
        <v>429</v>
      </c>
      <c r="AF60" s="1952">
        <v>0</v>
      </c>
      <c r="AG60" s="1246">
        <v>0</v>
      </c>
      <c r="AH60" s="1952">
        <f t="shared" si="58"/>
        <v>429</v>
      </c>
      <c r="AI60" s="1954">
        <f t="shared" si="59"/>
        <v>7.0422535211267607E-3</v>
      </c>
      <c r="AJ60" s="772">
        <v>285</v>
      </c>
      <c r="AK60" s="1952">
        <v>0</v>
      </c>
      <c r="AL60" s="1246">
        <v>0</v>
      </c>
      <c r="AM60" s="1952">
        <f t="shared" si="60"/>
        <v>285</v>
      </c>
      <c r="AN60" s="1954">
        <f t="shared" si="61"/>
        <v>-0.33566433566433568</v>
      </c>
      <c r="AO60" s="1952">
        <v>375</v>
      </c>
      <c r="AP60" s="1952">
        <v>51</v>
      </c>
      <c r="AQ60" s="1246">
        <v>0</v>
      </c>
      <c r="AR60" s="1952">
        <f t="shared" si="62"/>
        <v>426</v>
      </c>
      <c r="AS60" s="1954">
        <f t="shared" si="63"/>
        <v>0.49473684210526314</v>
      </c>
      <c r="AT60" s="124"/>
      <c r="AU60" s="124"/>
      <c r="AV60" s="124"/>
      <c r="AW60" s="124"/>
    </row>
    <row r="61" spans="1:255" x14ac:dyDescent="0.25">
      <c r="A61" s="1319" t="s">
        <v>1040</v>
      </c>
      <c r="B61" s="1949">
        <v>340</v>
      </c>
      <c r="C61" s="1949">
        <v>82</v>
      </c>
      <c r="D61" s="1617">
        <v>0</v>
      </c>
      <c r="E61" s="1951">
        <f t="shared" si="48"/>
        <v>422</v>
      </c>
      <c r="F61" s="1949">
        <v>446</v>
      </c>
      <c r="G61" s="1949">
        <v>134</v>
      </c>
      <c r="H61" s="1617">
        <v>0</v>
      </c>
      <c r="I61" s="1964">
        <f t="shared" si="49"/>
        <v>580</v>
      </c>
      <c r="J61" s="505">
        <f t="shared" si="50"/>
        <v>0.37440758293838861</v>
      </c>
      <c r="K61" s="1683">
        <v>416</v>
      </c>
      <c r="L61" s="1246">
        <v>157</v>
      </c>
      <c r="M61" s="1246">
        <v>0</v>
      </c>
      <c r="N61" s="1246">
        <f t="shared" si="51"/>
        <v>573</v>
      </c>
      <c r="O61" s="1954">
        <f t="shared" si="46"/>
        <v>-1.2068965517241379E-2</v>
      </c>
      <c r="P61" s="1952">
        <v>519</v>
      </c>
      <c r="Q61" s="1952">
        <v>157</v>
      </c>
      <c r="R61" s="1246">
        <v>0</v>
      </c>
      <c r="S61" s="1952">
        <f t="shared" si="52"/>
        <v>676</v>
      </c>
      <c r="T61" s="505">
        <f t="shared" si="53"/>
        <v>0.17975567190226877</v>
      </c>
      <c r="U61" s="1952">
        <v>546</v>
      </c>
      <c r="V61" s="1952">
        <v>158</v>
      </c>
      <c r="W61" s="1246">
        <v>0</v>
      </c>
      <c r="X61" s="1952">
        <f t="shared" si="54"/>
        <v>704</v>
      </c>
      <c r="Y61" s="1954">
        <f t="shared" si="55"/>
        <v>4.142011834319527E-2</v>
      </c>
      <c r="Z61" s="1952">
        <v>438</v>
      </c>
      <c r="AA61" s="1952">
        <v>130</v>
      </c>
      <c r="AB61" s="1246">
        <v>0</v>
      </c>
      <c r="AC61" s="1952">
        <f t="shared" si="56"/>
        <v>568</v>
      </c>
      <c r="AD61" s="505">
        <f t="shared" si="57"/>
        <v>-0.19318181818181818</v>
      </c>
      <c r="AE61" s="772">
        <v>201</v>
      </c>
      <c r="AF61" s="1952">
        <v>168</v>
      </c>
      <c r="AG61" s="1246">
        <v>0</v>
      </c>
      <c r="AH61" s="1952">
        <f t="shared" si="58"/>
        <v>369</v>
      </c>
      <c r="AI61" s="1954">
        <f t="shared" si="59"/>
        <v>-0.35035211267605632</v>
      </c>
      <c r="AJ61" s="772">
        <v>222</v>
      </c>
      <c r="AK61" s="1952">
        <v>90</v>
      </c>
      <c r="AL61" s="1246">
        <v>0</v>
      </c>
      <c r="AM61" s="1952">
        <f t="shared" si="60"/>
        <v>312</v>
      </c>
      <c r="AN61" s="1954">
        <f t="shared" si="61"/>
        <v>-0.15447154471544716</v>
      </c>
      <c r="AO61" s="1952">
        <v>0</v>
      </c>
      <c r="AP61" s="1952">
        <v>243</v>
      </c>
      <c r="AQ61" s="1246">
        <v>0</v>
      </c>
      <c r="AR61" s="1952">
        <f t="shared" si="62"/>
        <v>243</v>
      </c>
      <c r="AS61" s="1954">
        <f t="shared" si="63"/>
        <v>-0.22115384615384615</v>
      </c>
      <c r="AT61" s="124"/>
      <c r="AU61" s="124"/>
      <c r="AV61" s="124"/>
      <c r="AW61" s="124"/>
    </row>
    <row r="62" spans="1:255" s="484" customFormat="1" ht="13.8" x14ac:dyDescent="0.25">
      <c r="A62" s="1322" t="s">
        <v>1015</v>
      </c>
      <c r="B62" s="1966">
        <f t="shared" ref="B62:I62" si="64">SUM(B56:B61)</f>
        <v>1018</v>
      </c>
      <c r="C62" s="1966">
        <f t="shared" si="64"/>
        <v>653</v>
      </c>
      <c r="D62" s="1966">
        <f t="shared" si="64"/>
        <v>0</v>
      </c>
      <c r="E62" s="495">
        <f t="shared" si="64"/>
        <v>1671</v>
      </c>
      <c r="F62" s="1966">
        <f t="shared" si="64"/>
        <v>1165</v>
      </c>
      <c r="G62" s="1966">
        <f t="shared" si="64"/>
        <v>724</v>
      </c>
      <c r="H62" s="1966">
        <f t="shared" si="64"/>
        <v>0</v>
      </c>
      <c r="I62" s="1742">
        <f t="shared" si="64"/>
        <v>1889</v>
      </c>
      <c r="J62" s="586">
        <f t="shared" si="50"/>
        <v>0.13046080191502094</v>
      </c>
      <c r="K62" s="1732">
        <f>SUM(K56:K61)</f>
        <v>1511</v>
      </c>
      <c r="L62" s="1259">
        <f>SUM(L56:L61)</f>
        <v>849</v>
      </c>
      <c r="M62" s="1259">
        <f>SUM(M56:M61)</f>
        <v>0</v>
      </c>
      <c r="N62" s="1259">
        <f>SUM(N56:N61)</f>
        <v>2360</v>
      </c>
      <c r="O62" s="1965">
        <f t="shared" si="46"/>
        <v>0.24933827421916357</v>
      </c>
      <c r="P62" s="1966">
        <f>SUM(P56:P61)</f>
        <v>1749</v>
      </c>
      <c r="Q62" s="1966">
        <f>SUM(Q56:Q61)</f>
        <v>824</v>
      </c>
      <c r="R62" s="1966">
        <f>SUM(R56:R61)</f>
        <v>0</v>
      </c>
      <c r="S62" s="1259">
        <f>SUM(S56:S61)</f>
        <v>2573</v>
      </c>
      <c r="T62" s="586">
        <f t="shared" si="53"/>
        <v>9.02542372881356E-2</v>
      </c>
      <c r="U62" s="1966">
        <f>SUM(U56:U61)</f>
        <v>1797</v>
      </c>
      <c r="V62" s="1966">
        <f>SUM(V56:V61)</f>
        <v>744</v>
      </c>
      <c r="W62" s="1966">
        <f>SUM(W56:W61)</f>
        <v>0</v>
      </c>
      <c r="X62" s="1259">
        <f>SUM(X56:X61)</f>
        <v>2541</v>
      </c>
      <c r="Y62" s="1965">
        <f t="shared" si="55"/>
        <v>-1.2436844150796735E-2</v>
      </c>
      <c r="Z62" s="1966">
        <f>SUM(Z56:Z61)</f>
        <v>1527</v>
      </c>
      <c r="AA62" s="1966">
        <f>SUM(AA56:AA61)</f>
        <v>731</v>
      </c>
      <c r="AB62" s="1966">
        <f>SUM(AB56:AB61)</f>
        <v>0</v>
      </c>
      <c r="AC62" s="1259">
        <f>SUM(AC56:AC61)</f>
        <v>2258</v>
      </c>
      <c r="AD62" s="586">
        <f t="shared" si="57"/>
        <v>-0.11137347500983864</v>
      </c>
      <c r="AE62" s="1042">
        <f>SUM(AE56:AE61)</f>
        <v>1191</v>
      </c>
      <c r="AF62" s="1966">
        <f>SUM(AF56:AF61)</f>
        <v>780</v>
      </c>
      <c r="AG62" s="1966">
        <f>SUM(AG56:AG61)</f>
        <v>0</v>
      </c>
      <c r="AH62" s="1259">
        <f>SUM(AH56:AH61)</f>
        <v>1971</v>
      </c>
      <c r="AI62" s="1965">
        <f t="shared" si="59"/>
        <v>-0.12710363153232951</v>
      </c>
      <c r="AJ62" s="1042">
        <f>SUM(AJ56:AJ61)</f>
        <v>1017</v>
      </c>
      <c r="AK62" s="1966">
        <f>SUM(AK56:AK61)</f>
        <v>674</v>
      </c>
      <c r="AL62" s="1966">
        <f>SUM(AL56:AL61)</f>
        <v>0</v>
      </c>
      <c r="AM62" s="1259">
        <f>SUM(AM56:AM61)</f>
        <v>1691</v>
      </c>
      <c r="AN62" s="1965">
        <f t="shared" si="61"/>
        <v>-0.14205986808726534</v>
      </c>
      <c r="AO62" s="1966">
        <f>SUM(AO56:AO61)</f>
        <v>579</v>
      </c>
      <c r="AP62" s="1966">
        <f>SUM(AP56:AP61)</f>
        <v>1039</v>
      </c>
      <c r="AQ62" s="1966">
        <f>SUM(AQ56:AQ61)</f>
        <v>0</v>
      </c>
      <c r="AR62" s="1259">
        <f>SUM(AR56:AR61)</f>
        <v>1618</v>
      </c>
      <c r="AS62" s="1965">
        <f t="shared" si="63"/>
        <v>-4.3169722057953872E-2</v>
      </c>
      <c r="AT62" s="124"/>
      <c r="AU62" s="124"/>
      <c r="AV62" s="124"/>
      <c r="AW62" s="124"/>
    </row>
    <row r="63" spans="1:255" x14ac:dyDescent="0.25">
      <c r="A63" s="1325" t="s">
        <v>422</v>
      </c>
      <c r="B63" s="1946"/>
      <c r="C63" s="1947"/>
      <c r="D63" s="1947"/>
      <c r="E63" s="1948"/>
      <c r="F63" s="1946"/>
      <c r="G63" s="1947"/>
      <c r="H63" s="1947"/>
      <c r="I63" s="1963"/>
      <c r="J63" s="281"/>
      <c r="K63" s="1869"/>
      <c r="L63" s="1877"/>
      <c r="M63" s="1877"/>
      <c r="N63" s="1877"/>
      <c r="O63" s="1948"/>
      <c r="P63" s="1946"/>
      <c r="Q63" s="1947"/>
      <c r="R63" s="1947"/>
      <c r="S63" s="1947"/>
      <c r="T63" s="1948"/>
      <c r="U63" s="1946"/>
      <c r="V63" s="1947"/>
      <c r="W63" s="1947"/>
      <c r="X63" s="1947"/>
      <c r="Y63" s="1948"/>
      <c r="Z63" s="1946"/>
      <c r="AA63" s="1947"/>
      <c r="AB63" s="1947"/>
      <c r="AC63" s="1947"/>
      <c r="AD63" s="281"/>
      <c r="AE63" s="1039"/>
      <c r="AF63" s="1947"/>
      <c r="AG63" s="1947"/>
      <c r="AH63" s="1947"/>
      <c r="AI63" s="1948"/>
      <c r="AJ63" s="1039"/>
      <c r="AK63" s="1947"/>
      <c r="AL63" s="1947"/>
      <c r="AM63" s="1947"/>
      <c r="AN63" s="1948"/>
      <c r="AO63" s="1946"/>
      <c r="AP63" s="1947"/>
      <c r="AQ63" s="1947"/>
      <c r="AR63" s="1947"/>
      <c r="AS63" s="1948"/>
      <c r="AT63" s="124"/>
      <c r="AU63" s="124"/>
      <c r="AV63" s="124"/>
      <c r="AW63" s="124"/>
    </row>
    <row r="64" spans="1:255" x14ac:dyDescent="0.25">
      <c r="A64" s="1319" t="s">
        <v>1037</v>
      </c>
      <c r="B64" s="1949">
        <v>36</v>
      </c>
      <c r="C64" s="1949">
        <v>19</v>
      </c>
      <c r="D64" s="1617">
        <v>0</v>
      </c>
      <c r="E64" s="1951">
        <f>SUM(B64:D64)</f>
        <v>55</v>
      </c>
      <c r="F64" s="1949">
        <v>47</v>
      </c>
      <c r="G64" s="1949">
        <v>22</v>
      </c>
      <c r="H64" s="1617">
        <v>0</v>
      </c>
      <c r="I64" s="1964">
        <f>SUM(F64:H64)</f>
        <v>69</v>
      </c>
      <c r="J64" s="505">
        <f t="shared" ref="J64:J69" si="65">IF(E64&gt;0,(I64-E64)/E64,(IF(I64=0,"N/A",100%)))</f>
        <v>0.25454545454545452</v>
      </c>
      <c r="K64" s="1683">
        <v>34</v>
      </c>
      <c r="L64" s="1246">
        <v>20</v>
      </c>
      <c r="M64" s="1246">
        <v>0</v>
      </c>
      <c r="N64" s="1246">
        <f>SUM(K64:M64)</f>
        <v>54</v>
      </c>
      <c r="O64" s="1954">
        <f t="shared" si="46"/>
        <v>-0.21739130434782608</v>
      </c>
      <c r="P64" s="1952">
        <v>39</v>
      </c>
      <c r="Q64" s="1952">
        <v>18</v>
      </c>
      <c r="R64" s="1246">
        <v>0</v>
      </c>
      <c r="S64" s="1952">
        <f>SUM(P64:R64)</f>
        <v>57</v>
      </c>
      <c r="T64" s="505">
        <f t="shared" ref="T64:T69" si="66">IF(N64&gt;0,(S64-N64)/N64,(IF(S64=0,"N/A",100%)))</f>
        <v>5.5555555555555552E-2</v>
      </c>
      <c r="U64" s="1952">
        <v>35</v>
      </c>
      <c r="V64" s="1952">
        <v>19</v>
      </c>
      <c r="W64" s="1246">
        <v>0</v>
      </c>
      <c r="X64" s="1952">
        <f>SUM(U64:W64)</f>
        <v>54</v>
      </c>
      <c r="Y64" s="1954">
        <f t="shared" ref="Y64:Y69" si="67">IF(S64&gt;0,(X64-S64)/S64,(IF(X64=0,"N/A",100%)))</f>
        <v>-5.2631578947368418E-2</v>
      </c>
      <c r="Z64" s="1952">
        <v>0</v>
      </c>
      <c r="AA64" s="1952">
        <v>0</v>
      </c>
      <c r="AB64" s="1246">
        <v>0</v>
      </c>
      <c r="AC64" s="1952">
        <f>SUM(Z64:AB64)</f>
        <v>0</v>
      </c>
      <c r="AD64" s="505">
        <f t="shared" ref="AD64:AD69" si="68">IF(X64&gt;0,(AC64-X64)/X64,(IF(AC64=0,"N/A",100%)))</f>
        <v>-1</v>
      </c>
      <c r="AE64" s="772">
        <v>0</v>
      </c>
      <c r="AF64" s="1952">
        <v>0</v>
      </c>
      <c r="AG64" s="1246">
        <v>0</v>
      </c>
      <c r="AH64" s="1952">
        <f>SUM(AE64:AG64)</f>
        <v>0</v>
      </c>
      <c r="AI64" s="1954" t="str">
        <f t="shared" ref="AI64:AI69" si="69">IF(AC64&gt;0,(AH64-AC64)/AC64,(IF(AH64=0,"N/A",100%)))</f>
        <v>N/A</v>
      </c>
      <c r="AJ64" s="772">
        <v>0</v>
      </c>
      <c r="AK64" s="1952">
        <v>0</v>
      </c>
      <c r="AL64" s="1246">
        <v>0</v>
      </c>
      <c r="AM64" s="1952">
        <f>SUM(AJ64:AL64)</f>
        <v>0</v>
      </c>
      <c r="AN64" s="1954" t="str">
        <f t="shared" ref="AN64:AN69" si="70">IF(AH64&gt;0,(AM64-AH64)/AH64,(IF(AM64=0,"N/A",100%)))</f>
        <v>N/A</v>
      </c>
      <c r="AO64" s="1952">
        <v>0</v>
      </c>
      <c r="AP64" s="1952">
        <v>0</v>
      </c>
      <c r="AQ64" s="1246">
        <v>0</v>
      </c>
      <c r="AR64" s="1952">
        <f>SUM(AO64:AQ64)</f>
        <v>0</v>
      </c>
      <c r="AS64" s="1954" t="str">
        <f t="shared" ref="AS64:AS69" si="71">IF(AM64&gt;0,(AR64-AM64)/AM64,(IF(AR64=0,"N/A",100%)))</f>
        <v>N/A</v>
      </c>
      <c r="AT64" s="124"/>
      <c r="AU64" s="124"/>
      <c r="AV64" s="124"/>
      <c r="AW64" s="124"/>
    </row>
    <row r="65" spans="1:49" x14ac:dyDescent="0.25">
      <c r="A65" s="1319" t="s">
        <v>1038</v>
      </c>
      <c r="B65" s="1949">
        <v>704</v>
      </c>
      <c r="C65" s="1949">
        <v>145</v>
      </c>
      <c r="D65" s="1617">
        <v>0</v>
      </c>
      <c r="E65" s="1951">
        <f>SUM(B65:D65)</f>
        <v>849</v>
      </c>
      <c r="F65" s="1949">
        <v>709</v>
      </c>
      <c r="G65" s="1949">
        <v>162</v>
      </c>
      <c r="H65" s="1617">
        <v>0</v>
      </c>
      <c r="I65" s="1964">
        <f>SUM(F65:H65)</f>
        <v>871</v>
      </c>
      <c r="J65" s="505">
        <f t="shared" si="65"/>
        <v>2.591283863368669E-2</v>
      </c>
      <c r="K65" s="1683">
        <v>870</v>
      </c>
      <c r="L65" s="1246">
        <v>155</v>
      </c>
      <c r="M65" s="1246">
        <v>0</v>
      </c>
      <c r="N65" s="1246">
        <f>SUM(K65:M65)</f>
        <v>1025</v>
      </c>
      <c r="O65" s="1954">
        <f t="shared" si="46"/>
        <v>0.17680826636050517</v>
      </c>
      <c r="P65" s="1952">
        <v>778</v>
      </c>
      <c r="Q65" s="1952">
        <v>81</v>
      </c>
      <c r="R65" s="1246">
        <v>0</v>
      </c>
      <c r="S65" s="1952">
        <f>SUM(P65:R65)</f>
        <v>859</v>
      </c>
      <c r="T65" s="505">
        <f t="shared" si="66"/>
        <v>-0.16195121951219513</v>
      </c>
      <c r="U65" s="1952">
        <v>593</v>
      </c>
      <c r="V65" s="1952">
        <v>124</v>
      </c>
      <c r="W65" s="1246">
        <v>0</v>
      </c>
      <c r="X65" s="1952">
        <f>SUM(U65:W65)</f>
        <v>717</v>
      </c>
      <c r="Y65" s="1954">
        <f t="shared" si="67"/>
        <v>-0.16530849825378346</v>
      </c>
      <c r="Z65" s="1952">
        <v>551</v>
      </c>
      <c r="AA65" s="1952">
        <v>112</v>
      </c>
      <c r="AB65" s="1246">
        <v>0</v>
      </c>
      <c r="AC65" s="1952">
        <f>SUM(Z65:AB65)</f>
        <v>663</v>
      </c>
      <c r="AD65" s="505">
        <f t="shared" si="68"/>
        <v>-7.5313807531380755E-2</v>
      </c>
      <c r="AE65" s="772">
        <v>524</v>
      </c>
      <c r="AF65" s="1952">
        <v>138</v>
      </c>
      <c r="AG65" s="1246">
        <v>0</v>
      </c>
      <c r="AH65" s="1952">
        <f>SUM(AE65:AG65)</f>
        <v>662</v>
      </c>
      <c r="AI65" s="1954">
        <f t="shared" si="69"/>
        <v>-1.5082956259426848E-3</v>
      </c>
      <c r="AJ65" s="772">
        <v>524</v>
      </c>
      <c r="AK65" s="1952">
        <v>130</v>
      </c>
      <c r="AL65" s="1246">
        <v>0</v>
      </c>
      <c r="AM65" s="1952">
        <f>SUM(AJ65:AL65)</f>
        <v>654</v>
      </c>
      <c r="AN65" s="1954">
        <f t="shared" si="70"/>
        <v>-1.2084592145015106E-2</v>
      </c>
      <c r="AO65" s="1952">
        <v>527</v>
      </c>
      <c r="AP65" s="1952">
        <v>220</v>
      </c>
      <c r="AQ65" s="1246">
        <v>0</v>
      </c>
      <c r="AR65" s="1952">
        <f>SUM(AO65:AQ65)</f>
        <v>747</v>
      </c>
      <c r="AS65" s="1954">
        <f t="shared" si="71"/>
        <v>0.14220183486238533</v>
      </c>
      <c r="AT65" s="124"/>
      <c r="AU65" s="124"/>
      <c r="AV65" s="124"/>
      <c r="AW65" s="124"/>
    </row>
    <row r="66" spans="1:49" x14ac:dyDescent="0.25">
      <c r="A66" s="1319" t="s">
        <v>1552</v>
      </c>
      <c r="B66" s="1949">
        <v>0</v>
      </c>
      <c r="C66" s="1949">
        <v>0</v>
      </c>
      <c r="D66" s="1949">
        <v>0</v>
      </c>
      <c r="E66" s="1951">
        <f>SUM(B66:D66)</f>
        <v>0</v>
      </c>
      <c r="F66" s="1949">
        <v>0</v>
      </c>
      <c r="G66" s="1949">
        <v>0</v>
      </c>
      <c r="H66" s="1949">
        <v>0</v>
      </c>
      <c r="I66" s="1964">
        <f>SUM(F66:H66)</f>
        <v>0</v>
      </c>
      <c r="J66" s="505" t="str">
        <f t="shared" si="65"/>
        <v>N/A</v>
      </c>
      <c r="K66" s="1683">
        <v>0</v>
      </c>
      <c r="L66" s="1246">
        <v>0</v>
      </c>
      <c r="M66" s="1246">
        <v>0</v>
      </c>
      <c r="N66" s="1246">
        <f>SUM(K66:M66)</f>
        <v>0</v>
      </c>
      <c r="O66" s="1954" t="str">
        <f t="shared" si="46"/>
        <v>N/A</v>
      </c>
      <c r="P66" s="1952">
        <v>0</v>
      </c>
      <c r="Q66" s="1952">
        <v>0</v>
      </c>
      <c r="R66" s="1952">
        <v>0</v>
      </c>
      <c r="S66" s="1952">
        <f>SUM(P66:R66)</f>
        <v>0</v>
      </c>
      <c r="T66" s="505" t="str">
        <f t="shared" si="66"/>
        <v>N/A</v>
      </c>
      <c r="U66" s="1952">
        <v>0</v>
      </c>
      <c r="V66" s="1952">
        <v>0</v>
      </c>
      <c r="W66" s="1952">
        <v>0</v>
      </c>
      <c r="X66" s="1952">
        <f>SUM(U66:W66)</f>
        <v>0</v>
      </c>
      <c r="Y66" s="1954" t="str">
        <f t="shared" si="67"/>
        <v>N/A</v>
      </c>
      <c r="Z66" s="1952">
        <v>7</v>
      </c>
      <c r="AA66" s="1952">
        <v>7</v>
      </c>
      <c r="AB66" s="1952">
        <v>0</v>
      </c>
      <c r="AC66" s="1952">
        <f>SUM(Z66:AB66)</f>
        <v>14</v>
      </c>
      <c r="AD66" s="505">
        <f t="shared" si="68"/>
        <v>1</v>
      </c>
      <c r="AE66" s="772">
        <v>5</v>
      </c>
      <c r="AF66" s="1952">
        <v>9</v>
      </c>
      <c r="AG66" s="1952">
        <v>0</v>
      </c>
      <c r="AH66" s="1952">
        <f>SUM(AE66:AG66)</f>
        <v>14</v>
      </c>
      <c r="AI66" s="1954">
        <f t="shared" si="69"/>
        <v>0</v>
      </c>
      <c r="AJ66" s="772">
        <v>9</v>
      </c>
      <c r="AK66" s="1952">
        <v>7</v>
      </c>
      <c r="AL66" s="1952">
        <v>0</v>
      </c>
      <c r="AM66" s="1952">
        <f>SUM(AJ66:AL66)</f>
        <v>16</v>
      </c>
      <c r="AN66" s="1954">
        <f t="shared" si="70"/>
        <v>0.14285714285714285</v>
      </c>
      <c r="AO66" s="1952">
        <v>3</v>
      </c>
      <c r="AP66" s="1952">
        <v>12</v>
      </c>
      <c r="AQ66" s="1952">
        <v>0</v>
      </c>
      <c r="AR66" s="1952">
        <f>SUM(AO66:AQ66)</f>
        <v>15</v>
      </c>
      <c r="AS66" s="1954">
        <f t="shared" si="71"/>
        <v>-6.25E-2</v>
      </c>
      <c r="AT66" s="124"/>
      <c r="AU66" s="124"/>
      <c r="AV66" s="124"/>
      <c r="AW66" s="124"/>
    </row>
    <row r="67" spans="1:49" x14ac:dyDescent="0.25">
      <c r="A67" s="1319" t="s">
        <v>1553</v>
      </c>
      <c r="B67" s="1949">
        <v>0</v>
      </c>
      <c r="C67" s="1949">
        <v>0</v>
      </c>
      <c r="D67" s="1949">
        <v>0</v>
      </c>
      <c r="E67" s="1951">
        <f>SUM(B67:D67)</f>
        <v>0</v>
      </c>
      <c r="F67" s="1949">
        <v>0</v>
      </c>
      <c r="G67" s="1949">
        <v>0</v>
      </c>
      <c r="H67" s="1949">
        <v>0</v>
      </c>
      <c r="I67" s="1964">
        <f>SUM(F67:H67)</f>
        <v>0</v>
      </c>
      <c r="J67" s="505" t="str">
        <f t="shared" si="65"/>
        <v>N/A</v>
      </c>
      <c r="K67" s="1683">
        <v>0</v>
      </c>
      <c r="L67" s="1246">
        <v>0</v>
      </c>
      <c r="M67" s="1246">
        <v>0</v>
      </c>
      <c r="N67" s="1246">
        <f>SUM(K67:M67)</f>
        <v>0</v>
      </c>
      <c r="O67" s="1954" t="str">
        <f t="shared" si="46"/>
        <v>N/A</v>
      </c>
      <c r="P67" s="1952">
        <v>0</v>
      </c>
      <c r="Q67" s="1952">
        <v>0</v>
      </c>
      <c r="R67" s="1952">
        <v>0</v>
      </c>
      <c r="S67" s="1952">
        <f>SUM(P67:R67)</f>
        <v>0</v>
      </c>
      <c r="T67" s="505" t="str">
        <f t="shared" si="66"/>
        <v>N/A</v>
      </c>
      <c r="U67" s="1952">
        <v>0</v>
      </c>
      <c r="V67" s="1952">
        <v>0</v>
      </c>
      <c r="W67" s="1952">
        <v>0</v>
      </c>
      <c r="X67" s="1952">
        <f>SUM(U67:W67)</f>
        <v>0</v>
      </c>
      <c r="Y67" s="1954" t="str">
        <f t="shared" si="67"/>
        <v>N/A</v>
      </c>
      <c r="Z67" s="1952">
        <v>25</v>
      </c>
      <c r="AA67" s="1952">
        <v>9</v>
      </c>
      <c r="AB67" s="1952">
        <v>0</v>
      </c>
      <c r="AC67" s="1952">
        <f>SUM(Z67:AB67)</f>
        <v>34</v>
      </c>
      <c r="AD67" s="505">
        <f t="shared" si="68"/>
        <v>1</v>
      </c>
      <c r="AE67" s="772">
        <v>20</v>
      </c>
      <c r="AF67" s="1952">
        <v>9</v>
      </c>
      <c r="AG67" s="1952">
        <v>0</v>
      </c>
      <c r="AH67" s="1952">
        <f>SUM(AE67:AG67)</f>
        <v>29</v>
      </c>
      <c r="AI67" s="1954">
        <f t="shared" si="69"/>
        <v>-0.14705882352941177</v>
      </c>
      <c r="AJ67" s="772">
        <v>15</v>
      </c>
      <c r="AK67" s="1952">
        <v>17</v>
      </c>
      <c r="AL67" s="1952">
        <v>0</v>
      </c>
      <c r="AM67" s="1952">
        <f>SUM(AJ67:AL67)</f>
        <v>32</v>
      </c>
      <c r="AN67" s="1954">
        <f t="shared" si="70"/>
        <v>0.10344827586206896</v>
      </c>
      <c r="AO67" s="1952">
        <v>5</v>
      </c>
      <c r="AP67" s="1952">
        <v>22</v>
      </c>
      <c r="AQ67" s="1952">
        <v>0</v>
      </c>
      <c r="AR67" s="1952">
        <f>SUM(AO67:AQ67)</f>
        <v>27</v>
      </c>
      <c r="AS67" s="1954">
        <f t="shared" si="71"/>
        <v>-0.15625</v>
      </c>
      <c r="AT67" s="124"/>
      <c r="AU67" s="124"/>
      <c r="AV67" s="124"/>
      <c r="AW67" s="124"/>
    </row>
    <row r="68" spans="1:49" x14ac:dyDescent="0.25">
      <c r="A68" s="1319" t="s">
        <v>1554</v>
      </c>
      <c r="B68" s="1949">
        <v>0</v>
      </c>
      <c r="C68" s="1949">
        <v>0</v>
      </c>
      <c r="D68" s="1949">
        <v>0</v>
      </c>
      <c r="E68" s="1951">
        <f>SUM(B68:D68)</f>
        <v>0</v>
      </c>
      <c r="F68" s="1949">
        <v>0</v>
      </c>
      <c r="G68" s="1949">
        <v>0</v>
      </c>
      <c r="H68" s="1949">
        <v>0</v>
      </c>
      <c r="I68" s="1964">
        <f>SUM(F68:H68)</f>
        <v>0</v>
      </c>
      <c r="J68" s="505" t="str">
        <f t="shared" si="65"/>
        <v>N/A</v>
      </c>
      <c r="K68" s="1683">
        <v>0</v>
      </c>
      <c r="L68" s="1246">
        <v>0</v>
      </c>
      <c r="M68" s="1246">
        <v>0</v>
      </c>
      <c r="N68" s="1246">
        <f>SUM(K68:M68)</f>
        <v>0</v>
      </c>
      <c r="O68" s="1954" t="str">
        <f t="shared" si="46"/>
        <v>N/A</v>
      </c>
      <c r="P68" s="1952">
        <v>0</v>
      </c>
      <c r="Q68" s="1952">
        <v>0</v>
      </c>
      <c r="R68" s="1952">
        <v>0</v>
      </c>
      <c r="S68" s="1952">
        <f>SUM(P68:R68)</f>
        <v>0</v>
      </c>
      <c r="T68" s="505" t="str">
        <f t="shared" si="66"/>
        <v>N/A</v>
      </c>
      <c r="U68" s="1952">
        <v>0</v>
      </c>
      <c r="V68" s="1952">
        <v>0</v>
      </c>
      <c r="W68" s="1952">
        <v>0</v>
      </c>
      <c r="X68" s="1952">
        <f>SUM(U68:W68)</f>
        <v>0</v>
      </c>
      <c r="Y68" s="1954" t="str">
        <f t="shared" si="67"/>
        <v>N/A</v>
      </c>
      <c r="Z68" s="1952">
        <v>14</v>
      </c>
      <c r="AA68" s="1952">
        <v>6</v>
      </c>
      <c r="AB68" s="1952">
        <v>0</v>
      </c>
      <c r="AC68" s="1952">
        <f>SUM(Z68:AB68)</f>
        <v>20</v>
      </c>
      <c r="AD68" s="505">
        <f t="shared" si="68"/>
        <v>1</v>
      </c>
      <c r="AE68" s="772">
        <v>12</v>
      </c>
      <c r="AF68" s="1952">
        <v>5</v>
      </c>
      <c r="AG68" s="1952">
        <v>0</v>
      </c>
      <c r="AH68" s="1952">
        <f>SUM(AE68:AG68)</f>
        <v>17</v>
      </c>
      <c r="AI68" s="1954">
        <f t="shared" si="69"/>
        <v>-0.15</v>
      </c>
      <c r="AJ68" s="772">
        <v>12</v>
      </c>
      <c r="AK68" s="1952">
        <v>2</v>
      </c>
      <c r="AL68" s="1952">
        <v>0</v>
      </c>
      <c r="AM68" s="1952">
        <f>SUM(AJ68:AL68)</f>
        <v>14</v>
      </c>
      <c r="AN68" s="1954">
        <f t="shared" si="70"/>
        <v>-0.17647058823529413</v>
      </c>
      <c r="AO68" s="1952">
        <v>7</v>
      </c>
      <c r="AP68" s="1952">
        <v>14</v>
      </c>
      <c r="AQ68" s="1952">
        <v>0</v>
      </c>
      <c r="AR68" s="1952">
        <f>SUM(AO68:AQ68)</f>
        <v>21</v>
      </c>
      <c r="AS68" s="1954">
        <f t="shared" si="71"/>
        <v>0.5</v>
      </c>
      <c r="AT68" s="124"/>
      <c r="AU68" s="124"/>
      <c r="AV68" s="124"/>
      <c r="AW68" s="124"/>
    </row>
    <row r="69" spans="1:49" s="484" customFormat="1" ht="13.8" x14ac:dyDescent="0.25">
      <c r="A69" s="1345" t="s">
        <v>1015</v>
      </c>
      <c r="B69" s="1966">
        <f t="shared" ref="B69:AH69" si="72">SUM(B64:B68)</f>
        <v>740</v>
      </c>
      <c r="C69" s="1966">
        <f t="shared" si="72"/>
        <v>164</v>
      </c>
      <c r="D69" s="1966">
        <f t="shared" si="72"/>
        <v>0</v>
      </c>
      <c r="E69" s="495">
        <f t="shared" si="72"/>
        <v>904</v>
      </c>
      <c r="F69" s="1966">
        <f t="shared" si="72"/>
        <v>756</v>
      </c>
      <c r="G69" s="1966">
        <f t="shared" si="72"/>
        <v>184</v>
      </c>
      <c r="H69" s="1966">
        <f t="shared" si="72"/>
        <v>0</v>
      </c>
      <c r="I69" s="1966">
        <f t="shared" si="72"/>
        <v>940</v>
      </c>
      <c r="J69" s="586">
        <f t="shared" si="65"/>
        <v>3.9823008849557522E-2</v>
      </c>
      <c r="K69" s="1966">
        <f t="shared" si="72"/>
        <v>904</v>
      </c>
      <c r="L69" s="1966">
        <f t="shared" si="72"/>
        <v>175</v>
      </c>
      <c r="M69" s="1966">
        <f t="shared" si="72"/>
        <v>0</v>
      </c>
      <c r="N69" s="1966">
        <f t="shared" si="72"/>
        <v>1079</v>
      </c>
      <c r="O69" s="1965">
        <f t="shared" si="46"/>
        <v>0.14787234042553191</v>
      </c>
      <c r="P69" s="1966">
        <f t="shared" si="72"/>
        <v>817</v>
      </c>
      <c r="Q69" s="1966">
        <f t="shared" si="72"/>
        <v>99</v>
      </c>
      <c r="R69" s="1966">
        <f t="shared" si="72"/>
        <v>0</v>
      </c>
      <c r="S69" s="1966">
        <f t="shared" si="72"/>
        <v>916</v>
      </c>
      <c r="T69" s="586">
        <f t="shared" si="66"/>
        <v>-0.15106580166821132</v>
      </c>
      <c r="U69" s="1966">
        <f t="shared" si="72"/>
        <v>628</v>
      </c>
      <c r="V69" s="1966">
        <f t="shared" si="72"/>
        <v>143</v>
      </c>
      <c r="W69" s="1966">
        <f t="shared" si="72"/>
        <v>0</v>
      </c>
      <c r="X69" s="1966">
        <f t="shared" si="72"/>
        <v>771</v>
      </c>
      <c r="Y69" s="1965">
        <f t="shared" si="67"/>
        <v>-0.15829694323144106</v>
      </c>
      <c r="Z69" s="1966">
        <f t="shared" si="72"/>
        <v>597</v>
      </c>
      <c r="AA69" s="1966">
        <f t="shared" si="72"/>
        <v>134</v>
      </c>
      <c r="AB69" s="1966">
        <f t="shared" si="72"/>
        <v>0</v>
      </c>
      <c r="AC69" s="1966">
        <f t="shared" si="72"/>
        <v>731</v>
      </c>
      <c r="AD69" s="586">
        <f t="shared" si="68"/>
        <v>-5.1880674448767837E-2</v>
      </c>
      <c r="AE69" s="1042">
        <f t="shared" si="72"/>
        <v>561</v>
      </c>
      <c r="AF69" s="1966">
        <f t="shared" si="72"/>
        <v>161</v>
      </c>
      <c r="AG69" s="1966">
        <f t="shared" si="72"/>
        <v>0</v>
      </c>
      <c r="AH69" s="1966">
        <f t="shared" si="72"/>
        <v>722</v>
      </c>
      <c r="AI69" s="1965">
        <f t="shared" si="69"/>
        <v>-1.2311901504787962E-2</v>
      </c>
      <c r="AJ69" s="1042">
        <f>SUM(AJ64:AJ68)</f>
        <v>560</v>
      </c>
      <c r="AK69" s="1966">
        <f>SUM(AK64:AK68)</f>
        <v>156</v>
      </c>
      <c r="AL69" s="1966">
        <f>SUM(AL64:AL68)</f>
        <v>0</v>
      </c>
      <c r="AM69" s="1966">
        <f>SUM(AM64:AM68)</f>
        <v>716</v>
      </c>
      <c r="AN69" s="1965">
        <f t="shared" si="70"/>
        <v>-8.3102493074792248E-3</v>
      </c>
      <c r="AO69" s="1966">
        <f>SUM(AO64:AO68)</f>
        <v>542</v>
      </c>
      <c r="AP69" s="1966">
        <f>SUM(AP64:AP68)</f>
        <v>268</v>
      </c>
      <c r="AQ69" s="1966">
        <f>SUM(AQ64:AQ68)</f>
        <v>0</v>
      </c>
      <c r="AR69" s="1966">
        <f>SUM(AR64:AR68)</f>
        <v>810</v>
      </c>
      <c r="AS69" s="1965">
        <f t="shared" si="71"/>
        <v>0.13128491620111732</v>
      </c>
      <c r="AT69" s="124"/>
      <c r="AU69" s="124"/>
      <c r="AV69" s="124"/>
      <c r="AW69" s="124"/>
    </row>
    <row r="70" spans="1:49" x14ac:dyDescent="0.25">
      <c r="A70" s="1318" t="s">
        <v>436</v>
      </c>
      <c r="B70" s="1946"/>
      <c r="C70" s="1947"/>
      <c r="D70" s="1947"/>
      <c r="E70" s="1948"/>
      <c r="F70" s="1946"/>
      <c r="G70" s="1947"/>
      <c r="H70" s="1947"/>
      <c r="I70" s="1963"/>
      <c r="J70" s="281"/>
      <c r="K70" s="1869"/>
      <c r="L70" s="1877"/>
      <c r="M70" s="1877"/>
      <c r="N70" s="1877"/>
      <c r="O70" s="1948"/>
      <c r="P70" s="1946"/>
      <c r="Q70" s="1947"/>
      <c r="R70" s="1947"/>
      <c r="S70" s="1947"/>
      <c r="T70" s="1948"/>
      <c r="U70" s="1946"/>
      <c r="V70" s="1947"/>
      <c r="W70" s="1947"/>
      <c r="X70" s="1947"/>
      <c r="Y70" s="1948"/>
      <c r="Z70" s="1969"/>
      <c r="AA70" s="1969"/>
      <c r="AB70" s="1947"/>
      <c r="AC70" s="1947"/>
      <c r="AD70" s="281"/>
      <c r="AE70" s="1982"/>
      <c r="AF70" s="1969"/>
      <c r="AG70" s="1947"/>
      <c r="AH70" s="1947"/>
      <c r="AI70" s="1948"/>
      <c r="AJ70" s="1982"/>
      <c r="AK70" s="1969"/>
      <c r="AL70" s="1947"/>
      <c r="AM70" s="1947"/>
      <c r="AN70" s="1948"/>
      <c r="AO70" s="1969"/>
      <c r="AP70" s="1969"/>
      <c r="AQ70" s="1947"/>
      <c r="AR70" s="1947"/>
      <c r="AS70" s="1948"/>
      <c r="AT70" s="124"/>
      <c r="AU70" s="124"/>
      <c r="AV70" s="124"/>
      <c r="AW70" s="124"/>
    </row>
    <row r="71" spans="1:49" x14ac:dyDescent="0.25">
      <c r="A71" s="1344" t="s">
        <v>1046</v>
      </c>
      <c r="B71" s="1949">
        <v>0</v>
      </c>
      <c r="C71" s="1949">
        <v>0</v>
      </c>
      <c r="D71" s="1617">
        <v>0</v>
      </c>
      <c r="E71" s="1951">
        <f>SUM(B71:D71)</f>
        <v>0</v>
      </c>
      <c r="F71" s="1949">
        <v>78</v>
      </c>
      <c r="G71" s="1949">
        <v>0</v>
      </c>
      <c r="H71" s="1617">
        <v>0</v>
      </c>
      <c r="I71" s="1964">
        <f>SUM(F71:H71)</f>
        <v>78</v>
      </c>
      <c r="J71" s="505">
        <f t="shared" ref="J71:J76" si="73">IF(E71&gt;0,(I71-E71)/E71,(IF(I71=0,"N/A",100%)))</f>
        <v>1</v>
      </c>
      <c r="K71" s="1683">
        <v>0</v>
      </c>
      <c r="L71" s="1246">
        <v>0</v>
      </c>
      <c r="M71" s="1246">
        <v>0</v>
      </c>
      <c r="N71" s="1246">
        <f>SUM(K71:M71)</f>
        <v>0</v>
      </c>
      <c r="O71" s="1954">
        <f t="shared" si="46"/>
        <v>-1</v>
      </c>
      <c r="P71" s="1952">
        <v>111</v>
      </c>
      <c r="Q71" s="1952">
        <v>0</v>
      </c>
      <c r="R71" s="1246">
        <v>0</v>
      </c>
      <c r="S71" s="1952">
        <f>SUM(P71:R71)</f>
        <v>111</v>
      </c>
      <c r="T71" s="505">
        <f t="shared" ref="T71:T76" si="74">IF(N71&gt;0,(S71-N71)/N71,(IF(S71=0,"N/A",100%)))</f>
        <v>1</v>
      </c>
      <c r="U71" s="1952">
        <v>105</v>
      </c>
      <c r="V71" s="1952">
        <v>0</v>
      </c>
      <c r="W71" s="1246">
        <v>0</v>
      </c>
      <c r="X71" s="1952">
        <f>SUM(U71:W71)</f>
        <v>105</v>
      </c>
      <c r="Y71" s="1954">
        <f t="shared" ref="Y71:Y76" si="75">IF(S71&gt;0,(X71-S71)/S71,(IF(X71=0,"N/A",100%)))</f>
        <v>-5.4054054054054057E-2</v>
      </c>
      <c r="Z71" s="1952">
        <v>75</v>
      </c>
      <c r="AA71" s="1952">
        <v>0</v>
      </c>
      <c r="AB71" s="1246">
        <v>0</v>
      </c>
      <c r="AC71" s="1952">
        <f>SUM(Z71:AB71)</f>
        <v>75</v>
      </c>
      <c r="AD71" s="505">
        <f t="shared" ref="AD71:AD76" si="76">IF(X71&gt;0,(AC71-X71)/X71,(IF(AC71=0,"N/A",100%)))</f>
        <v>-0.2857142857142857</v>
      </c>
      <c r="AE71" s="772">
        <v>72</v>
      </c>
      <c r="AF71" s="1952">
        <v>0</v>
      </c>
      <c r="AG71" s="1246">
        <v>0</v>
      </c>
      <c r="AH71" s="1952">
        <f>SUM(AE71:AG71)</f>
        <v>72</v>
      </c>
      <c r="AI71" s="1954">
        <f t="shared" ref="AI71:AI76" si="77">IF(AC71&gt;0,(AH71-AC71)/AC71,(IF(AH71=0,"N/A",100%)))</f>
        <v>-0.04</v>
      </c>
      <c r="AJ71" s="772">
        <v>0</v>
      </c>
      <c r="AK71" s="1952">
        <v>0</v>
      </c>
      <c r="AL71" s="1246">
        <v>0</v>
      </c>
      <c r="AM71" s="1952">
        <f>SUM(AJ71:AL71)</f>
        <v>0</v>
      </c>
      <c r="AN71" s="1954">
        <f t="shared" ref="AN71:AN76" si="78">IF(AH71&gt;0,(AM71-AH71)/AH71,(IF(AM71=0,"N/A",100%)))</f>
        <v>-1</v>
      </c>
      <c r="AO71" s="1952">
        <v>87</v>
      </c>
      <c r="AP71" s="1952">
        <v>0</v>
      </c>
      <c r="AQ71" s="1246">
        <v>0</v>
      </c>
      <c r="AR71" s="1952">
        <f>SUM(AO71:AQ71)</f>
        <v>87</v>
      </c>
      <c r="AS71" s="1954">
        <f t="shared" ref="AS71:AS76" si="79">IF(AM71&gt;0,(AR71-AM71)/AM71,(IF(AR71=0,"N/A",100%)))</f>
        <v>1</v>
      </c>
      <c r="AT71" s="124"/>
      <c r="AU71" s="124"/>
      <c r="AV71" s="124"/>
      <c r="AW71" s="124"/>
    </row>
    <row r="72" spans="1:49" x14ac:dyDescent="0.25">
      <c r="A72" s="1319" t="s">
        <v>1041</v>
      </c>
      <c r="B72" s="1949">
        <v>789</v>
      </c>
      <c r="C72" s="1949">
        <v>498</v>
      </c>
      <c r="D72" s="1617">
        <v>0</v>
      </c>
      <c r="E72" s="1951">
        <f>SUM(B72:D72)</f>
        <v>1287</v>
      </c>
      <c r="F72" s="1949">
        <v>984</v>
      </c>
      <c r="G72" s="1949">
        <v>415</v>
      </c>
      <c r="H72" s="1617">
        <v>0</v>
      </c>
      <c r="I72" s="1964">
        <f>SUM(F72:H72)</f>
        <v>1399</v>
      </c>
      <c r="J72" s="505">
        <f t="shared" si="73"/>
        <v>8.7024087024087024E-2</v>
      </c>
      <c r="K72" s="1683">
        <v>1245</v>
      </c>
      <c r="L72" s="1246">
        <v>525</v>
      </c>
      <c r="M72" s="1246">
        <v>0</v>
      </c>
      <c r="N72" s="1246">
        <f>SUM(K72:M72)</f>
        <v>1770</v>
      </c>
      <c r="O72" s="1954">
        <f t="shared" si="46"/>
        <v>0.2651894210150107</v>
      </c>
      <c r="P72" s="1952">
        <v>1317</v>
      </c>
      <c r="Q72" s="1952">
        <v>339</v>
      </c>
      <c r="R72" s="1246">
        <v>0</v>
      </c>
      <c r="S72" s="1952">
        <f>SUM(P72:R72)</f>
        <v>1656</v>
      </c>
      <c r="T72" s="505">
        <f t="shared" si="74"/>
        <v>-6.4406779661016947E-2</v>
      </c>
      <c r="U72" s="1952">
        <v>1035</v>
      </c>
      <c r="V72" s="1952">
        <v>435</v>
      </c>
      <c r="W72" s="1246">
        <v>0</v>
      </c>
      <c r="X72" s="1952">
        <f>SUM(U72:W72)</f>
        <v>1470</v>
      </c>
      <c r="Y72" s="1954">
        <f t="shared" si="75"/>
        <v>-0.11231884057971014</v>
      </c>
      <c r="Z72" s="1952">
        <v>996</v>
      </c>
      <c r="AA72" s="1952">
        <v>567</v>
      </c>
      <c r="AB72" s="1246">
        <v>0</v>
      </c>
      <c r="AC72" s="1952">
        <f>SUM(Z72:AB72)</f>
        <v>1563</v>
      </c>
      <c r="AD72" s="505">
        <f t="shared" si="76"/>
        <v>6.3265306122448975E-2</v>
      </c>
      <c r="AE72" s="772">
        <v>1020</v>
      </c>
      <c r="AF72" s="1952">
        <v>403</v>
      </c>
      <c r="AG72" s="1246">
        <v>0</v>
      </c>
      <c r="AH72" s="1952">
        <f>SUM(AE72:AG72)</f>
        <v>1423</v>
      </c>
      <c r="AI72" s="1954">
        <f t="shared" si="77"/>
        <v>-8.9571337172104928E-2</v>
      </c>
      <c r="AJ72" s="772">
        <v>1102</v>
      </c>
      <c r="AK72" s="1952">
        <v>387</v>
      </c>
      <c r="AL72" s="1246">
        <v>0</v>
      </c>
      <c r="AM72" s="1952">
        <f>SUM(AJ72:AL72)</f>
        <v>1489</v>
      </c>
      <c r="AN72" s="1954">
        <f t="shared" si="78"/>
        <v>4.6380885453267746E-2</v>
      </c>
      <c r="AO72" s="1952">
        <v>993</v>
      </c>
      <c r="AP72" s="1952">
        <v>392</v>
      </c>
      <c r="AQ72" s="1246">
        <v>0</v>
      </c>
      <c r="AR72" s="1952">
        <f>SUM(AO72:AQ72)</f>
        <v>1385</v>
      </c>
      <c r="AS72" s="1954">
        <f t="shared" si="79"/>
        <v>-6.9845533915379454E-2</v>
      </c>
      <c r="AT72" s="124"/>
      <c r="AU72" s="124"/>
      <c r="AV72" s="124"/>
      <c r="AW72" s="124"/>
    </row>
    <row r="73" spans="1:49" x14ac:dyDescent="0.25">
      <c r="A73" s="1319" t="s">
        <v>1047</v>
      </c>
      <c r="B73" s="1949">
        <v>0</v>
      </c>
      <c r="C73" s="1949">
        <v>354</v>
      </c>
      <c r="D73" s="1617">
        <v>0</v>
      </c>
      <c r="E73" s="1951">
        <f>SUM(B73:D73)</f>
        <v>354</v>
      </c>
      <c r="F73" s="1949">
        <v>0</v>
      </c>
      <c r="G73" s="1949">
        <v>297</v>
      </c>
      <c r="H73" s="1617">
        <v>0</v>
      </c>
      <c r="I73" s="1964">
        <f>SUM(F73:H73)</f>
        <v>297</v>
      </c>
      <c r="J73" s="505">
        <f t="shared" si="73"/>
        <v>-0.16101694915254236</v>
      </c>
      <c r="K73" s="1683">
        <v>0</v>
      </c>
      <c r="L73" s="1246">
        <v>204</v>
      </c>
      <c r="M73" s="1246">
        <v>0</v>
      </c>
      <c r="N73" s="1246">
        <f>SUM(K73:M73)</f>
        <v>204</v>
      </c>
      <c r="O73" s="1954">
        <f t="shared" si="46"/>
        <v>-0.31313131313131315</v>
      </c>
      <c r="P73" s="1952">
        <v>0</v>
      </c>
      <c r="Q73" s="1952">
        <v>105</v>
      </c>
      <c r="R73" s="1246">
        <v>0</v>
      </c>
      <c r="S73" s="1952">
        <f>SUM(P73:R73)</f>
        <v>105</v>
      </c>
      <c r="T73" s="505">
        <f t="shared" si="74"/>
        <v>-0.48529411764705882</v>
      </c>
      <c r="U73" s="1952">
        <v>168</v>
      </c>
      <c r="V73" s="1952">
        <v>81</v>
      </c>
      <c r="W73" s="1246">
        <v>0</v>
      </c>
      <c r="X73" s="1952">
        <f>SUM(U73:W73)</f>
        <v>249</v>
      </c>
      <c r="Y73" s="1954">
        <f t="shared" si="75"/>
        <v>1.3714285714285714</v>
      </c>
      <c r="Z73" s="1952">
        <v>0</v>
      </c>
      <c r="AA73" s="1952">
        <v>156</v>
      </c>
      <c r="AB73" s="1246">
        <v>0</v>
      </c>
      <c r="AC73" s="1952">
        <f>SUM(Z73:AB73)</f>
        <v>156</v>
      </c>
      <c r="AD73" s="505">
        <f t="shared" si="76"/>
        <v>-0.37349397590361444</v>
      </c>
      <c r="AE73" s="772">
        <v>207</v>
      </c>
      <c r="AF73" s="1952">
        <v>3</v>
      </c>
      <c r="AG73" s="1246">
        <v>0</v>
      </c>
      <c r="AH73" s="1952">
        <f>SUM(AE73:AG73)</f>
        <v>210</v>
      </c>
      <c r="AI73" s="1954">
        <f t="shared" si="77"/>
        <v>0.34615384615384615</v>
      </c>
      <c r="AJ73" s="772">
        <v>207</v>
      </c>
      <c r="AK73" s="1952">
        <v>90</v>
      </c>
      <c r="AL73" s="1246">
        <v>0</v>
      </c>
      <c r="AM73" s="1952">
        <f>SUM(AJ73:AL73)</f>
        <v>297</v>
      </c>
      <c r="AN73" s="1954">
        <f t="shared" si="78"/>
        <v>0.41428571428571431</v>
      </c>
      <c r="AO73" s="1952">
        <v>0</v>
      </c>
      <c r="AP73" s="1952">
        <v>420</v>
      </c>
      <c r="AQ73" s="1246">
        <v>0</v>
      </c>
      <c r="AR73" s="1952">
        <f>SUM(AO73:AQ73)</f>
        <v>420</v>
      </c>
      <c r="AS73" s="1954">
        <f t="shared" si="79"/>
        <v>0.41414141414141414</v>
      </c>
      <c r="AT73" s="124"/>
      <c r="AU73" s="124"/>
      <c r="AV73" s="124"/>
      <c r="AW73" s="124"/>
    </row>
    <row r="74" spans="1:49" x14ac:dyDescent="0.25">
      <c r="A74" s="1319" t="s">
        <v>1048</v>
      </c>
      <c r="B74" s="1949">
        <v>489</v>
      </c>
      <c r="C74" s="1949">
        <v>81</v>
      </c>
      <c r="D74" s="1617">
        <v>0</v>
      </c>
      <c r="E74" s="1951">
        <f>SUM(B74:D74)</f>
        <v>570</v>
      </c>
      <c r="F74" s="1949">
        <v>549</v>
      </c>
      <c r="G74" s="1949">
        <v>87</v>
      </c>
      <c r="H74" s="1617">
        <v>0</v>
      </c>
      <c r="I74" s="1964">
        <f>SUM(F74:H74)</f>
        <v>636</v>
      </c>
      <c r="J74" s="505">
        <f t="shared" si="73"/>
        <v>0.11578947368421053</v>
      </c>
      <c r="K74" s="1683">
        <v>501</v>
      </c>
      <c r="L74" s="1246">
        <v>108</v>
      </c>
      <c r="M74" s="1246">
        <v>0</v>
      </c>
      <c r="N74" s="1246">
        <f>SUM(K74:M74)</f>
        <v>609</v>
      </c>
      <c r="O74" s="1954">
        <f>IF(I74&gt;0,(N74-I74)/I74,(IF(N74=0,"N/A",100%)))</f>
        <v>-4.2452830188679243E-2</v>
      </c>
      <c r="P74" s="1952">
        <v>507</v>
      </c>
      <c r="Q74" s="1952">
        <v>120</v>
      </c>
      <c r="R74" s="1246">
        <v>0</v>
      </c>
      <c r="S74" s="1952">
        <f>SUM(P74:R74)</f>
        <v>627</v>
      </c>
      <c r="T74" s="505">
        <f t="shared" si="74"/>
        <v>2.9556650246305417E-2</v>
      </c>
      <c r="U74" s="1952">
        <v>504</v>
      </c>
      <c r="V74" s="1952">
        <v>87</v>
      </c>
      <c r="W74" s="1246">
        <v>0</v>
      </c>
      <c r="X74" s="1952">
        <f>SUM(U74:W74)</f>
        <v>591</v>
      </c>
      <c r="Y74" s="1954">
        <f t="shared" si="75"/>
        <v>-5.7416267942583733E-2</v>
      </c>
      <c r="Z74" s="1952">
        <v>480</v>
      </c>
      <c r="AA74" s="1952">
        <v>162</v>
      </c>
      <c r="AB74" s="1246">
        <v>0</v>
      </c>
      <c r="AC74" s="1952">
        <f>SUM(Z74:AB74)</f>
        <v>642</v>
      </c>
      <c r="AD74" s="505">
        <f t="shared" si="76"/>
        <v>8.6294416243654817E-2</v>
      </c>
      <c r="AE74" s="772">
        <v>267</v>
      </c>
      <c r="AF74" s="1952">
        <v>54</v>
      </c>
      <c r="AG74" s="1246">
        <v>0</v>
      </c>
      <c r="AH74" s="1952">
        <f>SUM(AE74:AG74)</f>
        <v>321</v>
      </c>
      <c r="AI74" s="1954">
        <f t="shared" si="77"/>
        <v>-0.5</v>
      </c>
      <c r="AJ74" s="772">
        <v>318</v>
      </c>
      <c r="AK74" s="1952">
        <v>60</v>
      </c>
      <c r="AL74" s="1246">
        <v>0</v>
      </c>
      <c r="AM74" s="1952">
        <f>SUM(AJ74:AL74)</f>
        <v>378</v>
      </c>
      <c r="AN74" s="1954">
        <f t="shared" si="78"/>
        <v>0.17757009345794392</v>
      </c>
      <c r="AO74" s="1952">
        <v>450</v>
      </c>
      <c r="AP74" s="1952">
        <v>54</v>
      </c>
      <c r="AQ74" s="1246">
        <v>0</v>
      </c>
      <c r="AR74" s="1952">
        <f>SUM(AO74:AQ74)</f>
        <v>504</v>
      </c>
      <c r="AS74" s="1954">
        <f t="shared" si="79"/>
        <v>0.33333333333333331</v>
      </c>
      <c r="AT74" s="124"/>
      <c r="AU74" s="124"/>
      <c r="AV74" s="124"/>
      <c r="AW74" s="124"/>
    </row>
    <row r="75" spans="1:49" x14ac:dyDescent="0.25">
      <c r="A75" s="1346" t="s">
        <v>1437</v>
      </c>
      <c r="B75" s="1949">
        <v>24</v>
      </c>
      <c r="C75" s="1949">
        <v>0</v>
      </c>
      <c r="D75" s="1617">
        <v>0</v>
      </c>
      <c r="E75" s="1951">
        <f>SUM(B75:D75)</f>
        <v>24</v>
      </c>
      <c r="F75" s="1949">
        <v>141</v>
      </c>
      <c r="G75" s="1949">
        <v>0</v>
      </c>
      <c r="H75" s="1617">
        <v>0</v>
      </c>
      <c r="I75" s="1964">
        <f>SUM(F75:H75)</f>
        <v>141</v>
      </c>
      <c r="J75" s="505">
        <f t="shared" si="73"/>
        <v>4.875</v>
      </c>
      <c r="K75" s="1683">
        <v>177</v>
      </c>
      <c r="L75" s="1246">
        <v>0</v>
      </c>
      <c r="M75" s="1246">
        <v>0</v>
      </c>
      <c r="N75" s="1246">
        <f>SUM(K75:M75)</f>
        <v>177</v>
      </c>
      <c r="O75" s="1954">
        <f t="shared" si="46"/>
        <v>0.25531914893617019</v>
      </c>
      <c r="P75" s="1952">
        <v>171</v>
      </c>
      <c r="Q75" s="1952">
        <v>0</v>
      </c>
      <c r="R75" s="1246">
        <v>0</v>
      </c>
      <c r="S75" s="1952">
        <f>SUM(P75:R75)</f>
        <v>171</v>
      </c>
      <c r="T75" s="505">
        <f t="shared" si="74"/>
        <v>-3.3898305084745763E-2</v>
      </c>
      <c r="U75" s="1952">
        <v>126</v>
      </c>
      <c r="V75" s="1952">
        <v>0</v>
      </c>
      <c r="W75" s="1246">
        <v>0</v>
      </c>
      <c r="X75" s="1952">
        <f>SUM(U75:W75)</f>
        <v>126</v>
      </c>
      <c r="Y75" s="1954">
        <f t="shared" si="75"/>
        <v>-0.26315789473684209</v>
      </c>
      <c r="Z75" s="1952">
        <v>105</v>
      </c>
      <c r="AA75" s="1952">
        <v>0</v>
      </c>
      <c r="AB75" s="1246">
        <v>0</v>
      </c>
      <c r="AC75" s="1952">
        <f>SUM(Z75:AB75)</f>
        <v>105</v>
      </c>
      <c r="AD75" s="505">
        <f t="shared" si="76"/>
        <v>-0.16666666666666666</v>
      </c>
      <c r="AE75" s="772">
        <v>87</v>
      </c>
      <c r="AF75" s="1952">
        <v>69</v>
      </c>
      <c r="AG75" s="1246">
        <v>0</v>
      </c>
      <c r="AH75" s="1952">
        <f>SUM(AE75:AG75)</f>
        <v>156</v>
      </c>
      <c r="AI75" s="1954">
        <f t="shared" si="77"/>
        <v>0.48571428571428571</v>
      </c>
      <c r="AJ75" s="772">
        <v>177</v>
      </c>
      <c r="AK75" s="1952">
        <v>0</v>
      </c>
      <c r="AL75" s="1246">
        <v>0</v>
      </c>
      <c r="AM75" s="1952">
        <f>SUM(AJ75:AL75)</f>
        <v>177</v>
      </c>
      <c r="AN75" s="1954">
        <f t="shared" si="78"/>
        <v>0.13461538461538461</v>
      </c>
      <c r="AO75" s="1952">
        <v>75</v>
      </c>
      <c r="AP75" s="1952">
        <v>174</v>
      </c>
      <c r="AQ75" s="1246">
        <v>0</v>
      </c>
      <c r="AR75" s="1952">
        <f>SUM(AO75:AQ75)</f>
        <v>249</v>
      </c>
      <c r="AS75" s="1954">
        <f t="shared" si="79"/>
        <v>0.40677966101694918</v>
      </c>
      <c r="AT75" s="124"/>
      <c r="AU75" s="124"/>
      <c r="AV75" s="124"/>
      <c r="AW75" s="124"/>
    </row>
    <row r="76" spans="1:49" s="484" customFormat="1" ht="13.8" x14ac:dyDescent="0.25">
      <c r="A76" s="1345" t="s">
        <v>1015</v>
      </c>
      <c r="B76" s="1966">
        <f t="shared" ref="B76:I76" si="80">SUM(B71:B75)</f>
        <v>1302</v>
      </c>
      <c r="C76" s="1966">
        <f t="shared" si="80"/>
        <v>933</v>
      </c>
      <c r="D76" s="1966">
        <f t="shared" si="80"/>
        <v>0</v>
      </c>
      <c r="E76" s="512">
        <f t="shared" si="80"/>
        <v>2235</v>
      </c>
      <c r="F76" s="1966">
        <f t="shared" si="80"/>
        <v>1752</v>
      </c>
      <c r="G76" s="1966">
        <f t="shared" si="80"/>
        <v>799</v>
      </c>
      <c r="H76" s="1966">
        <f t="shared" si="80"/>
        <v>0</v>
      </c>
      <c r="I76" s="1970">
        <f t="shared" si="80"/>
        <v>2551</v>
      </c>
      <c r="J76" s="586">
        <f t="shared" si="73"/>
        <v>0.14138702460850111</v>
      </c>
      <c r="K76" s="1732">
        <f>SUM(K71:K75)</f>
        <v>1923</v>
      </c>
      <c r="L76" s="1259">
        <f>SUM(L71:L75)</f>
        <v>837</v>
      </c>
      <c r="M76" s="1259">
        <f>SUM(M71:M75)</f>
        <v>0</v>
      </c>
      <c r="N76" s="1259">
        <f>SUM(N71:N75)</f>
        <v>2760</v>
      </c>
      <c r="O76" s="1965">
        <f t="shared" si="46"/>
        <v>8.1928655429243435E-2</v>
      </c>
      <c r="P76" s="1966">
        <f>SUM(P71:P75)</f>
        <v>2106</v>
      </c>
      <c r="Q76" s="1966">
        <f>SUM(Q71:Q75)</f>
        <v>564</v>
      </c>
      <c r="R76" s="1966">
        <f>SUM(R71:R75)</f>
        <v>0</v>
      </c>
      <c r="S76" s="512">
        <f>SUM(S71:S75)</f>
        <v>2670</v>
      </c>
      <c r="T76" s="586">
        <f t="shared" si="74"/>
        <v>-3.2608695652173912E-2</v>
      </c>
      <c r="U76" s="1966">
        <f>SUM(U71:U75)</f>
        <v>1938</v>
      </c>
      <c r="V76" s="1966">
        <f>SUM(V71:V75)</f>
        <v>603</v>
      </c>
      <c r="W76" s="1966">
        <f>SUM(W71:W75)</f>
        <v>0</v>
      </c>
      <c r="X76" s="1259">
        <f>SUM(X71:X75)</f>
        <v>2541</v>
      </c>
      <c r="Y76" s="1965">
        <f t="shared" si="75"/>
        <v>-4.8314606741573035E-2</v>
      </c>
      <c r="Z76" s="1966">
        <f>SUM(Z71:Z75)</f>
        <v>1656</v>
      </c>
      <c r="AA76" s="1966">
        <f>SUM(AA71:AA75)</f>
        <v>885</v>
      </c>
      <c r="AB76" s="1966">
        <f>SUM(AB71:AB75)</f>
        <v>0</v>
      </c>
      <c r="AC76" s="1259">
        <f>SUM(AC71:AC75)</f>
        <v>2541</v>
      </c>
      <c r="AD76" s="586">
        <f t="shared" si="76"/>
        <v>0</v>
      </c>
      <c r="AE76" s="1042">
        <f>SUM(AE71:AE75)</f>
        <v>1653</v>
      </c>
      <c r="AF76" s="1966">
        <f>SUM(AF71:AF75)</f>
        <v>529</v>
      </c>
      <c r="AG76" s="1966">
        <f>SUM(AG71:AG75)</f>
        <v>0</v>
      </c>
      <c r="AH76" s="1259">
        <f>SUM(AH71:AH75)</f>
        <v>2182</v>
      </c>
      <c r="AI76" s="1965">
        <f t="shared" si="77"/>
        <v>-0.14128295946477765</v>
      </c>
      <c r="AJ76" s="1042">
        <f>SUM(AJ71:AJ75)</f>
        <v>1804</v>
      </c>
      <c r="AK76" s="1966">
        <f>SUM(AK71:AK75)</f>
        <v>537</v>
      </c>
      <c r="AL76" s="1966">
        <f>SUM(AL71:AL75)</f>
        <v>0</v>
      </c>
      <c r="AM76" s="1259">
        <f>SUM(AM71:AM75)</f>
        <v>2341</v>
      </c>
      <c r="AN76" s="1965">
        <f t="shared" si="78"/>
        <v>7.2868927589367555E-2</v>
      </c>
      <c r="AO76" s="1966">
        <f>SUM(AO71:AO75)</f>
        <v>1605</v>
      </c>
      <c r="AP76" s="1966">
        <f>SUM(AP71:AP75)</f>
        <v>1040</v>
      </c>
      <c r="AQ76" s="1966">
        <f>SUM(AQ71:AQ75)</f>
        <v>0</v>
      </c>
      <c r="AR76" s="1259">
        <f>SUM(AR71:AR75)</f>
        <v>2645</v>
      </c>
      <c r="AS76" s="1965">
        <f t="shared" si="79"/>
        <v>0.12985903460059803</v>
      </c>
      <c r="AT76" s="124"/>
      <c r="AU76" s="124"/>
      <c r="AV76" s="124"/>
      <c r="AW76" s="124"/>
    </row>
    <row r="77" spans="1:49" x14ac:dyDescent="0.25">
      <c r="A77" s="1318" t="s">
        <v>418</v>
      </c>
      <c r="B77" s="1946"/>
      <c r="C77" s="1947"/>
      <c r="D77" s="1947"/>
      <c r="E77" s="1948"/>
      <c r="F77" s="1946"/>
      <c r="G77" s="1947"/>
      <c r="H77" s="1947"/>
      <c r="I77" s="1963"/>
      <c r="J77" s="281"/>
      <c r="K77" s="1869"/>
      <c r="L77" s="1877"/>
      <c r="M77" s="1877"/>
      <c r="N77" s="1877"/>
      <c r="O77" s="1948"/>
      <c r="P77" s="1946"/>
      <c r="Q77" s="1947"/>
      <c r="R77" s="1947"/>
      <c r="S77" s="1947"/>
      <c r="T77" s="1948"/>
      <c r="U77" s="1946"/>
      <c r="V77" s="1947"/>
      <c r="W77" s="1947"/>
      <c r="X77" s="1947"/>
      <c r="Y77" s="1948"/>
      <c r="Z77" s="1946"/>
      <c r="AA77" s="1947"/>
      <c r="AB77" s="1947"/>
      <c r="AC77" s="1947"/>
      <c r="AD77" s="281"/>
      <c r="AE77" s="1039"/>
      <c r="AF77" s="1947"/>
      <c r="AG77" s="1947"/>
      <c r="AH77" s="1947"/>
      <c r="AI77" s="1948"/>
      <c r="AJ77" s="1039"/>
      <c r="AK77" s="1947"/>
      <c r="AL77" s="1947"/>
      <c r="AM77" s="1947"/>
      <c r="AN77" s="1948"/>
      <c r="AO77" s="1946"/>
      <c r="AP77" s="1947"/>
      <c r="AQ77" s="1947"/>
      <c r="AR77" s="1947"/>
      <c r="AS77" s="1948"/>
      <c r="AT77" s="124"/>
      <c r="AU77" s="124"/>
      <c r="AV77" s="124"/>
      <c r="AW77" s="124"/>
    </row>
    <row r="78" spans="1:49" x14ac:dyDescent="0.25">
      <c r="A78" s="1319" t="s">
        <v>1674</v>
      </c>
      <c r="B78" s="1949">
        <v>0</v>
      </c>
      <c r="C78" s="1949">
        <v>0</v>
      </c>
      <c r="D78" s="1617">
        <v>0</v>
      </c>
      <c r="E78" s="1951">
        <f t="shared" ref="E78:E83" si="81">SUM(B78:D78)</f>
        <v>0</v>
      </c>
      <c r="F78" s="1949">
        <v>0</v>
      </c>
      <c r="G78" s="1949">
        <v>0</v>
      </c>
      <c r="H78" s="1617">
        <v>0</v>
      </c>
      <c r="I78" s="1964">
        <f t="shared" ref="I78:I83" si="82">SUM(F78:H78)</f>
        <v>0</v>
      </c>
      <c r="J78" s="505" t="str">
        <f t="shared" ref="J78:J85" si="83">IF(E78&gt;0,(I78-E78)/E78,(IF(I78=0,"N/A",100%)))</f>
        <v>N/A</v>
      </c>
      <c r="K78" s="1683">
        <v>0</v>
      </c>
      <c r="L78" s="1246">
        <v>0</v>
      </c>
      <c r="M78" s="1246">
        <v>0</v>
      </c>
      <c r="N78" s="1246">
        <f t="shared" ref="N78:N83" si="84">SUM(K78:M78)</f>
        <v>0</v>
      </c>
      <c r="O78" s="1954" t="str">
        <f>IF(I78&gt;0,(N78-I78)/I78,(IF(N78=0,"N/A",100%)))</f>
        <v>N/A</v>
      </c>
      <c r="P78" s="1953">
        <v>0</v>
      </c>
      <c r="Q78" s="1952">
        <v>0</v>
      </c>
      <c r="R78" s="1246">
        <v>0</v>
      </c>
      <c r="S78" s="1952">
        <f t="shared" ref="S78:S83" si="85">SUM(P78:R78)</f>
        <v>0</v>
      </c>
      <c r="T78" s="505" t="str">
        <f>IF(N78&gt;0,(S78-N78)/N78,(IF(S78=0,"N/A",100%)))</f>
        <v>N/A</v>
      </c>
      <c r="U78" s="1952">
        <v>0</v>
      </c>
      <c r="V78" s="1952">
        <v>0</v>
      </c>
      <c r="W78" s="1246">
        <v>0</v>
      </c>
      <c r="X78" s="1952">
        <f t="shared" ref="X78:X83" si="86">SUM(U78:W78)</f>
        <v>0</v>
      </c>
      <c r="Y78" s="1954" t="str">
        <f>IF(S78&gt;0,(X78-S78)/S78,(IF(X78=0,"N/A",100%)))</f>
        <v>N/A</v>
      </c>
      <c r="Z78" s="1952">
        <v>0</v>
      </c>
      <c r="AA78" s="1952">
        <v>0</v>
      </c>
      <c r="AB78" s="1246">
        <v>0</v>
      </c>
      <c r="AC78" s="1952">
        <f t="shared" ref="AC78:AC83" si="87">SUM(Z78:AB78)</f>
        <v>0</v>
      </c>
      <c r="AD78" s="505" t="str">
        <f>IF(X78&gt;0,(AC78-X78)/X78,(IF(AC78=0,"N/A",100%)))</f>
        <v>N/A</v>
      </c>
      <c r="AE78" s="772">
        <v>0</v>
      </c>
      <c r="AF78" s="1952">
        <v>0</v>
      </c>
      <c r="AG78" s="1246">
        <v>0</v>
      </c>
      <c r="AH78" s="1952">
        <f t="shared" ref="AH78:AH83" si="88">SUM(AE78:AG78)</f>
        <v>0</v>
      </c>
      <c r="AI78" s="1954" t="str">
        <f>IF(AC78&gt;0,(AH78-AC78)/AC78,(IF(AH78=0,"N/A",100%)))</f>
        <v>N/A</v>
      </c>
      <c r="AJ78" s="772">
        <v>57</v>
      </c>
      <c r="AK78" s="1952">
        <v>0</v>
      </c>
      <c r="AL78" s="1246">
        <v>0</v>
      </c>
      <c r="AM78" s="1952">
        <f t="shared" ref="AM78:AM83" si="89">SUM(AJ78:AL78)</f>
        <v>57</v>
      </c>
      <c r="AN78" s="1954">
        <f>IF(AH78&gt;0,(AM78-AH78)/AH78,(IF(AM78=0,"N/A",100%)))</f>
        <v>1</v>
      </c>
      <c r="AO78" s="1952">
        <v>57</v>
      </c>
      <c r="AP78" s="1952">
        <v>0</v>
      </c>
      <c r="AQ78" s="1246">
        <v>0</v>
      </c>
      <c r="AR78" s="1952">
        <f t="shared" ref="AR78:AR83" si="90">SUM(AO78:AQ78)</f>
        <v>57</v>
      </c>
      <c r="AS78" s="1954">
        <f t="shared" ref="AS78:AS85" si="91">IF(AM78&gt;0,(AR78-AM78)/AM78,(IF(AR78=0,"N/A",100%)))</f>
        <v>0</v>
      </c>
      <c r="AT78" s="124"/>
      <c r="AU78" s="124"/>
      <c r="AV78" s="124"/>
      <c r="AW78" s="124"/>
    </row>
    <row r="79" spans="1:49" x14ac:dyDescent="0.25">
      <c r="A79" s="1319" t="s">
        <v>1044</v>
      </c>
      <c r="B79" s="1949">
        <v>2451</v>
      </c>
      <c r="C79" s="1949">
        <v>267</v>
      </c>
      <c r="D79" s="1617">
        <v>0</v>
      </c>
      <c r="E79" s="1951">
        <f t="shared" si="81"/>
        <v>2718</v>
      </c>
      <c r="F79" s="1949">
        <v>2835</v>
      </c>
      <c r="G79" s="1949">
        <v>267</v>
      </c>
      <c r="H79" s="1617">
        <v>0</v>
      </c>
      <c r="I79" s="1964">
        <f t="shared" si="82"/>
        <v>3102</v>
      </c>
      <c r="J79" s="505">
        <f t="shared" si="83"/>
        <v>0.141280353200883</v>
      </c>
      <c r="K79" s="1683">
        <v>3327</v>
      </c>
      <c r="L79" s="1246">
        <v>295</v>
      </c>
      <c r="M79" s="1246">
        <v>0</v>
      </c>
      <c r="N79" s="1246">
        <f t="shared" si="84"/>
        <v>3622</v>
      </c>
      <c r="O79" s="1954">
        <f t="shared" si="46"/>
        <v>0.16763378465506126</v>
      </c>
      <c r="P79" s="1953">
        <v>3531</v>
      </c>
      <c r="Q79" s="1952">
        <v>304</v>
      </c>
      <c r="R79" s="1246">
        <v>0</v>
      </c>
      <c r="S79" s="1952">
        <f t="shared" si="85"/>
        <v>3835</v>
      </c>
      <c r="T79" s="505">
        <f t="shared" ref="T79:T85" si="92">IF(N79&gt;0,(S79-N79)/N79,(IF(S79=0,"N/A",100%)))</f>
        <v>5.8807288790723354E-2</v>
      </c>
      <c r="U79" s="1952">
        <v>3805</v>
      </c>
      <c r="V79" s="1952">
        <v>231</v>
      </c>
      <c r="W79" s="1246">
        <v>0</v>
      </c>
      <c r="X79" s="1952">
        <f t="shared" si="86"/>
        <v>4036</v>
      </c>
      <c r="Y79" s="1954">
        <f t="shared" ref="Y79:Y85" si="93">IF(S79&gt;0,(X79-S79)/S79,(IF(X79=0,"N/A",100%)))</f>
        <v>5.241199478487614E-2</v>
      </c>
      <c r="Z79" s="1952">
        <v>3475</v>
      </c>
      <c r="AA79" s="1952">
        <v>333</v>
      </c>
      <c r="AB79" s="1246">
        <v>0</v>
      </c>
      <c r="AC79" s="1952">
        <f t="shared" si="87"/>
        <v>3808</v>
      </c>
      <c r="AD79" s="505">
        <f t="shared" ref="AD79:AD85" si="94">IF(X79&gt;0,(AC79-X79)/X79,(IF(AC79=0,"N/A",100%)))</f>
        <v>-5.6491575817641228E-2</v>
      </c>
      <c r="AE79" s="772">
        <v>3026</v>
      </c>
      <c r="AF79" s="1952">
        <v>327</v>
      </c>
      <c r="AG79" s="1246">
        <v>0</v>
      </c>
      <c r="AH79" s="1952">
        <f t="shared" si="88"/>
        <v>3353</v>
      </c>
      <c r="AI79" s="1954">
        <f t="shared" ref="AI79:AI85" si="95">IF(AC79&gt;0,(AH79-AC79)/AC79,(IF(AH79=0,"N/A",100%)))</f>
        <v>-0.11948529411764706</v>
      </c>
      <c r="AJ79" s="772">
        <v>2989</v>
      </c>
      <c r="AK79" s="1952">
        <v>218</v>
      </c>
      <c r="AL79" s="1246">
        <v>0</v>
      </c>
      <c r="AM79" s="1952">
        <f t="shared" si="89"/>
        <v>3207</v>
      </c>
      <c r="AN79" s="1954">
        <f t="shared" ref="AN79:AN85" si="96">IF(AH79&gt;0,(AM79-AH79)/AH79,(IF(AM79=0,"N/A",100%)))</f>
        <v>-4.3543095735162539E-2</v>
      </c>
      <c r="AO79" s="1952">
        <v>1461</v>
      </c>
      <c r="AP79" s="1952">
        <v>1536</v>
      </c>
      <c r="AQ79" s="1246">
        <v>0</v>
      </c>
      <c r="AR79" s="1952">
        <f t="shared" si="90"/>
        <v>2997</v>
      </c>
      <c r="AS79" s="1954">
        <f t="shared" si="91"/>
        <v>-6.5481758652946684E-2</v>
      </c>
      <c r="AT79" s="124"/>
      <c r="AU79" s="124"/>
      <c r="AV79" s="124"/>
      <c r="AW79" s="124"/>
    </row>
    <row r="80" spans="1:49" x14ac:dyDescent="0.25">
      <c r="A80" s="1319" t="s">
        <v>1555</v>
      </c>
      <c r="B80" s="1949">
        <v>0</v>
      </c>
      <c r="C80" s="1949">
        <v>0</v>
      </c>
      <c r="D80" s="1617">
        <v>0</v>
      </c>
      <c r="E80" s="1951">
        <f t="shared" si="81"/>
        <v>0</v>
      </c>
      <c r="F80" s="1949">
        <v>0</v>
      </c>
      <c r="G80" s="1949">
        <v>0</v>
      </c>
      <c r="H80" s="1617">
        <v>0</v>
      </c>
      <c r="I80" s="1964">
        <f t="shared" si="82"/>
        <v>0</v>
      </c>
      <c r="J80" s="505" t="str">
        <f t="shared" si="83"/>
        <v>N/A</v>
      </c>
      <c r="K80" s="1683">
        <v>0</v>
      </c>
      <c r="L80" s="1246">
        <v>0</v>
      </c>
      <c r="M80" s="1246">
        <v>0</v>
      </c>
      <c r="N80" s="1246">
        <f t="shared" si="84"/>
        <v>0</v>
      </c>
      <c r="O80" s="1954" t="str">
        <f>IF(I80&gt;0,(N80-I80)/I80,(IF(N80=0,"N/A",100%)))</f>
        <v>N/A</v>
      </c>
      <c r="P80" s="1952">
        <v>0</v>
      </c>
      <c r="Q80" s="1952">
        <v>0</v>
      </c>
      <c r="R80" s="1246">
        <v>0</v>
      </c>
      <c r="S80" s="1952">
        <f t="shared" si="85"/>
        <v>0</v>
      </c>
      <c r="T80" s="505" t="str">
        <f t="shared" si="92"/>
        <v>N/A</v>
      </c>
      <c r="U80" s="1952">
        <v>0</v>
      </c>
      <c r="V80" s="1952">
        <v>0</v>
      </c>
      <c r="W80" s="1246">
        <v>0</v>
      </c>
      <c r="X80" s="1952">
        <f t="shared" si="86"/>
        <v>0</v>
      </c>
      <c r="Y80" s="1954" t="str">
        <f t="shared" si="93"/>
        <v>N/A</v>
      </c>
      <c r="Z80" s="1952">
        <v>0</v>
      </c>
      <c r="AA80" s="1952">
        <v>0</v>
      </c>
      <c r="AB80" s="1246">
        <v>0</v>
      </c>
      <c r="AC80" s="1952">
        <f t="shared" si="87"/>
        <v>0</v>
      </c>
      <c r="AD80" s="505" t="str">
        <f t="shared" si="94"/>
        <v>N/A</v>
      </c>
      <c r="AE80" s="772">
        <v>6</v>
      </c>
      <c r="AF80" s="1952">
        <v>0</v>
      </c>
      <c r="AG80" s="1246">
        <v>0</v>
      </c>
      <c r="AH80" s="1952">
        <f t="shared" si="88"/>
        <v>6</v>
      </c>
      <c r="AI80" s="1954">
        <f t="shared" si="95"/>
        <v>1</v>
      </c>
      <c r="AJ80" s="772">
        <v>12</v>
      </c>
      <c r="AK80" s="1952">
        <v>0</v>
      </c>
      <c r="AL80" s="1246">
        <v>0</v>
      </c>
      <c r="AM80" s="1952">
        <f t="shared" si="89"/>
        <v>12</v>
      </c>
      <c r="AN80" s="1954">
        <f t="shared" si="96"/>
        <v>1</v>
      </c>
      <c r="AO80" s="1952">
        <v>54</v>
      </c>
      <c r="AP80" s="1952">
        <v>0</v>
      </c>
      <c r="AQ80" s="1246">
        <v>0</v>
      </c>
      <c r="AR80" s="1952">
        <f t="shared" si="90"/>
        <v>54</v>
      </c>
      <c r="AS80" s="1954">
        <f t="shared" si="91"/>
        <v>3.5</v>
      </c>
      <c r="AT80" s="124"/>
      <c r="AU80" s="124"/>
      <c r="AV80" s="124"/>
      <c r="AW80" s="124"/>
    </row>
    <row r="81" spans="1:49" x14ac:dyDescent="0.25">
      <c r="A81" s="1319" t="s">
        <v>1045</v>
      </c>
      <c r="B81" s="1949">
        <v>108</v>
      </c>
      <c r="C81" s="1949">
        <v>0</v>
      </c>
      <c r="D81" s="1617">
        <v>0</v>
      </c>
      <c r="E81" s="1951">
        <f t="shared" si="81"/>
        <v>108</v>
      </c>
      <c r="F81" s="1949">
        <v>111</v>
      </c>
      <c r="G81" s="1949">
        <v>0</v>
      </c>
      <c r="H81" s="1617">
        <v>0</v>
      </c>
      <c r="I81" s="1964">
        <f t="shared" si="82"/>
        <v>111</v>
      </c>
      <c r="J81" s="505">
        <f t="shared" si="83"/>
        <v>2.7777777777777776E-2</v>
      </c>
      <c r="K81" s="1683">
        <v>114</v>
      </c>
      <c r="L81" s="1246">
        <v>3</v>
      </c>
      <c r="M81" s="1246">
        <v>0</v>
      </c>
      <c r="N81" s="1246">
        <f t="shared" si="84"/>
        <v>117</v>
      </c>
      <c r="O81" s="1954">
        <f t="shared" si="46"/>
        <v>5.4054054054054057E-2</v>
      </c>
      <c r="P81" s="1952">
        <v>120</v>
      </c>
      <c r="Q81" s="1952">
        <v>0</v>
      </c>
      <c r="R81" s="1246">
        <v>0</v>
      </c>
      <c r="S81" s="1952">
        <f t="shared" si="85"/>
        <v>120</v>
      </c>
      <c r="T81" s="505">
        <f t="shared" si="92"/>
        <v>2.564102564102564E-2</v>
      </c>
      <c r="U81" s="1952">
        <v>132</v>
      </c>
      <c r="V81" s="1952">
        <v>9</v>
      </c>
      <c r="W81" s="1246">
        <v>0</v>
      </c>
      <c r="X81" s="1952">
        <f t="shared" si="86"/>
        <v>141</v>
      </c>
      <c r="Y81" s="1954">
        <f t="shared" si="93"/>
        <v>0.17499999999999999</v>
      </c>
      <c r="Z81" s="1952">
        <v>204</v>
      </c>
      <c r="AA81" s="1952">
        <v>6</v>
      </c>
      <c r="AB81" s="1246">
        <v>0</v>
      </c>
      <c r="AC81" s="1952">
        <f t="shared" si="87"/>
        <v>210</v>
      </c>
      <c r="AD81" s="505">
        <f t="shared" si="94"/>
        <v>0.48936170212765956</v>
      </c>
      <c r="AE81" s="772">
        <v>207</v>
      </c>
      <c r="AF81" s="1952">
        <v>0</v>
      </c>
      <c r="AG81" s="1246">
        <v>0</v>
      </c>
      <c r="AH81" s="1952">
        <f t="shared" si="88"/>
        <v>207</v>
      </c>
      <c r="AI81" s="1954">
        <f t="shared" si="95"/>
        <v>-1.4285714285714285E-2</v>
      </c>
      <c r="AJ81" s="772">
        <v>168</v>
      </c>
      <c r="AK81" s="1952">
        <v>0</v>
      </c>
      <c r="AL81" s="1246">
        <v>0</v>
      </c>
      <c r="AM81" s="1952">
        <f t="shared" si="89"/>
        <v>168</v>
      </c>
      <c r="AN81" s="1954">
        <f t="shared" si="96"/>
        <v>-0.18840579710144928</v>
      </c>
      <c r="AO81" s="1952">
        <v>117</v>
      </c>
      <c r="AP81" s="1952">
        <v>24</v>
      </c>
      <c r="AQ81" s="1246">
        <v>0</v>
      </c>
      <c r="AR81" s="1952">
        <f t="shared" si="90"/>
        <v>141</v>
      </c>
      <c r="AS81" s="1954">
        <f t="shared" si="91"/>
        <v>-0.16071428571428573</v>
      </c>
      <c r="AT81" s="124"/>
      <c r="AU81" s="124"/>
      <c r="AV81" s="124"/>
      <c r="AW81" s="124"/>
    </row>
    <row r="82" spans="1:49" x14ac:dyDescent="0.25">
      <c r="A82" s="1319" t="s">
        <v>1739</v>
      </c>
      <c r="B82" s="1949">
        <v>0</v>
      </c>
      <c r="C82" s="1949">
        <v>0</v>
      </c>
      <c r="D82" s="1617">
        <v>0</v>
      </c>
      <c r="E82" s="1951">
        <f t="shared" si="81"/>
        <v>0</v>
      </c>
      <c r="F82" s="1949">
        <v>0</v>
      </c>
      <c r="G82" s="1949">
        <v>0</v>
      </c>
      <c r="H82" s="1617">
        <v>0</v>
      </c>
      <c r="I82" s="1964">
        <f t="shared" si="82"/>
        <v>0</v>
      </c>
      <c r="J82" s="505" t="str">
        <f t="shared" si="83"/>
        <v>N/A</v>
      </c>
      <c r="K82" s="1683">
        <v>0</v>
      </c>
      <c r="L82" s="1246">
        <v>0</v>
      </c>
      <c r="M82" s="1246">
        <v>0</v>
      </c>
      <c r="N82" s="1246">
        <f t="shared" si="84"/>
        <v>0</v>
      </c>
      <c r="O82" s="1954" t="str">
        <f t="shared" si="46"/>
        <v>N/A</v>
      </c>
      <c r="P82" s="1952">
        <v>0</v>
      </c>
      <c r="Q82" s="1952">
        <v>0</v>
      </c>
      <c r="R82" s="1246">
        <v>0</v>
      </c>
      <c r="S82" s="1952">
        <f t="shared" si="85"/>
        <v>0</v>
      </c>
      <c r="T82" s="505" t="str">
        <f t="shared" si="92"/>
        <v>N/A</v>
      </c>
      <c r="U82" s="1952">
        <v>0</v>
      </c>
      <c r="V82" s="1952">
        <v>0</v>
      </c>
      <c r="W82" s="1246">
        <v>0</v>
      </c>
      <c r="X82" s="1952">
        <f t="shared" si="86"/>
        <v>0</v>
      </c>
      <c r="Y82" s="1954" t="str">
        <f t="shared" si="93"/>
        <v>N/A</v>
      </c>
      <c r="Z82" s="1952">
        <v>0</v>
      </c>
      <c r="AA82" s="1952">
        <v>0</v>
      </c>
      <c r="AB82" s="1246">
        <v>0</v>
      </c>
      <c r="AC82" s="1952">
        <f t="shared" si="87"/>
        <v>0</v>
      </c>
      <c r="AD82" s="505" t="str">
        <f t="shared" si="94"/>
        <v>N/A</v>
      </c>
      <c r="AE82" s="772">
        <v>0</v>
      </c>
      <c r="AF82" s="1952">
        <v>0</v>
      </c>
      <c r="AG82" s="1246">
        <v>0</v>
      </c>
      <c r="AH82" s="1952">
        <f t="shared" si="88"/>
        <v>0</v>
      </c>
      <c r="AI82" s="1954" t="str">
        <f t="shared" si="95"/>
        <v>N/A</v>
      </c>
      <c r="AJ82" s="772">
        <v>0</v>
      </c>
      <c r="AK82" s="1952">
        <v>0</v>
      </c>
      <c r="AL82" s="1246">
        <v>0</v>
      </c>
      <c r="AM82" s="1952">
        <f t="shared" si="89"/>
        <v>0</v>
      </c>
      <c r="AN82" s="1954" t="str">
        <f t="shared" si="96"/>
        <v>N/A</v>
      </c>
      <c r="AO82" s="1952">
        <v>15</v>
      </c>
      <c r="AP82" s="1952">
        <v>0</v>
      </c>
      <c r="AQ82" s="1246">
        <v>0</v>
      </c>
      <c r="AR82" s="1952">
        <f t="shared" si="90"/>
        <v>15</v>
      </c>
      <c r="AS82" s="1954">
        <f t="shared" si="91"/>
        <v>1</v>
      </c>
      <c r="AT82" s="124"/>
      <c r="AU82" s="124"/>
      <c r="AV82" s="124"/>
      <c r="AW82" s="124"/>
    </row>
    <row r="83" spans="1:49" x14ac:dyDescent="0.25">
      <c r="A83" s="1319" t="s">
        <v>1049</v>
      </c>
      <c r="B83" s="1949">
        <v>801</v>
      </c>
      <c r="C83" s="1949">
        <v>18</v>
      </c>
      <c r="D83" s="1617">
        <v>0</v>
      </c>
      <c r="E83" s="1951">
        <f t="shared" si="81"/>
        <v>819</v>
      </c>
      <c r="F83" s="1949">
        <v>762</v>
      </c>
      <c r="G83" s="1949">
        <v>26</v>
      </c>
      <c r="H83" s="1617">
        <v>0</v>
      </c>
      <c r="I83" s="1964">
        <f t="shared" si="82"/>
        <v>788</v>
      </c>
      <c r="J83" s="505">
        <f t="shared" si="83"/>
        <v>-3.7851037851037848E-2</v>
      </c>
      <c r="K83" s="1683">
        <v>817</v>
      </c>
      <c r="L83" s="1246">
        <v>60</v>
      </c>
      <c r="M83" s="1246">
        <v>0</v>
      </c>
      <c r="N83" s="1246">
        <f t="shared" si="84"/>
        <v>877</v>
      </c>
      <c r="O83" s="1954">
        <f t="shared" si="46"/>
        <v>0.11294416243654823</v>
      </c>
      <c r="P83" s="1952">
        <v>1086</v>
      </c>
      <c r="Q83" s="1952">
        <v>66</v>
      </c>
      <c r="R83" s="1246">
        <v>0</v>
      </c>
      <c r="S83" s="1952">
        <f t="shared" si="85"/>
        <v>1152</v>
      </c>
      <c r="T83" s="505">
        <f t="shared" si="92"/>
        <v>0.31356898517673887</v>
      </c>
      <c r="U83" s="1952">
        <v>1278</v>
      </c>
      <c r="V83" s="1952">
        <v>69</v>
      </c>
      <c r="W83" s="1246">
        <v>0</v>
      </c>
      <c r="X83" s="1952">
        <f t="shared" si="86"/>
        <v>1347</v>
      </c>
      <c r="Y83" s="1954">
        <f t="shared" si="93"/>
        <v>0.16927083333333334</v>
      </c>
      <c r="Z83" s="1952">
        <v>1443</v>
      </c>
      <c r="AA83" s="1952">
        <v>96</v>
      </c>
      <c r="AB83" s="1246">
        <v>0</v>
      </c>
      <c r="AC83" s="1952">
        <f t="shared" si="87"/>
        <v>1539</v>
      </c>
      <c r="AD83" s="505">
        <f t="shared" si="94"/>
        <v>0.14253897550111358</v>
      </c>
      <c r="AE83" s="772">
        <v>1377</v>
      </c>
      <c r="AF83" s="1952">
        <v>49</v>
      </c>
      <c r="AG83" s="1246">
        <v>0</v>
      </c>
      <c r="AH83" s="1952">
        <f t="shared" si="88"/>
        <v>1426</v>
      </c>
      <c r="AI83" s="1954">
        <f t="shared" si="95"/>
        <v>-7.3424301494476929E-2</v>
      </c>
      <c r="AJ83" s="772">
        <v>1170</v>
      </c>
      <c r="AK83" s="1952">
        <v>39</v>
      </c>
      <c r="AL83" s="1246">
        <v>0</v>
      </c>
      <c r="AM83" s="1952">
        <f t="shared" si="89"/>
        <v>1209</v>
      </c>
      <c r="AN83" s="1954">
        <f t="shared" si="96"/>
        <v>-0.15217391304347827</v>
      </c>
      <c r="AO83" s="1952">
        <v>957</v>
      </c>
      <c r="AP83" s="1952">
        <v>126</v>
      </c>
      <c r="AQ83" s="1246">
        <v>0</v>
      </c>
      <c r="AR83" s="1952">
        <f t="shared" si="90"/>
        <v>1083</v>
      </c>
      <c r="AS83" s="1954">
        <f t="shared" si="91"/>
        <v>-0.10421836228287841</v>
      </c>
      <c r="AT83" s="124"/>
      <c r="AU83" s="124"/>
      <c r="AV83" s="124"/>
      <c r="AW83" s="124"/>
    </row>
    <row r="84" spans="1:49" s="484" customFormat="1" ht="13.8" x14ac:dyDescent="0.25">
      <c r="A84" s="1345" t="s">
        <v>1015</v>
      </c>
      <c r="B84" s="1966">
        <f t="shared" ref="B84:I84" si="97">SUM(B78:B83)</f>
        <v>3360</v>
      </c>
      <c r="C84" s="1966">
        <f t="shared" si="97"/>
        <v>285</v>
      </c>
      <c r="D84" s="1966">
        <f t="shared" si="97"/>
        <v>0</v>
      </c>
      <c r="E84" s="495">
        <f t="shared" si="97"/>
        <v>3645</v>
      </c>
      <c r="F84" s="1966">
        <f t="shared" si="97"/>
        <v>3708</v>
      </c>
      <c r="G84" s="1966">
        <f t="shared" si="97"/>
        <v>293</v>
      </c>
      <c r="H84" s="1966">
        <f t="shared" si="97"/>
        <v>0</v>
      </c>
      <c r="I84" s="1966">
        <f t="shared" si="97"/>
        <v>4001</v>
      </c>
      <c r="J84" s="586">
        <f t="shared" si="83"/>
        <v>9.7668038408779148E-2</v>
      </c>
      <c r="K84" s="1966">
        <f>SUM(K78:K83)</f>
        <v>4258</v>
      </c>
      <c r="L84" s="1966">
        <f>SUM(L78:L83)</f>
        <v>358</v>
      </c>
      <c r="M84" s="1966">
        <f>SUM(M78:M83)</f>
        <v>0</v>
      </c>
      <c r="N84" s="1966">
        <f>SUM(N78:N83)</f>
        <v>4616</v>
      </c>
      <c r="O84" s="1965">
        <f t="shared" si="46"/>
        <v>0.15371157210697325</v>
      </c>
      <c r="P84" s="1966">
        <f>SUM(P78:P83)</f>
        <v>4737</v>
      </c>
      <c r="Q84" s="1966">
        <f>SUM(Q78:Q83)</f>
        <v>370</v>
      </c>
      <c r="R84" s="1966">
        <f>SUM(R78:R83)</f>
        <v>0</v>
      </c>
      <c r="S84" s="1966">
        <f>SUM(S78:S83)</f>
        <v>5107</v>
      </c>
      <c r="T84" s="586">
        <f t="shared" si="92"/>
        <v>0.10636915077989602</v>
      </c>
      <c r="U84" s="1966">
        <f>SUM(U78:U83)</f>
        <v>5215</v>
      </c>
      <c r="V84" s="1966">
        <f>SUM(V78:V83)</f>
        <v>309</v>
      </c>
      <c r="W84" s="1966">
        <f>SUM(W78:W83)</f>
        <v>0</v>
      </c>
      <c r="X84" s="1966">
        <f>SUM(X78:X83)</f>
        <v>5524</v>
      </c>
      <c r="Y84" s="1965">
        <f t="shared" si="93"/>
        <v>8.1652633640101821E-2</v>
      </c>
      <c r="Z84" s="1966">
        <f>SUM(Z78:Z83)</f>
        <v>5122</v>
      </c>
      <c r="AA84" s="1966">
        <f>SUM(AA78:AA83)</f>
        <v>435</v>
      </c>
      <c r="AB84" s="1966">
        <f>SUM(AB78:AB83)</f>
        <v>0</v>
      </c>
      <c r="AC84" s="1966">
        <f>SUM(AC78:AC83)</f>
        <v>5557</v>
      </c>
      <c r="AD84" s="586">
        <f t="shared" si="94"/>
        <v>5.9739319333816073E-3</v>
      </c>
      <c r="AE84" s="1042">
        <f>SUM(AE78:AE83)</f>
        <v>4616</v>
      </c>
      <c r="AF84" s="1966">
        <f>SUM(AF78:AF83)</f>
        <v>376</v>
      </c>
      <c r="AG84" s="1966">
        <f>SUM(AG78:AG83)</f>
        <v>0</v>
      </c>
      <c r="AH84" s="1966">
        <f>SUM(AH78:AH83)</f>
        <v>4992</v>
      </c>
      <c r="AI84" s="1965">
        <f t="shared" si="95"/>
        <v>-0.10167356487313299</v>
      </c>
      <c r="AJ84" s="1042">
        <f>SUM(AJ78:AJ83)</f>
        <v>4396</v>
      </c>
      <c r="AK84" s="1966">
        <f>SUM(AK78:AK83)</f>
        <v>257</v>
      </c>
      <c r="AL84" s="1966">
        <f>SUM(AL78:AL83)</f>
        <v>0</v>
      </c>
      <c r="AM84" s="1966">
        <f>SUM(AM78:AM83)</f>
        <v>4653</v>
      </c>
      <c r="AN84" s="1965">
        <f t="shared" si="96"/>
        <v>-6.7908653846153841E-2</v>
      </c>
      <c r="AO84" s="1966">
        <f>SUM(AO78:AO83)</f>
        <v>2661</v>
      </c>
      <c r="AP84" s="1966">
        <f>SUM(AP78:AP83)</f>
        <v>1686</v>
      </c>
      <c r="AQ84" s="1966">
        <f>SUM(AQ78:AQ83)</f>
        <v>0</v>
      </c>
      <c r="AR84" s="1966">
        <f>SUM(AR78:AR83)</f>
        <v>4347</v>
      </c>
      <c r="AS84" s="1965">
        <f t="shared" si="91"/>
        <v>-6.5764023210831718E-2</v>
      </c>
      <c r="AT84" s="124"/>
      <c r="AU84" s="124"/>
      <c r="AV84" s="124"/>
      <c r="AW84" s="124"/>
    </row>
    <row r="85" spans="1:49" s="502" customFormat="1" ht="16.2" thickBot="1" x14ac:dyDescent="0.35">
      <c r="A85" s="1328" t="s">
        <v>423</v>
      </c>
      <c r="B85" s="988">
        <f t="shared" ref="B85:I85" si="98">+B54+B62+B69+B76+B84</f>
        <v>7261</v>
      </c>
      <c r="C85" s="988">
        <f t="shared" si="98"/>
        <v>2519</v>
      </c>
      <c r="D85" s="988">
        <f t="shared" si="98"/>
        <v>0</v>
      </c>
      <c r="E85" s="1337">
        <f t="shared" si="98"/>
        <v>9780</v>
      </c>
      <c r="F85" s="988">
        <f t="shared" si="98"/>
        <v>8325</v>
      </c>
      <c r="G85" s="988">
        <f t="shared" si="98"/>
        <v>2472</v>
      </c>
      <c r="H85" s="988">
        <f t="shared" si="98"/>
        <v>0</v>
      </c>
      <c r="I85" s="1049">
        <f t="shared" si="98"/>
        <v>10797</v>
      </c>
      <c r="J85" s="975">
        <f t="shared" si="83"/>
        <v>0.10398773006134969</v>
      </c>
      <c r="K85" s="988">
        <f>+K54+K62+K69+K76+K84</f>
        <v>9868</v>
      </c>
      <c r="L85" s="974">
        <f>+L54+L62+L69+L76+L84</f>
        <v>2544</v>
      </c>
      <c r="M85" s="974">
        <f>+M54+M62+M69+M76+M84</f>
        <v>0</v>
      </c>
      <c r="N85" s="974">
        <f>+N54+N62+N69+N76+N84</f>
        <v>12412</v>
      </c>
      <c r="O85" s="1050">
        <f t="shared" si="46"/>
        <v>0.14957858664443827</v>
      </c>
      <c r="P85" s="988">
        <f>+P54+P62+P69+P76+P84</f>
        <v>10897</v>
      </c>
      <c r="Q85" s="988">
        <f>+Q54+Q62+Q69+Q76+Q84</f>
        <v>2155</v>
      </c>
      <c r="R85" s="988">
        <f>+R54+R62+R69+R76+R84</f>
        <v>0</v>
      </c>
      <c r="S85" s="988">
        <f>+S54+S62+S69+S76+S84</f>
        <v>13052</v>
      </c>
      <c r="T85" s="975">
        <f t="shared" si="92"/>
        <v>5.1563003544956493E-2</v>
      </c>
      <c r="U85" s="988">
        <f>+U54+U62+U69+U76+U84</f>
        <v>10814</v>
      </c>
      <c r="V85" s="988">
        <f>+V54+V62+V69+V76+V84</f>
        <v>2359</v>
      </c>
      <c r="W85" s="988">
        <f>+W54+W62+W69+W76+W84</f>
        <v>0</v>
      </c>
      <c r="X85" s="988">
        <f>+X54+X62+X69+X76+X84</f>
        <v>13173</v>
      </c>
      <c r="Y85" s="975">
        <f t="shared" si="93"/>
        <v>9.2706098682194295E-3</v>
      </c>
      <c r="Z85" s="988">
        <f>+Z54+Z62+Z69+Z76+Z84</f>
        <v>9796</v>
      </c>
      <c r="AA85" s="988">
        <f>+AA54+AA62+AA69+AA76+AA84</f>
        <v>2753</v>
      </c>
      <c r="AB85" s="988">
        <f>+AB54+AB62+AB69+AB76+AB84</f>
        <v>3</v>
      </c>
      <c r="AC85" s="988">
        <f>+AC54+AC62+AC69+AC76+AC84</f>
        <v>12552</v>
      </c>
      <c r="AD85" s="975">
        <f t="shared" si="94"/>
        <v>-4.7141881120473697E-2</v>
      </c>
      <c r="AE85" s="1329">
        <f>+AE54+AE62+AE69+AE76+AE84</f>
        <v>9085</v>
      </c>
      <c r="AF85" s="988">
        <f>+AF54+AF62+AF69+AF76+AF84</f>
        <v>2504</v>
      </c>
      <c r="AG85" s="988">
        <f>+AG54+AG62+AG69+AG76+AG84</f>
        <v>0</v>
      </c>
      <c r="AH85" s="988">
        <f>+AH54+AH62+AH69+AH76+AH84</f>
        <v>11589</v>
      </c>
      <c r="AI85" s="975">
        <f t="shared" si="95"/>
        <v>-7.6720841300191203E-2</v>
      </c>
      <c r="AJ85" s="1329">
        <f>+AJ54+AJ62+AJ69+AJ76+AJ84</f>
        <v>8602</v>
      </c>
      <c r="AK85" s="988">
        <f>+AK54+AK62+AK69+AK76+AK84</f>
        <v>2030</v>
      </c>
      <c r="AL85" s="988">
        <f>+AL54+AL62+AL69+AL76+AL84</f>
        <v>0</v>
      </c>
      <c r="AM85" s="988">
        <f>+AM54+AM62+AM69+AM76+AM84</f>
        <v>10632</v>
      </c>
      <c r="AN85" s="975">
        <f t="shared" si="96"/>
        <v>-8.2578307015273106E-2</v>
      </c>
      <c r="AO85" s="988">
        <f>+AO54+AO62+AO69+AO76+AO84</f>
        <v>5951</v>
      </c>
      <c r="AP85" s="988">
        <f>+AP54+AP62+AP69+AP76+AP84</f>
        <v>4523</v>
      </c>
      <c r="AQ85" s="988">
        <f>+AQ54+AQ62+AQ69+AQ76+AQ84</f>
        <v>0</v>
      </c>
      <c r="AR85" s="988">
        <f>+AR54+AR62+AR69+AR76+AR84</f>
        <v>10474</v>
      </c>
      <c r="AS85" s="975">
        <f t="shared" si="91"/>
        <v>-1.4860797592174567E-2</v>
      </c>
      <c r="AT85" s="124"/>
      <c r="AU85" s="124"/>
      <c r="AV85" s="124"/>
      <c r="AW85" s="124"/>
    </row>
    <row r="86" spans="1:49" ht="14.25" customHeight="1" x14ac:dyDescent="0.25">
      <c r="A86" s="507"/>
      <c r="B86" s="286"/>
      <c r="C86" s="286"/>
      <c r="D86" s="286"/>
      <c r="E86" s="286"/>
      <c r="F86" s="286"/>
      <c r="G86" s="286"/>
      <c r="H86" s="286"/>
      <c r="I86" s="286"/>
      <c r="J86" s="504"/>
      <c r="K86" s="280"/>
      <c r="L86" s="280"/>
      <c r="M86" s="280"/>
      <c r="N86" s="280"/>
      <c r="O86" s="280"/>
      <c r="P86" s="286"/>
      <c r="Q86" s="286"/>
      <c r="R86" s="286"/>
      <c r="S86" s="286"/>
      <c r="T86" s="504"/>
      <c r="U86" s="280"/>
      <c r="V86" s="280"/>
      <c r="W86" s="280"/>
      <c r="X86" s="280"/>
      <c r="Y86" s="280"/>
      <c r="Z86" s="280"/>
      <c r="AA86" s="280"/>
      <c r="AB86" s="280"/>
      <c r="AC86" s="280"/>
      <c r="AD86" s="280"/>
      <c r="AE86" s="280"/>
      <c r="AF86" s="280"/>
      <c r="AG86" s="280"/>
      <c r="AH86" s="280"/>
      <c r="AI86" s="280"/>
      <c r="AJ86" s="124"/>
      <c r="AK86" s="124"/>
      <c r="AL86" s="124"/>
      <c r="AM86" s="124"/>
      <c r="AN86" s="124"/>
      <c r="AO86" s="124"/>
      <c r="AP86" s="124"/>
      <c r="AQ86" s="124"/>
      <c r="AR86" s="124"/>
      <c r="AS86" s="124"/>
      <c r="AT86" s="124"/>
      <c r="AU86" s="124"/>
      <c r="AV86" s="124"/>
      <c r="AW86" s="124"/>
    </row>
    <row r="87" spans="1:49" ht="14.25" customHeight="1" thickBot="1" x14ac:dyDescent="0.3">
      <c r="A87" s="507"/>
      <c r="B87" s="286"/>
      <c r="C87" s="286"/>
      <c r="D87" s="286"/>
      <c r="E87" s="286"/>
      <c r="F87" s="286"/>
      <c r="G87" s="286"/>
      <c r="H87" s="286"/>
      <c r="I87" s="286"/>
      <c r="J87" s="504"/>
      <c r="K87" s="280"/>
      <c r="L87" s="280"/>
      <c r="M87" s="280"/>
      <c r="N87" s="280"/>
      <c r="O87" s="280"/>
      <c r="P87" s="286"/>
      <c r="Q87" s="286"/>
      <c r="R87" s="286"/>
      <c r="S87" s="286"/>
      <c r="T87" s="504"/>
      <c r="U87" s="280"/>
      <c r="V87" s="280"/>
      <c r="W87" s="280"/>
      <c r="X87" s="280"/>
      <c r="Y87" s="280"/>
      <c r="Z87" s="280"/>
      <c r="AA87" s="280"/>
      <c r="AB87" s="280"/>
      <c r="AC87" s="280"/>
      <c r="AD87" s="280"/>
      <c r="AE87" s="280"/>
      <c r="AF87" s="280"/>
      <c r="AG87" s="280"/>
      <c r="AH87" s="280"/>
      <c r="AI87" s="280"/>
      <c r="AJ87" s="124"/>
      <c r="AK87" s="124"/>
      <c r="AL87" s="124"/>
      <c r="AM87" s="124"/>
      <c r="AN87" s="124"/>
      <c r="AO87" s="124"/>
      <c r="AP87" s="124"/>
      <c r="AQ87" s="124"/>
      <c r="AR87" s="124"/>
      <c r="AS87" s="124"/>
      <c r="AT87" s="124"/>
      <c r="AU87" s="124"/>
      <c r="AV87" s="124"/>
      <c r="AW87" s="124"/>
    </row>
    <row r="88" spans="1:49" customFormat="1" ht="18" thickBot="1" x14ac:dyDescent="0.35">
      <c r="A88" s="2134" t="s">
        <v>409</v>
      </c>
      <c r="B88" s="2135"/>
      <c r="C88" s="2135"/>
      <c r="D88" s="2135"/>
      <c r="E88" s="2135"/>
      <c r="F88" s="2135"/>
      <c r="G88" s="2135"/>
      <c r="H88" s="2135"/>
      <c r="I88" s="2135"/>
      <c r="J88" s="2135"/>
      <c r="K88" s="2135"/>
      <c r="L88" s="2135"/>
      <c r="M88" s="2135"/>
      <c r="N88" s="2135"/>
      <c r="O88" s="2135"/>
      <c r="P88" s="2135"/>
      <c r="Q88" s="2135"/>
      <c r="R88" s="2135"/>
      <c r="S88" s="2135"/>
      <c r="T88" s="2135"/>
      <c r="U88" s="2135"/>
      <c r="V88" s="2135"/>
      <c r="W88" s="2135"/>
      <c r="X88" s="2135"/>
      <c r="Y88" s="2135"/>
      <c r="Z88" s="2135"/>
      <c r="AA88" s="2135"/>
      <c r="AB88" s="2135"/>
      <c r="AC88" s="2135"/>
      <c r="AD88" s="2135"/>
      <c r="AE88" s="2135"/>
      <c r="AF88" s="2135"/>
      <c r="AG88" s="2135"/>
      <c r="AH88" s="2135"/>
      <c r="AI88" s="2135"/>
      <c r="AJ88" s="2135"/>
      <c r="AK88" s="2135"/>
      <c r="AL88" s="2135"/>
      <c r="AM88" s="2135"/>
      <c r="AN88" s="2135"/>
      <c r="AO88" s="2135"/>
      <c r="AP88" s="2135"/>
      <c r="AQ88" s="2135"/>
      <c r="AR88" s="2135"/>
      <c r="AS88" s="2136"/>
      <c r="AT88" s="124"/>
      <c r="AU88" s="124"/>
      <c r="AV88" s="124"/>
      <c r="AW88" s="124"/>
    </row>
    <row r="89" spans="1:49" ht="26.4" x14ac:dyDescent="0.25">
      <c r="A89" s="2142" t="s">
        <v>1006</v>
      </c>
      <c r="B89" s="1956" t="s">
        <v>1008</v>
      </c>
      <c r="C89" s="1956" t="s">
        <v>1009</v>
      </c>
      <c r="D89" s="1956" t="s">
        <v>1010</v>
      </c>
      <c r="E89" s="1957" t="s">
        <v>1011</v>
      </c>
      <c r="F89" s="1956" t="s">
        <v>1008</v>
      </c>
      <c r="G89" s="1956" t="s">
        <v>1009</v>
      </c>
      <c r="H89" s="1956" t="s">
        <v>1010</v>
      </c>
      <c r="I89" s="1958" t="s">
        <v>1011</v>
      </c>
      <c r="J89" s="1959" t="s">
        <v>1012</v>
      </c>
      <c r="K89" s="1971" t="s">
        <v>1008</v>
      </c>
      <c r="L89" s="1972" t="s">
        <v>1009</v>
      </c>
      <c r="M89" s="1972" t="s">
        <v>1010</v>
      </c>
      <c r="N89" s="1973" t="s">
        <v>1011</v>
      </c>
      <c r="O89" s="1959" t="s">
        <v>1012</v>
      </c>
      <c r="P89" s="1956" t="s">
        <v>1008</v>
      </c>
      <c r="Q89" s="1956" t="s">
        <v>1009</v>
      </c>
      <c r="R89" s="1956" t="s">
        <v>1010</v>
      </c>
      <c r="S89" s="1958" t="s">
        <v>1011</v>
      </c>
      <c r="T89" s="1959" t="s">
        <v>1012</v>
      </c>
      <c r="U89" s="1956" t="s">
        <v>1008</v>
      </c>
      <c r="V89" s="1956" t="s">
        <v>1009</v>
      </c>
      <c r="W89" s="1956" t="s">
        <v>1010</v>
      </c>
      <c r="X89" s="1958" t="s">
        <v>1011</v>
      </c>
      <c r="Y89" s="1959" t="s">
        <v>1012</v>
      </c>
      <c r="Z89" s="1956" t="s">
        <v>1008</v>
      </c>
      <c r="AA89" s="1956" t="s">
        <v>1009</v>
      </c>
      <c r="AB89" s="1956" t="s">
        <v>1010</v>
      </c>
      <c r="AC89" s="1958" t="s">
        <v>1011</v>
      </c>
      <c r="AD89" s="584" t="s">
        <v>1012</v>
      </c>
      <c r="AE89" s="1818" t="s">
        <v>1008</v>
      </c>
      <c r="AF89" s="1979" t="s">
        <v>1009</v>
      </c>
      <c r="AG89" s="1979" t="s">
        <v>1010</v>
      </c>
      <c r="AH89" s="1980" t="s">
        <v>1011</v>
      </c>
      <c r="AI89" s="1981" t="s">
        <v>1012</v>
      </c>
      <c r="AJ89" s="1818" t="s">
        <v>1008</v>
      </c>
      <c r="AK89" s="1979" t="s">
        <v>1009</v>
      </c>
      <c r="AL89" s="1979" t="s">
        <v>1010</v>
      </c>
      <c r="AM89" s="1980" t="s">
        <v>1011</v>
      </c>
      <c r="AN89" s="1981" t="s">
        <v>1012</v>
      </c>
      <c r="AO89" s="1956" t="s">
        <v>1008</v>
      </c>
      <c r="AP89" s="1960" t="s">
        <v>1009</v>
      </c>
      <c r="AQ89" s="1960" t="s">
        <v>1010</v>
      </c>
      <c r="AR89" s="1961" t="s">
        <v>1011</v>
      </c>
      <c r="AS89" s="584" t="s">
        <v>1012</v>
      </c>
      <c r="AT89" s="124"/>
      <c r="AU89" s="124"/>
      <c r="AV89" s="124"/>
      <c r="AW89" s="124"/>
    </row>
    <row r="90" spans="1:49" ht="12.75" customHeight="1" x14ac:dyDescent="0.25">
      <c r="A90" s="2152"/>
      <c r="B90" s="2138" t="s">
        <v>1502</v>
      </c>
      <c r="C90" s="2139"/>
      <c r="D90" s="2139"/>
      <c r="E90" s="2140"/>
      <c r="F90" s="2139" t="s">
        <v>1501</v>
      </c>
      <c r="G90" s="2139"/>
      <c r="H90" s="2139"/>
      <c r="I90" s="2139"/>
      <c r="J90" s="2140"/>
      <c r="K90" s="2139" t="s">
        <v>1451</v>
      </c>
      <c r="L90" s="2139"/>
      <c r="M90" s="2139"/>
      <c r="N90" s="2139"/>
      <c r="O90" s="2140"/>
      <c r="P90" s="2139" t="s">
        <v>1452</v>
      </c>
      <c r="Q90" s="2139"/>
      <c r="R90" s="2139"/>
      <c r="S90" s="2139"/>
      <c r="T90" s="2140"/>
      <c r="U90" s="2139" t="s">
        <v>1453</v>
      </c>
      <c r="V90" s="2139"/>
      <c r="W90" s="2139"/>
      <c r="X90" s="2139"/>
      <c r="Y90" s="2140"/>
      <c r="Z90" s="2138" t="s">
        <v>1581</v>
      </c>
      <c r="AA90" s="2139"/>
      <c r="AB90" s="2139"/>
      <c r="AC90" s="2139"/>
      <c r="AD90" s="2140"/>
      <c r="AE90" s="2138" t="s">
        <v>1632</v>
      </c>
      <c r="AF90" s="2139"/>
      <c r="AG90" s="2139"/>
      <c r="AH90" s="2139"/>
      <c r="AI90" s="2140"/>
      <c r="AJ90" s="2138" t="str">
        <f>+AJ50</f>
        <v>Spring 2015</v>
      </c>
      <c r="AK90" s="2139"/>
      <c r="AL90" s="2139"/>
      <c r="AM90" s="2139"/>
      <c r="AN90" s="2140"/>
      <c r="AO90" s="2139" t="s">
        <v>1758</v>
      </c>
      <c r="AP90" s="2139"/>
      <c r="AQ90" s="2139"/>
      <c r="AR90" s="2139"/>
      <c r="AS90" s="2140"/>
      <c r="AT90" s="124"/>
      <c r="AU90" s="124"/>
      <c r="AV90" s="124"/>
      <c r="AW90" s="124"/>
    </row>
    <row r="91" spans="1:49" x14ac:dyDescent="0.25">
      <c r="A91" s="1318" t="s">
        <v>411</v>
      </c>
      <c r="B91" s="1946"/>
      <c r="C91" s="1947"/>
      <c r="D91" s="1947"/>
      <c r="E91" s="1948"/>
      <c r="F91" s="1946"/>
      <c r="G91" s="1947"/>
      <c r="H91" s="1947"/>
      <c r="I91" s="1947"/>
      <c r="J91" s="1948"/>
      <c r="K91" s="1037"/>
      <c r="L91" s="1963"/>
      <c r="M91" s="1963"/>
      <c r="N91" s="1963"/>
      <c r="O91" s="1948"/>
      <c r="P91" s="1946"/>
      <c r="Q91" s="1947"/>
      <c r="R91" s="1947"/>
      <c r="S91" s="1947"/>
      <c r="T91" s="1948"/>
      <c r="U91" s="1946"/>
      <c r="V91" s="1947"/>
      <c r="W91" s="1947"/>
      <c r="X91" s="1947"/>
      <c r="Y91" s="1948"/>
      <c r="Z91" s="1946"/>
      <c r="AA91" s="1947"/>
      <c r="AB91" s="1947"/>
      <c r="AC91" s="1947"/>
      <c r="AD91" s="438"/>
      <c r="AE91" s="1815"/>
      <c r="AF91" s="1947"/>
      <c r="AG91" s="1947"/>
      <c r="AH91" s="1947"/>
      <c r="AI91" s="1948"/>
      <c r="AJ91" s="1815"/>
      <c r="AK91" s="1947"/>
      <c r="AL91" s="1947"/>
      <c r="AM91" s="1947"/>
      <c r="AN91" s="1948"/>
      <c r="AO91" s="1974"/>
      <c r="AP91" s="1947"/>
      <c r="AQ91" s="1947"/>
      <c r="AR91" s="1947"/>
      <c r="AS91" s="1948"/>
      <c r="AT91" s="124"/>
      <c r="AU91" s="124"/>
      <c r="AV91" s="124"/>
      <c r="AW91" s="124"/>
    </row>
    <row r="92" spans="1:49" x14ac:dyDescent="0.25">
      <c r="A92" s="1319" t="s">
        <v>1060</v>
      </c>
      <c r="B92" s="1949">
        <v>1228</v>
      </c>
      <c r="C92" s="1949">
        <v>422</v>
      </c>
      <c r="D92" s="1617">
        <v>0</v>
      </c>
      <c r="E92" s="1951">
        <f>SUM(B92:D92)</f>
        <v>1650</v>
      </c>
      <c r="F92" s="1949">
        <v>1360</v>
      </c>
      <c r="G92" s="1949">
        <v>354</v>
      </c>
      <c r="H92" s="1617">
        <v>0</v>
      </c>
      <c r="I92" s="1952">
        <f>SUM(F92:H92)</f>
        <v>1714</v>
      </c>
      <c r="J92" s="491">
        <f>IF(E92&gt;0,(I92-E92)/E92,(IF(I92=0,"N/A",100%)))</f>
        <v>3.8787878787878788E-2</v>
      </c>
      <c r="K92" s="1683">
        <v>1652</v>
      </c>
      <c r="L92" s="1246">
        <v>346</v>
      </c>
      <c r="M92" s="1246">
        <v>0</v>
      </c>
      <c r="N92" s="1246">
        <f>SUM(K92:M92)</f>
        <v>1998</v>
      </c>
      <c r="O92" s="1954">
        <f>IF(I92&gt;0,(N92-I92)/I92,(IF(N92=0,"N/A",100%)))</f>
        <v>0.16569428238039674</v>
      </c>
      <c r="P92" s="1953">
        <v>1832</v>
      </c>
      <c r="Q92" s="1952">
        <v>390</v>
      </c>
      <c r="R92" s="1246">
        <v>0</v>
      </c>
      <c r="S92" s="1952">
        <f>SUM(P92:R92)</f>
        <v>2222</v>
      </c>
      <c r="T92" s="505">
        <f>IF(N92&gt;0,(S92-N92)/N92,(IF(S92=0,"N/A",100%)))</f>
        <v>0.11211211211211211</v>
      </c>
      <c r="U92" s="1952">
        <v>1804</v>
      </c>
      <c r="V92" s="1952">
        <v>321</v>
      </c>
      <c r="W92" s="1246">
        <v>0</v>
      </c>
      <c r="X92" s="1952">
        <f>SUM(U92:W92)</f>
        <v>2125</v>
      </c>
      <c r="Y92" s="1954">
        <f>IF(S92&gt;0,(X92-S92)/S92,(IF(X92=0,"N/A",100%)))</f>
        <v>-4.3654365436543656E-2</v>
      </c>
      <c r="Z92" s="1952">
        <v>1852</v>
      </c>
      <c r="AA92" s="1952">
        <v>323</v>
      </c>
      <c r="AB92" s="1246">
        <v>0</v>
      </c>
      <c r="AC92" s="1952">
        <f>SUM(Z92:AB92)</f>
        <v>2175</v>
      </c>
      <c r="AD92" s="505">
        <f>IF(X92&gt;0,(AC92-X92)/X92,(IF(AC92=0,"N/A",100%)))</f>
        <v>2.3529411764705882E-2</v>
      </c>
      <c r="AE92" s="772">
        <v>1620</v>
      </c>
      <c r="AF92" s="1952">
        <v>348</v>
      </c>
      <c r="AG92" s="1246">
        <v>0</v>
      </c>
      <c r="AH92" s="1952">
        <f>SUM(AE92:AG92)</f>
        <v>1968</v>
      </c>
      <c r="AI92" s="1954">
        <f>IF(AC92&gt;0,(AH92-AC92)/AC92,(IF(AH92=0,"N/A",100%)))</f>
        <v>-9.5172413793103441E-2</v>
      </c>
      <c r="AJ92" s="772">
        <v>1484</v>
      </c>
      <c r="AK92" s="1952">
        <v>449</v>
      </c>
      <c r="AL92" s="1246">
        <v>0</v>
      </c>
      <c r="AM92" s="1952">
        <f>SUM(AJ92:AL92)</f>
        <v>1933</v>
      </c>
      <c r="AN92" s="1954">
        <f>IF(AH92&gt;0,(AM92-AH92)/AH92,(IF(AM92=0,"N/A",100%)))</f>
        <v>-1.7784552845528455E-2</v>
      </c>
      <c r="AO92" s="1952">
        <v>1156</v>
      </c>
      <c r="AP92" s="1952">
        <v>1172</v>
      </c>
      <c r="AQ92" s="1246">
        <v>0</v>
      </c>
      <c r="AR92" s="1952">
        <f>SUM(AO92:AQ92)</f>
        <v>2328</v>
      </c>
      <c r="AS92" s="1954">
        <f>IF(AM92&gt;0,(AR92-AM92)/AM92,(IF(AR92=0,"N/A",100%)))</f>
        <v>0.20434557682359028</v>
      </c>
      <c r="AT92" s="124"/>
      <c r="AU92" s="124"/>
      <c r="AV92" s="124"/>
      <c r="AW92" s="124"/>
    </row>
    <row r="93" spans="1:49" x14ac:dyDescent="0.25">
      <c r="A93" s="1318" t="s">
        <v>412</v>
      </c>
      <c r="B93" s="1975"/>
      <c r="C93" s="1976"/>
      <c r="D93" s="1976"/>
      <c r="E93" s="1948"/>
      <c r="F93" s="1975"/>
      <c r="G93" s="1976"/>
      <c r="H93" s="1976"/>
      <c r="I93" s="1947"/>
      <c r="J93" s="281"/>
      <c r="K93" s="1869"/>
      <c r="L93" s="1877"/>
      <c r="M93" s="1877"/>
      <c r="N93" s="1877"/>
      <c r="O93" s="1948"/>
      <c r="P93" s="1946"/>
      <c r="Q93" s="1947"/>
      <c r="R93" s="1947"/>
      <c r="S93" s="1947"/>
      <c r="T93" s="1948"/>
      <c r="U93" s="1946"/>
      <c r="V93" s="1947"/>
      <c r="W93" s="1947"/>
      <c r="X93" s="1947"/>
      <c r="Y93" s="1948"/>
      <c r="Z93" s="1946"/>
      <c r="AA93" s="1947"/>
      <c r="AB93" s="1947"/>
      <c r="AC93" s="1947"/>
      <c r="AD93" s="281"/>
      <c r="AE93" s="1039"/>
      <c r="AF93" s="1947"/>
      <c r="AG93" s="1947"/>
      <c r="AH93" s="1947"/>
      <c r="AI93" s="1948"/>
      <c r="AJ93" s="1039"/>
      <c r="AK93" s="1947"/>
      <c r="AL93" s="1947"/>
      <c r="AM93" s="1947"/>
      <c r="AN93" s="1948"/>
      <c r="AO93" s="1946"/>
      <c r="AP93" s="1947"/>
      <c r="AQ93" s="1947"/>
      <c r="AR93" s="1947"/>
      <c r="AS93" s="1948"/>
      <c r="AT93" s="124"/>
      <c r="AU93" s="124"/>
      <c r="AV93" s="124"/>
      <c r="AW93" s="124"/>
    </row>
    <row r="94" spans="1:49" x14ac:dyDescent="0.25">
      <c r="A94" s="1319" t="s">
        <v>1355</v>
      </c>
      <c r="B94" s="1949">
        <v>400</v>
      </c>
      <c r="C94" s="1949">
        <v>135</v>
      </c>
      <c r="D94" s="1617">
        <v>0</v>
      </c>
      <c r="E94" s="1951">
        <f>SUM(B94:D94)</f>
        <v>535</v>
      </c>
      <c r="F94" s="1949">
        <v>406</v>
      </c>
      <c r="G94" s="1949">
        <v>66</v>
      </c>
      <c r="H94" s="1617">
        <v>0</v>
      </c>
      <c r="I94" s="1952">
        <f>SUM(F94:H94)</f>
        <v>472</v>
      </c>
      <c r="J94" s="505">
        <f>IF(E94&gt;0,(I94-E94)/E94,(IF(I94=0,"N/A",100%)))</f>
        <v>-0.11775700934579439</v>
      </c>
      <c r="K94" s="1683">
        <v>550</v>
      </c>
      <c r="L94" s="1246">
        <v>114</v>
      </c>
      <c r="M94" s="1246">
        <v>0</v>
      </c>
      <c r="N94" s="1246">
        <f>SUM(K94:M94)</f>
        <v>664</v>
      </c>
      <c r="O94" s="1954">
        <f t="shared" ref="O94:O109" si="99">IF(I94&gt;0,(N94-I94)/I94,(IF(N94=0,"N/A",100%)))</f>
        <v>0.40677966101694918</v>
      </c>
      <c r="P94" s="1953">
        <v>510</v>
      </c>
      <c r="Q94" s="1952">
        <v>102</v>
      </c>
      <c r="R94" s="1246">
        <v>0</v>
      </c>
      <c r="S94" s="1952">
        <f>SUM(P94:R94)</f>
        <v>612</v>
      </c>
      <c r="T94" s="505">
        <f>IF(N94&gt;0,(S94-N94)/N94,(IF(S94=0,"N/A",100%)))</f>
        <v>-7.8313253012048195E-2</v>
      </c>
      <c r="U94" s="1952">
        <v>558</v>
      </c>
      <c r="V94" s="1952">
        <v>120</v>
      </c>
      <c r="W94" s="1246">
        <v>0</v>
      </c>
      <c r="X94" s="1952">
        <f>SUM(U94:W94)</f>
        <v>678</v>
      </c>
      <c r="Y94" s="1954">
        <f>IF(S94&gt;0,(X94-S94)/S94,(IF(X94=0,"N/A",100%)))</f>
        <v>0.10784313725490197</v>
      </c>
      <c r="Z94" s="1952">
        <v>616</v>
      </c>
      <c r="AA94" s="1952">
        <v>102</v>
      </c>
      <c r="AB94" s="1246">
        <v>0</v>
      </c>
      <c r="AC94" s="1952">
        <f>SUM(Z94:AB94)</f>
        <v>718</v>
      </c>
      <c r="AD94" s="505">
        <f>IF(X94&gt;0,(AC94-X94)/X94,(IF(AC94=0,"N/A",100%)))</f>
        <v>5.8997050147492625E-2</v>
      </c>
      <c r="AE94" s="772">
        <v>528</v>
      </c>
      <c r="AF94" s="1952">
        <v>117</v>
      </c>
      <c r="AG94" s="1246">
        <v>0</v>
      </c>
      <c r="AH94" s="1952">
        <f>SUM(AE94:AG94)</f>
        <v>645</v>
      </c>
      <c r="AI94" s="1954">
        <f>IF(AC94&gt;0,(AH94-AC94)/AC94,(IF(AH94=0,"N/A",100%)))</f>
        <v>-0.10167130919220056</v>
      </c>
      <c r="AJ94" s="772">
        <v>491</v>
      </c>
      <c r="AK94" s="1952">
        <v>200</v>
      </c>
      <c r="AL94" s="1246">
        <v>0</v>
      </c>
      <c r="AM94" s="1952">
        <f>SUM(AJ94:AL94)</f>
        <v>691</v>
      </c>
      <c r="AN94" s="1954">
        <f>IF(AH94&gt;0,(AM94-AH94)/AH94,(IF(AM94=0,"N/A",100%)))</f>
        <v>7.131782945736434E-2</v>
      </c>
      <c r="AO94" s="1952">
        <v>357</v>
      </c>
      <c r="AP94" s="1952">
        <v>305</v>
      </c>
      <c r="AQ94" s="1246">
        <v>0</v>
      </c>
      <c r="AR94" s="1952">
        <f>SUM(AO94:AQ94)</f>
        <v>662</v>
      </c>
      <c r="AS94" s="1954">
        <f>IF(AM94&gt;0,(AR94-AM94)/AM94,(IF(AR94=0,"N/A",100%)))</f>
        <v>-4.1968162083936326E-2</v>
      </c>
      <c r="AT94" s="124"/>
      <c r="AU94" s="124"/>
      <c r="AV94" s="124"/>
      <c r="AW94" s="124"/>
    </row>
    <row r="95" spans="1:49" x14ac:dyDescent="0.25">
      <c r="A95" s="1319" t="s">
        <v>854</v>
      </c>
      <c r="B95" s="1949">
        <v>1806</v>
      </c>
      <c r="C95" s="1949">
        <v>37</v>
      </c>
      <c r="D95" s="1617">
        <v>0</v>
      </c>
      <c r="E95" s="1951">
        <f>SUM(B95:D95)</f>
        <v>1843</v>
      </c>
      <c r="F95" s="1949">
        <v>2022</v>
      </c>
      <c r="G95" s="1949">
        <v>101</v>
      </c>
      <c r="H95" s="1617">
        <v>0</v>
      </c>
      <c r="I95" s="1952">
        <f>SUM(F95:H95)</f>
        <v>2123</v>
      </c>
      <c r="J95" s="505">
        <f>IF(E95&gt;0,(I95-E95)/E95,(IF(I95=0,"N/A",100%)))</f>
        <v>0.1519262072707542</v>
      </c>
      <c r="K95" s="1683">
        <v>2502</v>
      </c>
      <c r="L95" s="1246">
        <v>26</v>
      </c>
      <c r="M95" s="1246">
        <v>0</v>
      </c>
      <c r="N95" s="1246">
        <f>SUM(K95:M95)</f>
        <v>2528</v>
      </c>
      <c r="O95" s="1954">
        <f t="shared" si="99"/>
        <v>0.19076778144135656</v>
      </c>
      <c r="P95" s="1952">
        <v>2693</v>
      </c>
      <c r="Q95" s="1952">
        <v>44</v>
      </c>
      <c r="R95" s="1246">
        <v>0</v>
      </c>
      <c r="S95" s="1952">
        <f>SUM(P95:R95)</f>
        <v>2737</v>
      </c>
      <c r="T95" s="505">
        <f>IF(N95&gt;0,(S95-N95)/N95,(IF(S95=0,"N/A",100%)))</f>
        <v>8.2674050632911389E-2</v>
      </c>
      <c r="U95" s="1952">
        <v>2873</v>
      </c>
      <c r="V95" s="1952">
        <v>64</v>
      </c>
      <c r="W95" s="1246">
        <v>0</v>
      </c>
      <c r="X95" s="1952">
        <f>SUM(U95:W95)</f>
        <v>2937</v>
      </c>
      <c r="Y95" s="1954">
        <f>IF(S95&gt;0,(X95-S95)/S95,(IF(X95=0,"N/A",100%)))</f>
        <v>7.3072707343807095E-2</v>
      </c>
      <c r="Z95" s="1952">
        <v>2859</v>
      </c>
      <c r="AA95" s="1952">
        <v>77</v>
      </c>
      <c r="AB95" s="1246">
        <v>0</v>
      </c>
      <c r="AC95" s="1952">
        <f>SUM(Z95:AB95)</f>
        <v>2936</v>
      </c>
      <c r="AD95" s="505">
        <f>IF(X95&gt;0,(AC95-X95)/X95,(IF(AC95=0,"N/A",100%)))</f>
        <v>-3.4048348655090226E-4</v>
      </c>
      <c r="AE95" s="772">
        <v>2579</v>
      </c>
      <c r="AF95" s="1952">
        <v>63</v>
      </c>
      <c r="AG95" s="1246">
        <v>0</v>
      </c>
      <c r="AH95" s="1952">
        <f>SUM(AE95:AG95)</f>
        <v>2642</v>
      </c>
      <c r="AI95" s="1954">
        <f>IF(AC95&gt;0,(AH95-AC95)/AC95,(IF(AH95=0,"N/A",100%)))</f>
        <v>-0.10013623978201634</v>
      </c>
      <c r="AJ95" s="772">
        <v>2607</v>
      </c>
      <c r="AK95" s="1952">
        <v>65</v>
      </c>
      <c r="AL95" s="1246">
        <v>0</v>
      </c>
      <c r="AM95" s="1952">
        <f>SUM(AJ95:AL95)</f>
        <v>2672</v>
      </c>
      <c r="AN95" s="1954">
        <f>IF(AH95&gt;0,(AM95-AH95)/AH95,(IF(AM95=0,"N/A",100%)))</f>
        <v>1.1355034065102196E-2</v>
      </c>
      <c r="AO95" s="1952">
        <v>1548</v>
      </c>
      <c r="AP95" s="1952">
        <v>976</v>
      </c>
      <c r="AQ95" s="1246">
        <v>0</v>
      </c>
      <c r="AR95" s="1952">
        <f>SUM(AO95:AQ95)</f>
        <v>2524</v>
      </c>
      <c r="AS95" s="1954">
        <f>IF(AM95&gt;0,(AR95-AM95)/AM95,(IF(AR95=0,"N/A",100%)))</f>
        <v>-5.5389221556886227E-2</v>
      </c>
      <c r="AT95" s="124"/>
      <c r="AU95" s="124"/>
      <c r="AV95" s="124"/>
      <c r="AW95" s="124"/>
    </row>
    <row r="96" spans="1:49" s="484" customFormat="1" ht="13.8" x14ac:dyDescent="0.25">
      <c r="A96" s="1345" t="s">
        <v>1015</v>
      </c>
      <c r="B96" s="1966">
        <f t="shared" ref="B96:I96" si="100">SUM(B94:B95)</f>
        <v>2206</v>
      </c>
      <c r="C96" s="1966">
        <f t="shared" si="100"/>
        <v>172</v>
      </c>
      <c r="D96" s="1966">
        <f t="shared" si="100"/>
        <v>0</v>
      </c>
      <c r="E96" s="1967">
        <f t="shared" si="100"/>
        <v>2378</v>
      </c>
      <c r="F96" s="1966">
        <f t="shared" si="100"/>
        <v>2428</v>
      </c>
      <c r="G96" s="1966">
        <f t="shared" si="100"/>
        <v>167</v>
      </c>
      <c r="H96" s="1966">
        <f t="shared" si="100"/>
        <v>0</v>
      </c>
      <c r="I96" s="1966">
        <f t="shared" si="100"/>
        <v>2595</v>
      </c>
      <c r="J96" s="586">
        <f>IF(E96&gt;0,(I96-E96)/E96,(IF(I96=0,"N/A",100%)))</f>
        <v>9.1253153910849455E-2</v>
      </c>
      <c r="K96" s="1732">
        <f>SUM(K94:K95)</f>
        <v>3052</v>
      </c>
      <c r="L96" s="1259">
        <f>SUM(L94:L95)</f>
        <v>140</v>
      </c>
      <c r="M96" s="1259">
        <f>SUM(M94:M95)</f>
        <v>0</v>
      </c>
      <c r="N96" s="1259">
        <f>SUM(N94:N95)</f>
        <v>3192</v>
      </c>
      <c r="O96" s="1965">
        <f t="shared" si="99"/>
        <v>0.23005780346820809</v>
      </c>
      <c r="P96" s="1966">
        <f>SUM(P94:P95)</f>
        <v>3203</v>
      </c>
      <c r="Q96" s="1966">
        <f>SUM(Q94:Q95)</f>
        <v>146</v>
      </c>
      <c r="R96" s="1966">
        <f>SUM(R94:R95)</f>
        <v>0</v>
      </c>
      <c r="S96" s="1966">
        <f>SUM(S94:S95)</f>
        <v>3349</v>
      </c>
      <c r="T96" s="586">
        <f>IF(N96&gt;0,(S96-N96)/N96,(IF(S96=0,"N/A",100%)))</f>
        <v>4.9185463659147867E-2</v>
      </c>
      <c r="U96" s="1966">
        <f>SUM(U94:U95)</f>
        <v>3431</v>
      </c>
      <c r="V96" s="1966">
        <f>SUM(V94:V95)</f>
        <v>184</v>
      </c>
      <c r="W96" s="1966">
        <f>SUM(W94:W95)</f>
        <v>0</v>
      </c>
      <c r="X96" s="1966">
        <f>SUM(X94:X95)</f>
        <v>3615</v>
      </c>
      <c r="Y96" s="1965">
        <f>IF(S96&gt;0,(X96-S96)/S96,(IF(X96=0,"N/A",100%)))</f>
        <v>7.9426694535682296E-2</v>
      </c>
      <c r="Z96" s="1966">
        <f>SUM(Z94:Z95)</f>
        <v>3475</v>
      </c>
      <c r="AA96" s="1966">
        <f>SUM(AA94:AA95)</f>
        <v>179</v>
      </c>
      <c r="AB96" s="1966">
        <f>SUM(AB94:AB95)</f>
        <v>0</v>
      </c>
      <c r="AC96" s="1966">
        <f>SUM(AC94:AC95)</f>
        <v>3654</v>
      </c>
      <c r="AD96" s="586">
        <f>IF(X96&gt;0,(AC96-X96)/X96,(IF(AC96=0,"N/A",100%)))</f>
        <v>1.0788381742738589E-2</v>
      </c>
      <c r="AE96" s="1042">
        <f>SUM(AE94:AE95)</f>
        <v>3107</v>
      </c>
      <c r="AF96" s="1966">
        <f>SUM(AF94:AF95)</f>
        <v>180</v>
      </c>
      <c r="AG96" s="1966">
        <f>SUM(AG94:AG95)</f>
        <v>0</v>
      </c>
      <c r="AH96" s="1966">
        <f>SUM(AH94:AH95)</f>
        <v>3287</v>
      </c>
      <c r="AI96" s="1965">
        <f>IF(AC96&gt;0,(AH96-AC96)/AC96,(IF(AH96=0,"N/A",100%)))</f>
        <v>-0.10043787629994527</v>
      </c>
      <c r="AJ96" s="1042">
        <f>SUM(AJ94:AJ95)</f>
        <v>3098</v>
      </c>
      <c r="AK96" s="1966">
        <f>SUM(AK94:AK95)</f>
        <v>265</v>
      </c>
      <c r="AL96" s="1966">
        <f>SUM(AL94:AL95)</f>
        <v>0</v>
      </c>
      <c r="AM96" s="1966">
        <f>SUM(AM94:AM95)</f>
        <v>3363</v>
      </c>
      <c r="AN96" s="1965">
        <f>IF(AH96&gt;0,(AM96-AH96)/AH96,(IF(AM96=0,"N/A",100%)))</f>
        <v>2.3121387283236993E-2</v>
      </c>
      <c r="AO96" s="1966">
        <f>SUM(AO94:AO95)</f>
        <v>1905</v>
      </c>
      <c r="AP96" s="1966">
        <f>SUM(AP94:AP95)</f>
        <v>1281</v>
      </c>
      <c r="AQ96" s="1966">
        <f>SUM(AQ94:AQ95)</f>
        <v>0</v>
      </c>
      <c r="AR96" s="1966">
        <f>SUM(AR94:AR95)</f>
        <v>3186</v>
      </c>
      <c r="AS96" s="1965">
        <f>IF(AM96&gt;0,(AR96-AM96)/AM96,(IF(AR96=0,"N/A",100%)))</f>
        <v>-5.2631578947368418E-2</v>
      </c>
      <c r="AT96" s="124"/>
      <c r="AU96" s="124"/>
      <c r="AV96" s="124"/>
      <c r="AW96" s="124"/>
    </row>
    <row r="97" spans="1:49" customFormat="1" x14ac:dyDescent="0.25">
      <c r="A97" s="423" t="s">
        <v>414</v>
      </c>
      <c r="B97" s="1878"/>
      <c r="C97" s="1258"/>
      <c r="D97" s="1258"/>
      <c r="E97" s="516"/>
      <c r="F97" s="1878"/>
      <c r="G97" s="1258"/>
      <c r="H97" s="1258"/>
      <c r="I97" s="1258"/>
      <c r="J97" s="516"/>
      <c r="K97" s="1878"/>
      <c r="L97" s="1258"/>
      <c r="M97" s="1258"/>
      <c r="N97" s="1258"/>
      <c r="O97" s="1977"/>
      <c r="P97" s="1878"/>
      <c r="Q97" s="1258"/>
      <c r="R97" s="1258"/>
      <c r="S97" s="1258"/>
      <c r="T97" s="516"/>
      <c r="U97" s="1878"/>
      <c r="V97" s="1258"/>
      <c r="W97" s="1258"/>
      <c r="X97" s="1258"/>
      <c r="Y97" s="516"/>
      <c r="Z97" s="1878"/>
      <c r="AA97" s="1258"/>
      <c r="AB97" s="1258"/>
      <c r="AC97" s="1258"/>
      <c r="AD97" s="516"/>
      <c r="AE97" s="1043"/>
      <c r="AF97" s="1258"/>
      <c r="AG97" s="1258"/>
      <c r="AH97" s="1258"/>
      <c r="AI97" s="516"/>
      <c r="AJ97" s="1043"/>
      <c r="AK97" s="1258"/>
      <c r="AL97" s="1258"/>
      <c r="AM97" s="1258"/>
      <c r="AN97" s="516"/>
      <c r="AO97" s="1878"/>
      <c r="AP97" s="1258"/>
      <c r="AQ97" s="1258"/>
      <c r="AR97" s="1258"/>
      <c r="AS97" s="516"/>
      <c r="AT97" s="124"/>
      <c r="AU97" s="124"/>
      <c r="AV97" s="124"/>
      <c r="AW97" s="124"/>
    </row>
    <row r="98" spans="1:49" x14ac:dyDescent="0.25">
      <c r="A98" s="1326" t="s">
        <v>1061</v>
      </c>
      <c r="B98" s="1616">
        <v>988</v>
      </c>
      <c r="C98" s="1617">
        <v>191</v>
      </c>
      <c r="D98" s="1617">
        <v>0</v>
      </c>
      <c r="E98" s="326">
        <f>SUM(B98:D98)</f>
        <v>1179</v>
      </c>
      <c r="F98" s="1616">
        <v>952</v>
      </c>
      <c r="G98" s="1617">
        <v>293</v>
      </c>
      <c r="H98" s="1617">
        <v>0</v>
      </c>
      <c r="I98" s="1246">
        <f>SUM(F98:H98)</f>
        <v>1245</v>
      </c>
      <c r="J98" s="491">
        <f t="shared" ref="J98:J103" si="101">IF(E98&gt;0,(I98-E98)/E98,(IF(I98=0,"N/A",100%)))</f>
        <v>5.5979643765903309E-2</v>
      </c>
      <c r="K98" s="1683">
        <v>1204</v>
      </c>
      <c r="L98" s="1246">
        <v>248</v>
      </c>
      <c r="M98" s="1246">
        <v>0</v>
      </c>
      <c r="N98" s="1246">
        <f>SUM(K98:M98)</f>
        <v>1452</v>
      </c>
      <c r="O98" s="1954">
        <f t="shared" si="99"/>
        <v>0.16626506024096385</v>
      </c>
      <c r="P98" s="1953">
        <v>1320</v>
      </c>
      <c r="Q98" s="1246">
        <v>295</v>
      </c>
      <c r="R98" s="1246">
        <v>0</v>
      </c>
      <c r="S98" s="1246">
        <f>SUM(P98:R98)</f>
        <v>1615</v>
      </c>
      <c r="T98" s="505">
        <f t="shared" ref="T98:T103" si="102">IF(N98&gt;0,(S98-N98)/N98,(IF(S98=0,"N/A",100%)))</f>
        <v>0.11225895316804407</v>
      </c>
      <c r="U98" s="1683">
        <v>1256</v>
      </c>
      <c r="V98" s="1246">
        <v>200</v>
      </c>
      <c r="W98" s="1246">
        <v>0</v>
      </c>
      <c r="X98" s="1246">
        <f>SUM(U98:W98)</f>
        <v>1456</v>
      </c>
      <c r="Y98" s="1954">
        <f t="shared" ref="Y98:Y103" si="103">IF(S98&gt;0,(X98-S98)/S98,(IF(X98=0,"N/A",100%)))</f>
        <v>-9.845201238390093E-2</v>
      </c>
      <c r="Z98" s="1683">
        <v>1280</v>
      </c>
      <c r="AA98" s="1246">
        <v>288</v>
      </c>
      <c r="AB98" s="1246">
        <v>0</v>
      </c>
      <c r="AC98" s="1246">
        <f>SUM(Z98:AB98)</f>
        <v>1568</v>
      </c>
      <c r="AD98" s="505">
        <f t="shared" ref="AD98:AD103" si="104">IF(X98&gt;0,(AC98-X98)/X98,(IF(AC98=0,"N/A",100%)))</f>
        <v>7.6923076923076927E-2</v>
      </c>
      <c r="AE98" s="683">
        <v>1200</v>
      </c>
      <c r="AF98" s="1246">
        <v>265</v>
      </c>
      <c r="AG98" s="1246">
        <v>0</v>
      </c>
      <c r="AH98" s="1246">
        <f>SUM(AE98:AG98)</f>
        <v>1465</v>
      </c>
      <c r="AI98" s="1954">
        <f t="shared" ref="AI98:AI103" si="105">IF(AC98&gt;0,(AH98-AC98)/AC98,(IF(AH98=0,"N/A",100%)))</f>
        <v>-6.5688775510204078E-2</v>
      </c>
      <c r="AJ98" s="683">
        <v>1108</v>
      </c>
      <c r="AK98" s="1246">
        <v>222</v>
      </c>
      <c r="AL98" s="1246">
        <v>0</v>
      </c>
      <c r="AM98" s="1246">
        <f>SUM(AJ98:AL98)</f>
        <v>1330</v>
      </c>
      <c r="AN98" s="1954">
        <f t="shared" ref="AN98:AN103" si="106">IF(AH98&gt;0,(AM98-AH98)/AH98,(IF(AM98=0,"N/A",100%)))</f>
        <v>-9.2150170648464161E-2</v>
      </c>
      <c r="AO98" s="1683">
        <v>1112</v>
      </c>
      <c r="AP98" s="1246">
        <v>329</v>
      </c>
      <c r="AQ98" s="1246">
        <v>0</v>
      </c>
      <c r="AR98" s="1246">
        <f>SUM(AO98:AQ98)</f>
        <v>1441</v>
      </c>
      <c r="AS98" s="1954">
        <f t="shared" ref="AS98:AS103" si="107">IF(AM98&gt;0,(AR98-AM98)/AM98,(IF(AR98=0,"N/A",100%)))</f>
        <v>8.3458646616541357E-2</v>
      </c>
      <c r="AT98" s="124"/>
      <c r="AU98" s="124"/>
      <c r="AV98" s="124"/>
      <c r="AW98" s="124"/>
    </row>
    <row r="99" spans="1:49" x14ac:dyDescent="0.25">
      <c r="A99" s="1319" t="s">
        <v>1062</v>
      </c>
      <c r="B99" s="1616">
        <v>0</v>
      </c>
      <c r="C99" s="1617">
        <v>8</v>
      </c>
      <c r="D99" s="1617">
        <v>0</v>
      </c>
      <c r="E99" s="326">
        <f>SUM(B99:D99)</f>
        <v>8</v>
      </c>
      <c r="F99" s="1616">
        <v>0</v>
      </c>
      <c r="G99" s="1617">
        <v>27</v>
      </c>
      <c r="H99" s="1617">
        <v>0</v>
      </c>
      <c r="I99" s="1246">
        <f>SUM(F99:H99)</f>
        <v>27</v>
      </c>
      <c r="J99" s="491">
        <f t="shared" si="101"/>
        <v>2.375</v>
      </c>
      <c r="K99" s="1683">
        <v>0</v>
      </c>
      <c r="L99" s="1246">
        <v>16</v>
      </c>
      <c r="M99" s="1246">
        <v>0</v>
      </c>
      <c r="N99" s="1246">
        <f>SUM(K99:M99)</f>
        <v>16</v>
      </c>
      <c r="O99" s="1954">
        <f t="shared" si="99"/>
        <v>-0.40740740740740738</v>
      </c>
      <c r="P99" s="1683">
        <v>0</v>
      </c>
      <c r="Q99" s="1246">
        <v>72</v>
      </c>
      <c r="R99" s="1246">
        <v>0</v>
      </c>
      <c r="S99" s="1246">
        <f>SUM(P99:R99)</f>
        <v>72</v>
      </c>
      <c r="T99" s="505">
        <f t="shared" si="102"/>
        <v>3.5</v>
      </c>
      <c r="U99" s="1683">
        <v>0</v>
      </c>
      <c r="V99" s="1246">
        <v>18</v>
      </c>
      <c r="W99" s="1246">
        <v>0</v>
      </c>
      <c r="X99" s="1246">
        <f>SUM(U99:W99)</f>
        <v>18</v>
      </c>
      <c r="Y99" s="1954">
        <f t="shared" si="103"/>
        <v>-0.75</v>
      </c>
      <c r="Z99" s="1683">
        <v>0</v>
      </c>
      <c r="AA99" s="1246">
        <v>51</v>
      </c>
      <c r="AB99" s="1246">
        <v>0</v>
      </c>
      <c r="AC99" s="1246">
        <f>SUM(Z99:AB99)</f>
        <v>51</v>
      </c>
      <c r="AD99" s="505">
        <f t="shared" si="104"/>
        <v>1.8333333333333333</v>
      </c>
      <c r="AE99" s="683">
        <v>0</v>
      </c>
      <c r="AF99" s="1246">
        <v>15</v>
      </c>
      <c r="AG99" s="1246">
        <v>0</v>
      </c>
      <c r="AH99" s="1246">
        <f>SUM(AE99:AG99)</f>
        <v>15</v>
      </c>
      <c r="AI99" s="1954">
        <f t="shared" si="105"/>
        <v>-0.70588235294117652</v>
      </c>
      <c r="AJ99" s="683">
        <v>0</v>
      </c>
      <c r="AK99" s="1246">
        <v>31</v>
      </c>
      <c r="AL99" s="1246">
        <v>0</v>
      </c>
      <c r="AM99" s="1246">
        <f>SUM(AJ99:AL99)</f>
        <v>31</v>
      </c>
      <c r="AN99" s="1954">
        <f t="shared" si="106"/>
        <v>1.0666666666666667</v>
      </c>
      <c r="AO99" s="1683">
        <v>0</v>
      </c>
      <c r="AP99" s="1246">
        <v>12</v>
      </c>
      <c r="AQ99" s="1246">
        <v>0</v>
      </c>
      <c r="AR99" s="1246">
        <f>SUM(AO99:AQ99)</f>
        <v>12</v>
      </c>
      <c r="AS99" s="1954">
        <f t="shared" si="107"/>
        <v>-0.61290322580645162</v>
      </c>
      <c r="AT99" s="124"/>
      <c r="AU99" s="124"/>
      <c r="AV99" s="124"/>
      <c r="AW99" s="124"/>
    </row>
    <row r="100" spans="1:49" x14ac:dyDescent="0.25">
      <c r="A100" s="1319" t="s">
        <v>1063</v>
      </c>
      <c r="B100" s="1616">
        <v>152</v>
      </c>
      <c r="C100" s="1617">
        <v>15</v>
      </c>
      <c r="D100" s="1617">
        <v>0</v>
      </c>
      <c r="E100" s="326">
        <f>SUM(B100:D100)</f>
        <v>167</v>
      </c>
      <c r="F100" s="1616">
        <v>172</v>
      </c>
      <c r="G100" s="1617">
        <v>0</v>
      </c>
      <c r="H100" s="1617">
        <v>0</v>
      </c>
      <c r="I100" s="1246">
        <f>SUM(F100:H100)</f>
        <v>172</v>
      </c>
      <c r="J100" s="491">
        <f t="shared" si="101"/>
        <v>2.9940119760479042E-2</v>
      </c>
      <c r="K100" s="1683">
        <v>160</v>
      </c>
      <c r="L100" s="1246">
        <v>15</v>
      </c>
      <c r="M100" s="1246">
        <v>0</v>
      </c>
      <c r="N100" s="1246">
        <f>SUM(K100:M100)</f>
        <v>175</v>
      </c>
      <c r="O100" s="1954">
        <f t="shared" si="99"/>
        <v>1.7441860465116279E-2</v>
      </c>
      <c r="P100" s="1683">
        <v>160</v>
      </c>
      <c r="Q100" s="1246">
        <v>0</v>
      </c>
      <c r="R100" s="1246">
        <v>0</v>
      </c>
      <c r="S100" s="1246">
        <f>SUM(P100:R100)</f>
        <v>160</v>
      </c>
      <c r="T100" s="505">
        <f t="shared" si="102"/>
        <v>-8.5714285714285715E-2</v>
      </c>
      <c r="U100" s="1683">
        <v>160</v>
      </c>
      <c r="V100" s="1246">
        <v>24</v>
      </c>
      <c r="W100" s="1246">
        <v>0</v>
      </c>
      <c r="X100" s="1246">
        <f>SUM(U100:W100)</f>
        <v>184</v>
      </c>
      <c r="Y100" s="1954">
        <f t="shared" si="103"/>
        <v>0.15</v>
      </c>
      <c r="Z100" s="1683">
        <v>160</v>
      </c>
      <c r="AA100" s="1246">
        <v>0</v>
      </c>
      <c r="AB100" s="1246">
        <v>0</v>
      </c>
      <c r="AC100" s="1246">
        <f>SUM(Z100:AB100)</f>
        <v>160</v>
      </c>
      <c r="AD100" s="505">
        <f t="shared" si="104"/>
        <v>-0.13043478260869565</v>
      </c>
      <c r="AE100" s="683">
        <v>168</v>
      </c>
      <c r="AF100" s="1246">
        <v>27</v>
      </c>
      <c r="AG100" s="1246">
        <v>0</v>
      </c>
      <c r="AH100" s="1246">
        <f>SUM(AE100:AG100)</f>
        <v>195</v>
      </c>
      <c r="AI100" s="1954">
        <f t="shared" si="105"/>
        <v>0.21875</v>
      </c>
      <c r="AJ100" s="683">
        <v>160</v>
      </c>
      <c r="AK100" s="1246">
        <v>0</v>
      </c>
      <c r="AL100" s="1246">
        <v>0</v>
      </c>
      <c r="AM100" s="1246">
        <f>SUM(AJ100:AL100)</f>
        <v>160</v>
      </c>
      <c r="AN100" s="1954">
        <f t="shared" si="106"/>
        <v>-0.17948717948717949</v>
      </c>
      <c r="AO100" s="1683">
        <v>152</v>
      </c>
      <c r="AP100" s="1246">
        <v>15</v>
      </c>
      <c r="AQ100" s="1246">
        <v>0</v>
      </c>
      <c r="AR100" s="1246">
        <f>SUM(AO100:AQ100)</f>
        <v>167</v>
      </c>
      <c r="AS100" s="1954">
        <f t="shared" si="107"/>
        <v>4.3749999999999997E-2</v>
      </c>
      <c r="AT100" s="124"/>
      <c r="AU100" s="124"/>
      <c r="AV100" s="124"/>
      <c r="AW100" s="124"/>
    </row>
    <row r="101" spans="1:49" x14ac:dyDescent="0.25">
      <c r="A101" s="1319" t="s">
        <v>1064</v>
      </c>
      <c r="B101" s="1616">
        <v>164</v>
      </c>
      <c r="C101" s="1617">
        <v>12</v>
      </c>
      <c r="D101" s="1617">
        <v>0</v>
      </c>
      <c r="E101" s="326">
        <f>SUM(B101:D101)</f>
        <v>176</v>
      </c>
      <c r="F101" s="1616">
        <v>112</v>
      </c>
      <c r="G101" s="1617">
        <v>0</v>
      </c>
      <c r="H101" s="1617">
        <v>0</v>
      </c>
      <c r="I101" s="1246">
        <f>SUM(F101:H101)</f>
        <v>112</v>
      </c>
      <c r="J101" s="491">
        <f t="shared" si="101"/>
        <v>-0.36363636363636365</v>
      </c>
      <c r="K101" s="1683">
        <v>112</v>
      </c>
      <c r="L101" s="1246">
        <v>8</v>
      </c>
      <c r="M101" s="1246">
        <v>0</v>
      </c>
      <c r="N101" s="1246">
        <f>SUM(K101:M101)</f>
        <v>120</v>
      </c>
      <c r="O101" s="1954">
        <f t="shared" si="99"/>
        <v>7.1428571428571425E-2</v>
      </c>
      <c r="P101" s="1683">
        <v>172</v>
      </c>
      <c r="Q101" s="1246">
        <v>0</v>
      </c>
      <c r="R101" s="1246">
        <v>0</v>
      </c>
      <c r="S101" s="1246">
        <f>SUM(P101:R101)</f>
        <v>172</v>
      </c>
      <c r="T101" s="505">
        <f t="shared" si="102"/>
        <v>0.43333333333333335</v>
      </c>
      <c r="U101" s="1683">
        <v>120</v>
      </c>
      <c r="V101" s="1246">
        <v>0</v>
      </c>
      <c r="W101" s="1246">
        <v>0</v>
      </c>
      <c r="X101" s="1246">
        <f>SUM(U101:W101)</f>
        <v>120</v>
      </c>
      <c r="Y101" s="1954">
        <f t="shared" si="103"/>
        <v>-0.30232558139534882</v>
      </c>
      <c r="Z101" s="1683">
        <v>168</v>
      </c>
      <c r="AA101" s="1246">
        <v>0</v>
      </c>
      <c r="AB101" s="1246">
        <v>0</v>
      </c>
      <c r="AC101" s="1246">
        <f>SUM(Z101:AB101)</f>
        <v>168</v>
      </c>
      <c r="AD101" s="505">
        <f t="shared" si="104"/>
        <v>0.4</v>
      </c>
      <c r="AE101" s="683">
        <v>108</v>
      </c>
      <c r="AF101" s="1246">
        <v>4</v>
      </c>
      <c r="AG101" s="1246">
        <v>0</v>
      </c>
      <c r="AH101" s="1246">
        <f>SUM(AE101:AG101)</f>
        <v>112</v>
      </c>
      <c r="AI101" s="1954">
        <f t="shared" si="105"/>
        <v>-0.33333333333333331</v>
      </c>
      <c r="AJ101" s="683">
        <v>252</v>
      </c>
      <c r="AK101" s="1246">
        <v>0</v>
      </c>
      <c r="AL101" s="1246">
        <v>0</v>
      </c>
      <c r="AM101" s="1246">
        <f>SUM(AJ101:AL101)</f>
        <v>252</v>
      </c>
      <c r="AN101" s="1954">
        <f t="shared" si="106"/>
        <v>1.25</v>
      </c>
      <c r="AO101" s="1683">
        <v>0</v>
      </c>
      <c r="AP101" s="1246">
        <v>120</v>
      </c>
      <c r="AQ101" s="1246">
        <v>0</v>
      </c>
      <c r="AR101" s="1246">
        <f>SUM(AO101:AQ101)</f>
        <v>120</v>
      </c>
      <c r="AS101" s="1954">
        <f t="shared" si="107"/>
        <v>-0.52380952380952384</v>
      </c>
      <c r="AT101" s="124"/>
      <c r="AU101" s="124"/>
      <c r="AV101" s="124"/>
      <c r="AW101" s="124"/>
    </row>
    <row r="102" spans="1:49" x14ac:dyDescent="0.25">
      <c r="A102" s="1319" t="s">
        <v>1065</v>
      </c>
      <c r="B102" s="1616">
        <v>316</v>
      </c>
      <c r="C102" s="1617">
        <v>0</v>
      </c>
      <c r="D102" s="1617">
        <v>0</v>
      </c>
      <c r="E102" s="326">
        <f>SUM(B102:D102)</f>
        <v>316</v>
      </c>
      <c r="F102" s="1616">
        <v>392</v>
      </c>
      <c r="G102" s="1617">
        <v>0</v>
      </c>
      <c r="H102" s="1617">
        <v>0</v>
      </c>
      <c r="I102" s="1246">
        <f>SUM(F102:H102)</f>
        <v>392</v>
      </c>
      <c r="J102" s="491">
        <f t="shared" si="101"/>
        <v>0.24050632911392406</v>
      </c>
      <c r="K102" s="1683">
        <v>452</v>
      </c>
      <c r="L102" s="1246">
        <v>0</v>
      </c>
      <c r="M102" s="1246">
        <v>0</v>
      </c>
      <c r="N102" s="1246">
        <f>SUM(K102:M102)</f>
        <v>452</v>
      </c>
      <c r="O102" s="1954">
        <f t="shared" si="99"/>
        <v>0.15306122448979592</v>
      </c>
      <c r="P102" s="1683">
        <v>388</v>
      </c>
      <c r="Q102" s="1246">
        <v>14</v>
      </c>
      <c r="R102" s="1246">
        <v>0</v>
      </c>
      <c r="S102" s="1246">
        <f>SUM(P102:R102)</f>
        <v>402</v>
      </c>
      <c r="T102" s="505">
        <f t="shared" si="102"/>
        <v>-0.11061946902654868</v>
      </c>
      <c r="U102" s="1683">
        <v>404</v>
      </c>
      <c r="V102" s="1246">
        <v>39</v>
      </c>
      <c r="W102" s="1246">
        <v>0</v>
      </c>
      <c r="X102" s="1246">
        <f>SUM(U102:W102)</f>
        <v>443</v>
      </c>
      <c r="Y102" s="1954">
        <f t="shared" si="103"/>
        <v>0.10199004975124377</v>
      </c>
      <c r="Z102" s="1683">
        <v>320</v>
      </c>
      <c r="AA102" s="1246">
        <v>30</v>
      </c>
      <c r="AB102" s="1246">
        <v>0</v>
      </c>
      <c r="AC102" s="1246">
        <f>SUM(Z102:AB102)</f>
        <v>350</v>
      </c>
      <c r="AD102" s="505">
        <f t="shared" si="104"/>
        <v>-0.20993227990970656</v>
      </c>
      <c r="AE102" s="683">
        <v>316</v>
      </c>
      <c r="AF102" s="1246">
        <v>51</v>
      </c>
      <c r="AG102" s="1246">
        <v>0</v>
      </c>
      <c r="AH102" s="1246">
        <f>SUM(AE102:AG102)</f>
        <v>367</v>
      </c>
      <c r="AI102" s="1954">
        <f t="shared" si="105"/>
        <v>4.8571428571428571E-2</v>
      </c>
      <c r="AJ102" s="683">
        <v>240</v>
      </c>
      <c r="AK102" s="1246">
        <v>45</v>
      </c>
      <c r="AL102" s="1246">
        <v>0</v>
      </c>
      <c r="AM102" s="1246">
        <f>SUM(AJ102:AL102)</f>
        <v>285</v>
      </c>
      <c r="AN102" s="1954">
        <f t="shared" si="106"/>
        <v>-0.22343324250681199</v>
      </c>
      <c r="AO102" s="1683">
        <v>304</v>
      </c>
      <c r="AP102" s="1246">
        <v>33</v>
      </c>
      <c r="AQ102" s="1246">
        <v>0</v>
      </c>
      <c r="AR102" s="1246">
        <f>SUM(AO102:AQ102)</f>
        <v>337</v>
      </c>
      <c r="AS102" s="1954">
        <f t="shared" si="107"/>
        <v>0.18245614035087721</v>
      </c>
      <c r="AT102" s="124"/>
      <c r="AU102" s="124"/>
      <c r="AV102" s="124"/>
      <c r="AW102" s="124"/>
    </row>
    <row r="103" spans="1:49" s="484" customFormat="1" ht="13.8" x14ac:dyDescent="0.25">
      <c r="A103" s="1345" t="s">
        <v>1015</v>
      </c>
      <c r="B103" s="1732">
        <f t="shared" ref="B103:I103" si="108">SUM(B98:B102)</f>
        <v>1620</v>
      </c>
      <c r="C103" s="1259">
        <f t="shared" si="108"/>
        <v>226</v>
      </c>
      <c r="D103" s="1259">
        <f t="shared" si="108"/>
        <v>0</v>
      </c>
      <c r="E103" s="495">
        <f t="shared" si="108"/>
        <v>1846</v>
      </c>
      <c r="F103" s="1732">
        <f t="shared" si="108"/>
        <v>1628</v>
      </c>
      <c r="G103" s="1259">
        <f t="shared" si="108"/>
        <v>320</v>
      </c>
      <c r="H103" s="1259">
        <f t="shared" si="108"/>
        <v>0</v>
      </c>
      <c r="I103" s="1259">
        <f t="shared" si="108"/>
        <v>1948</v>
      </c>
      <c r="J103" s="496">
        <f t="shared" si="101"/>
        <v>5.5254604550379199E-2</v>
      </c>
      <c r="K103" s="1732">
        <f>SUM(K98:K102)</f>
        <v>1928</v>
      </c>
      <c r="L103" s="1259">
        <f>SUM(L98:L102)</f>
        <v>287</v>
      </c>
      <c r="M103" s="1259">
        <f>SUM(M98:M102)</f>
        <v>0</v>
      </c>
      <c r="N103" s="1259">
        <f>SUM(N98:N102)</f>
        <v>2215</v>
      </c>
      <c r="O103" s="1965">
        <f t="shared" si="99"/>
        <v>0.13706365503080081</v>
      </c>
      <c r="P103" s="1732">
        <f>SUM(P98:P102)</f>
        <v>2040</v>
      </c>
      <c r="Q103" s="1259">
        <f>SUM(Q98:Q102)</f>
        <v>381</v>
      </c>
      <c r="R103" s="1259">
        <f>SUM(R98:R102)</f>
        <v>0</v>
      </c>
      <c r="S103" s="1259">
        <f>SUM(S98:S102)</f>
        <v>2421</v>
      </c>
      <c r="T103" s="586">
        <f t="shared" si="102"/>
        <v>9.3002257336343111E-2</v>
      </c>
      <c r="U103" s="1732">
        <f>SUM(U98:U102)</f>
        <v>1940</v>
      </c>
      <c r="V103" s="1259">
        <f>SUM(V98:V102)</f>
        <v>281</v>
      </c>
      <c r="W103" s="1259">
        <f>SUM(W98:W102)</f>
        <v>0</v>
      </c>
      <c r="X103" s="1259">
        <f>SUM(X98:X102)</f>
        <v>2221</v>
      </c>
      <c r="Y103" s="1965">
        <f t="shared" si="103"/>
        <v>-8.2610491532424613E-2</v>
      </c>
      <c r="Z103" s="1732">
        <f>SUM(Z98:Z102)</f>
        <v>1928</v>
      </c>
      <c r="AA103" s="1259">
        <f>SUM(AA98:AA102)</f>
        <v>369</v>
      </c>
      <c r="AB103" s="1259">
        <f>SUM(AB98:AB102)</f>
        <v>0</v>
      </c>
      <c r="AC103" s="1259">
        <f>SUM(AC98:AC102)</f>
        <v>2297</v>
      </c>
      <c r="AD103" s="586">
        <f t="shared" si="104"/>
        <v>3.4218820351193155E-2</v>
      </c>
      <c r="AE103" s="1025">
        <f>SUM(AE98:AE102)</f>
        <v>1792</v>
      </c>
      <c r="AF103" s="1259">
        <f>SUM(AF98:AF102)</f>
        <v>362</v>
      </c>
      <c r="AG103" s="1259">
        <f>SUM(AG98:AG102)</f>
        <v>0</v>
      </c>
      <c r="AH103" s="1259">
        <f>SUM(AH98:AH102)</f>
        <v>2154</v>
      </c>
      <c r="AI103" s="1965">
        <f t="shared" si="105"/>
        <v>-6.2255115367871136E-2</v>
      </c>
      <c r="AJ103" s="1025">
        <f>SUM(AJ98:AJ102)</f>
        <v>1760</v>
      </c>
      <c r="AK103" s="1259">
        <f>SUM(AK98:AK102)</f>
        <v>298</v>
      </c>
      <c r="AL103" s="1259">
        <f>SUM(AL98:AL102)</f>
        <v>0</v>
      </c>
      <c r="AM103" s="1259">
        <f>SUM(AM98:AM102)</f>
        <v>2058</v>
      </c>
      <c r="AN103" s="1965">
        <f t="shared" si="106"/>
        <v>-4.456824512534819E-2</v>
      </c>
      <c r="AO103" s="1732">
        <f>SUM(AO98:AO102)</f>
        <v>1568</v>
      </c>
      <c r="AP103" s="1259">
        <f>SUM(AP98:AP102)</f>
        <v>509</v>
      </c>
      <c r="AQ103" s="1259">
        <f>SUM(AQ98:AQ102)</f>
        <v>0</v>
      </c>
      <c r="AR103" s="1259">
        <f>SUM(AR98:AR102)</f>
        <v>2077</v>
      </c>
      <c r="AS103" s="1965">
        <f t="shared" si="107"/>
        <v>9.23226433430515E-3</v>
      </c>
      <c r="AT103" s="124"/>
      <c r="AU103" s="124"/>
      <c r="AV103" s="124"/>
      <c r="AW103" s="124"/>
    </row>
    <row r="104" spans="1:49" customFormat="1" x14ac:dyDescent="0.25">
      <c r="A104" s="423" t="s">
        <v>413</v>
      </c>
      <c r="B104" s="1878"/>
      <c r="C104" s="1258"/>
      <c r="D104" s="1258"/>
      <c r="E104" s="516"/>
      <c r="F104" s="1878"/>
      <c r="G104" s="1258"/>
      <c r="H104" s="1258"/>
      <c r="I104" s="1258"/>
      <c r="J104" s="516"/>
      <c r="K104" s="1878"/>
      <c r="L104" s="1258"/>
      <c r="M104" s="1258"/>
      <c r="N104" s="1258"/>
      <c r="O104" s="1977"/>
      <c r="P104" s="1878"/>
      <c r="Q104" s="1258"/>
      <c r="R104" s="1258"/>
      <c r="S104" s="1258"/>
      <c r="T104" s="516"/>
      <c r="U104" s="1878"/>
      <c r="V104" s="1258"/>
      <c r="W104" s="1258"/>
      <c r="X104" s="1258"/>
      <c r="Y104" s="516"/>
      <c r="Z104" s="1878"/>
      <c r="AA104" s="1258"/>
      <c r="AB104" s="1258"/>
      <c r="AC104" s="1258"/>
      <c r="AD104" s="516"/>
      <c r="AE104" s="1043"/>
      <c r="AF104" s="1258"/>
      <c r="AG104" s="1258"/>
      <c r="AH104" s="1258"/>
      <c r="AI104" s="516"/>
      <c r="AJ104" s="1043"/>
      <c r="AK104" s="1258"/>
      <c r="AL104" s="1258"/>
      <c r="AM104" s="1258"/>
      <c r="AN104" s="516"/>
      <c r="AO104" s="1878"/>
      <c r="AP104" s="1258"/>
      <c r="AQ104" s="1258"/>
      <c r="AR104" s="1258"/>
      <c r="AS104" s="516"/>
      <c r="AT104" s="124"/>
      <c r="AU104" s="124"/>
      <c r="AV104" s="124"/>
      <c r="AW104" s="124"/>
    </row>
    <row r="105" spans="1:49" customFormat="1" x14ac:dyDescent="0.25">
      <c r="A105" s="1326" t="s">
        <v>1633</v>
      </c>
      <c r="B105" s="1616">
        <v>0</v>
      </c>
      <c r="C105" s="1617">
        <v>0</v>
      </c>
      <c r="D105" s="1617">
        <v>0</v>
      </c>
      <c r="E105" s="326">
        <f>SUM(B105:D105)</f>
        <v>0</v>
      </c>
      <c r="F105" s="1616">
        <v>0</v>
      </c>
      <c r="G105" s="1617">
        <v>0</v>
      </c>
      <c r="H105" s="1617">
        <v>0</v>
      </c>
      <c r="I105" s="1246">
        <f>SUM(F105:H105)</f>
        <v>0</v>
      </c>
      <c r="J105" s="491" t="str">
        <f>IF(E105&gt;0,(I105-E105)/E105,(IF(I105=0,"N/A",100%)))</f>
        <v>N/A</v>
      </c>
      <c r="K105" s="1683">
        <v>0</v>
      </c>
      <c r="L105" s="1246">
        <v>0</v>
      </c>
      <c r="M105" s="1246">
        <v>0</v>
      </c>
      <c r="N105" s="1246">
        <f>SUM(K105:M105)</f>
        <v>0</v>
      </c>
      <c r="O105" s="1954" t="str">
        <f>IF(I105&gt;0,(N105-I105)/I105,(IF(N105=0,"N/A",100%)))</f>
        <v>N/A</v>
      </c>
      <c r="P105" s="1683">
        <v>0</v>
      </c>
      <c r="Q105" s="1246">
        <v>0</v>
      </c>
      <c r="R105" s="1246">
        <v>0</v>
      </c>
      <c r="S105" s="1246">
        <f>SUM(P105:R105)</f>
        <v>0</v>
      </c>
      <c r="T105" s="505" t="str">
        <f>IF(N105&gt;0,(S105-N105)/N105,(IF(S105=0,"N/A",100%)))</f>
        <v>N/A</v>
      </c>
      <c r="U105" s="1683">
        <v>0</v>
      </c>
      <c r="V105" s="1246">
        <v>0</v>
      </c>
      <c r="W105" s="1246">
        <v>0</v>
      </c>
      <c r="X105" s="1246">
        <f>SUM(U105:W105)</f>
        <v>0</v>
      </c>
      <c r="Y105" s="1954" t="str">
        <f>IF(S105&gt;0,(X105-S105)/S105,(IF(X105=0,"N/A",100%)))</f>
        <v>N/A</v>
      </c>
      <c r="Z105" s="1683">
        <v>0</v>
      </c>
      <c r="AA105" s="1246">
        <v>0</v>
      </c>
      <c r="AB105" s="1246">
        <v>0</v>
      </c>
      <c r="AC105" s="1246">
        <f>SUM(Z105:AB105)</f>
        <v>0</v>
      </c>
      <c r="AD105" s="505" t="str">
        <f>IF(X105&gt;0,(AC105-X105)/X105,(IF(AC105=0,"N/A",100%)))</f>
        <v>N/A</v>
      </c>
      <c r="AE105" s="683">
        <v>0</v>
      </c>
      <c r="AF105" s="1246">
        <v>0</v>
      </c>
      <c r="AG105" s="1246">
        <v>18</v>
      </c>
      <c r="AH105" s="1246">
        <f>SUM(AE105:AG105)</f>
        <v>18</v>
      </c>
      <c r="AI105" s="1954">
        <f>IF(AC105&gt;0,(AH105-AC105)/AC105,(IF(AH105=0,"N/A",100%)))</f>
        <v>1</v>
      </c>
      <c r="AJ105" s="683">
        <v>0</v>
      </c>
      <c r="AK105" s="1246">
        <v>0</v>
      </c>
      <c r="AL105" s="1246">
        <v>24</v>
      </c>
      <c r="AM105" s="1246">
        <f>SUM(AJ105:AL105)</f>
        <v>24</v>
      </c>
      <c r="AN105" s="1954">
        <f>IF(AH105&gt;0,(AM105-AH105)/AH105,(IF(AM105=0,"N/A",100%)))</f>
        <v>0.33333333333333331</v>
      </c>
      <c r="AO105" s="1683">
        <v>0</v>
      </c>
      <c r="AP105" s="1246">
        <v>0</v>
      </c>
      <c r="AQ105" s="1246">
        <v>9</v>
      </c>
      <c r="AR105" s="1246">
        <f>SUM(AO105:AQ105)</f>
        <v>9</v>
      </c>
      <c r="AS105" s="1954">
        <f>IF(AM105&gt;0,(AR105-AM105)/AM105,(IF(AR105=0,"N/A",100%)))</f>
        <v>-0.625</v>
      </c>
      <c r="AT105" s="124"/>
      <c r="AU105" s="124"/>
      <c r="AV105" s="124"/>
      <c r="AW105" s="124"/>
    </row>
    <row r="106" spans="1:49" x14ac:dyDescent="0.25">
      <c r="A106" s="1326" t="s">
        <v>716</v>
      </c>
      <c r="B106" s="1616">
        <v>0</v>
      </c>
      <c r="C106" s="1617">
        <v>142</v>
      </c>
      <c r="D106" s="1617">
        <v>0</v>
      </c>
      <c r="E106" s="326">
        <f>SUM(B106:D106)</f>
        <v>142</v>
      </c>
      <c r="F106" s="1616">
        <v>0</v>
      </c>
      <c r="G106" s="1617">
        <v>172</v>
      </c>
      <c r="H106" s="1617">
        <v>0</v>
      </c>
      <c r="I106" s="1246">
        <f>SUM(F106:H106)</f>
        <v>172</v>
      </c>
      <c r="J106" s="491">
        <f>IF(E106&gt;0,(I106-E106)/E106,(IF(I106=0,"N/A",100%)))</f>
        <v>0.21126760563380281</v>
      </c>
      <c r="K106" s="1683">
        <v>0</v>
      </c>
      <c r="L106" s="1246">
        <v>130</v>
      </c>
      <c r="M106" s="1246">
        <v>0</v>
      </c>
      <c r="N106" s="1246">
        <f>SUM(K106:M106)</f>
        <v>130</v>
      </c>
      <c r="O106" s="1954">
        <f t="shared" si="99"/>
        <v>-0.2441860465116279</v>
      </c>
      <c r="P106" s="1683">
        <v>21</v>
      </c>
      <c r="Q106" s="1246">
        <v>201</v>
      </c>
      <c r="R106" s="1246">
        <v>0</v>
      </c>
      <c r="S106" s="1246">
        <f>SUM(P106:R106)</f>
        <v>222</v>
      </c>
      <c r="T106" s="505">
        <f>IF(N106&gt;0,(S106-N106)/N106,(IF(S106=0,"N/A",100%)))</f>
        <v>0.70769230769230773</v>
      </c>
      <c r="U106" s="1683">
        <v>60</v>
      </c>
      <c r="V106" s="1246">
        <v>340</v>
      </c>
      <c r="W106" s="1246">
        <v>0</v>
      </c>
      <c r="X106" s="1246">
        <f>SUM(U106:W106)</f>
        <v>400</v>
      </c>
      <c r="Y106" s="1954">
        <f>IF(S106&gt;0,(X106-S106)/S106,(IF(X106=0,"N/A",100%)))</f>
        <v>0.80180180180180183</v>
      </c>
      <c r="Z106" s="1683">
        <v>60</v>
      </c>
      <c r="AA106" s="1246">
        <v>247</v>
      </c>
      <c r="AB106" s="1246">
        <v>0</v>
      </c>
      <c r="AC106" s="1246">
        <f>SUM(Z106:AB106)</f>
        <v>307</v>
      </c>
      <c r="AD106" s="505">
        <f>IF(X106&gt;0,(AC106-X106)/X106,(IF(AC106=0,"N/A",100%)))</f>
        <v>-0.23250000000000001</v>
      </c>
      <c r="AE106" s="683">
        <v>24</v>
      </c>
      <c r="AF106" s="1246">
        <v>230</v>
      </c>
      <c r="AG106" s="1246">
        <v>0</v>
      </c>
      <c r="AH106" s="1246">
        <f>SUM(AE106:AG106)</f>
        <v>254</v>
      </c>
      <c r="AI106" s="1954">
        <f>IF(AC106&gt;0,(AH106-AC106)/AC106,(IF(AH106=0,"N/A",100%)))</f>
        <v>-0.17263843648208468</v>
      </c>
      <c r="AJ106" s="683">
        <v>30</v>
      </c>
      <c r="AK106" s="1246">
        <v>232</v>
      </c>
      <c r="AL106" s="1246">
        <v>0</v>
      </c>
      <c r="AM106" s="1246">
        <f>SUM(AJ106:AL106)</f>
        <v>262</v>
      </c>
      <c r="AN106" s="1954">
        <f>IF(AH106&gt;0,(AM106-AH106)/AH106,(IF(AM106=0,"N/A",100%)))</f>
        <v>3.1496062992125984E-2</v>
      </c>
      <c r="AO106" s="1683">
        <v>0</v>
      </c>
      <c r="AP106" s="1246">
        <v>145</v>
      </c>
      <c r="AQ106" s="1246">
        <v>0</v>
      </c>
      <c r="AR106" s="1246">
        <f>SUM(AO106:AQ106)</f>
        <v>145</v>
      </c>
      <c r="AS106" s="1954">
        <f>IF(AM106&gt;0,(AR106-AM106)/AM106,(IF(AR106=0,"N/A",100%)))</f>
        <v>-0.44656488549618323</v>
      </c>
      <c r="AT106" s="124"/>
      <c r="AU106" s="124"/>
      <c r="AV106" s="124"/>
      <c r="AW106" s="124"/>
    </row>
    <row r="107" spans="1:49" x14ac:dyDescent="0.25">
      <c r="A107" s="1326" t="s">
        <v>1051</v>
      </c>
      <c r="B107" s="1616">
        <v>494</v>
      </c>
      <c r="C107" s="1617">
        <v>714</v>
      </c>
      <c r="D107" s="1617">
        <v>0</v>
      </c>
      <c r="E107" s="326">
        <f>SUM(B107:D107)</f>
        <v>1208</v>
      </c>
      <c r="F107" s="1616">
        <v>491</v>
      </c>
      <c r="G107" s="1617">
        <v>812</v>
      </c>
      <c r="H107" s="1617">
        <v>0</v>
      </c>
      <c r="I107" s="1246">
        <f>SUM(F107:H107)</f>
        <v>1303</v>
      </c>
      <c r="J107" s="491">
        <f>IF(E107&gt;0,(I107-E107)/E107,(IF(I107=0,"N/A",100%)))</f>
        <v>7.8642384105960264E-2</v>
      </c>
      <c r="K107" s="1683">
        <v>556</v>
      </c>
      <c r="L107" s="1246">
        <v>918</v>
      </c>
      <c r="M107" s="1246">
        <v>0</v>
      </c>
      <c r="N107" s="1246">
        <f>SUM(K107:M107)</f>
        <v>1474</v>
      </c>
      <c r="O107" s="1954">
        <f t="shared" si="99"/>
        <v>0.13123561013046814</v>
      </c>
      <c r="P107" s="1683">
        <v>621</v>
      </c>
      <c r="Q107" s="1246">
        <v>968</v>
      </c>
      <c r="R107" s="1246">
        <v>0</v>
      </c>
      <c r="S107" s="1246">
        <f>SUM(P107:R107)</f>
        <v>1589</v>
      </c>
      <c r="T107" s="505">
        <f>IF(N107&gt;0,(S107-N107)/N107,(IF(S107=0,"N/A",100%)))</f>
        <v>7.8018995929443696E-2</v>
      </c>
      <c r="U107" s="1683">
        <v>643</v>
      </c>
      <c r="V107" s="1246">
        <v>1109</v>
      </c>
      <c r="W107" s="1246">
        <v>0</v>
      </c>
      <c r="X107" s="1246">
        <f>SUM(U107:W107)</f>
        <v>1752</v>
      </c>
      <c r="Y107" s="1954">
        <f>IF(S107&gt;0,(X107-S107)/S107,(IF(X107=0,"N/A",100%)))</f>
        <v>0.10258023914411579</v>
      </c>
      <c r="Z107" s="1683">
        <v>753</v>
      </c>
      <c r="AA107" s="1246">
        <v>1242</v>
      </c>
      <c r="AB107" s="1246">
        <v>0</v>
      </c>
      <c r="AC107" s="1246">
        <f>SUM(Z107:AB107)</f>
        <v>1995</v>
      </c>
      <c r="AD107" s="505">
        <f>IF(X107&gt;0,(AC107-X107)/X107,(IF(AC107=0,"N/A",100%)))</f>
        <v>0.1386986301369863</v>
      </c>
      <c r="AE107" s="683">
        <v>493</v>
      </c>
      <c r="AF107" s="1246">
        <v>1326</v>
      </c>
      <c r="AG107" s="1246">
        <v>0</v>
      </c>
      <c r="AH107" s="1246">
        <f>SUM(AE107:AG107)</f>
        <v>1819</v>
      </c>
      <c r="AI107" s="1954">
        <f>IF(AC107&gt;0,(AH107-AC107)/AC107,(IF(AH107=0,"N/A",100%)))</f>
        <v>-8.8220551378446116E-2</v>
      </c>
      <c r="AJ107" s="683">
        <v>428</v>
      </c>
      <c r="AK107" s="1246">
        <v>971</v>
      </c>
      <c r="AL107" s="1246">
        <v>0</v>
      </c>
      <c r="AM107" s="1246">
        <f>SUM(AJ107:AL107)</f>
        <v>1399</v>
      </c>
      <c r="AN107" s="1954">
        <f>IF(AH107&gt;0,(AM107-AH107)/AH107,(IF(AM107=0,"N/A",100%)))</f>
        <v>-0.23089609675645958</v>
      </c>
      <c r="AO107" s="1683">
        <v>86</v>
      </c>
      <c r="AP107" s="1246">
        <v>1528</v>
      </c>
      <c r="AQ107" s="1246">
        <v>0</v>
      </c>
      <c r="AR107" s="1246">
        <f>SUM(AO107:AQ107)</f>
        <v>1614</v>
      </c>
      <c r="AS107" s="1954">
        <f>IF(AM107&gt;0,(AR107-AM107)/AM107,(IF(AR107=0,"N/A",100%)))</f>
        <v>0.15368120085775555</v>
      </c>
      <c r="AT107" s="124"/>
      <c r="AU107" s="124"/>
      <c r="AV107" s="124"/>
      <c r="AW107" s="124"/>
    </row>
    <row r="108" spans="1:49" s="484" customFormat="1" ht="13.8" x14ac:dyDescent="0.25">
      <c r="A108" s="1327" t="s">
        <v>1015</v>
      </c>
      <c r="B108" s="1732">
        <f t="shared" ref="B108:I108" si="109">+B107+B106+B105</f>
        <v>494</v>
      </c>
      <c r="C108" s="1732">
        <f t="shared" si="109"/>
        <v>856</v>
      </c>
      <c r="D108" s="1732">
        <f t="shared" si="109"/>
        <v>0</v>
      </c>
      <c r="E108" s="1732">
        <f t="shared" si="109"/>
        <v>1350</v>
      </c>
      <c r="F108" s="1732">
        <f t="shared" si="109"/>
        <v>491</v>
      </c>
      <c r="G108" s="1732">
        <f t="shared" si="109"/>
        <v>984</v>
      </c>
      <c r="H108" s="1732">
        <f t="shared" si="109"/>
        <v>0</v>
      </c>
      <c r="I108" s="1732">
        <f t="shared" si="109"/>
        <v>1475</v>
      </c>
      <c r="J108" s="496">
        <f>IF(E108&gt;0,(I108-E108)/E108,(IF(I108=0,"N/A",100%)))</f>
        <v>9.2592592592592587E-2</v>
      </c>
      <c r="K108" s="1732">
        <f>+K107+K106+K105</f>
        <v>556</v>
      </c>
      <c r="L108" s="1732">
        <f>+L107+L106+L105</f>
        <v>1048</v>
      </c>
      <c r="M108" s="1732">
        <f>+M107+M106+M105</f>
        <v>0</v>
      </c>
      <c r="N108" s="1732">
        <f>+N107+N106+N105</f>
        <v>1604</v>
      </c>
      <c r="O108" s="1965">
        <f t="shared" si="99"/>
        <v>8.7457627118644063E-2</v>
      </c>
      <c r="P108" s="1732">
        <f>+P107+P106+P105</f>
        <v>642</v>
      </c>
      <c r="Q108" s="1732">
        <f>+Q107+Q106+Q105</f>
        <v>1169</v>
      </c>
      <c r="R108" s="1732">
        <f>+R107+R106+R105</f>
        <v>0</v>
      </c>
      <c r="S108" s="1732">
        <f>+S107+S106+S105</f>
        <v>1811</v>
      </c>
      <c r="T108" s="586">
        <f>IF(N108&gt;0,(S108-N108)/N108,(IF(S108=0,"N/A",100%)))</f>
        <v>0.12905236907730674</v>
      </c>
      <c r="U108" s="1732">
        <f>+U107+U106+U105</f>
        <v>703</v>
      </c>
      <c r="V108" s="1732">
        <f>+V107+V106+V105</f>
        <v>1449</v>
      </c>
      <c r="W108" s="1732">
        <f>+W107+W106+W105</f>
        <v>0</v>
      </c>
      <c r="X108" s="1732">
        <f>+X107+X106+X105</f>
        <v>2152</v>
      </c>
      <c r="Y108" s="1965">
        <f>IF(S108&gt;0,(X108-S108)/S108,(IF(X108=0,"N/A",100%)))</f>
        <v>0.1882937603533959</v>
      </c>
      <c r="Z108" s="1732">
        <f>+Z107+Z106+Z105</f>
        <v>813</v>
      </c>
      <c r="AA108" s="1732">
        <f>+AA107+AA106+AA105</f>
        <v>1489</v>
      </c>
      <c r="AB108" s="1732">
        <f>+AB107+AB106+AB105</f>
        <v>0</v>
      </c>
      <c r="AC108" s="1732">
        <f>+AC107+AC106+AC105</f>
        <v>2302</v>
      </c>
      <c r="AD108" s="586">
        <f>IF(X108&gt;0,(AC108-X108)/X108,(IF(AC108=0,"N/A",100%)))</f>
        <v>6.9702602230483274E-2</v>
      </c>
      <c r="AE108" s="1025">
        <f>+AE107+AE106+AE105</f>
        <v>517</v>
      </c>
      <c r="AF108" s="1732">
        <f>+AF107+AF106+AF105</f>
        <v>1556</v>
      </c>
      <c r="AG108" s="1732">
        <f>+AG107+AG106+AG105</f>
        <v>18</v>
      </c>
      <c r="AH108" s="1732">
        <f>+AH107+AH106+AH105</f>
        <v>2091</v>
      </c>
      <c r="AI108" s="1965">
        <f>IF(AC108&gt;0,(AH108-AC108)/AC108,(IF(AH108=0,"N/A",100%)))</f>
        <v>-9.1659426585577755E-2</v>
      </c>
      <c r="AJ108" s="1025">
        <f>+AJ107+AJ106+AJ105</f>
        <v>458</v>
      </c>
      <c r="AK108" s="1732">
        <f>+AK107+AK106+AK105</f>
        <v>1203</v>
      </c>
      <c r="AL108" s="1732">
        <f>+AL107+AL106+AL105</f>
        <v>24</v>
      </c>
      <c r="AM108" s="1732">
        <f>+AM107+AM106+AM105</f>
        <v>1685</v>
      </c>
      <c r="AN108" s="1965">
        <f>IF(AH108&gt;0,(AM108-AH108)/AH108,(IF(AM108=0,"N/A",100%)))</f>
        <v>-0.19416547106647536</v>
      </c>
      <c r="AO108" s="1732">
        <f>+AO107+AO106+AO105</f>
        <v>86</v>
      </c>
      <c r="AP108" s="1732">
        <f>+AP107+AP106+AP105</f>
        <v>1673</v>
      </c>
      <c r="AQ108" s="1732">
        <f>+AQ107+AQ106+AQ105</f>
        <v>9</v>
      </c>
      <c r="AR108" s="1732">
        <f>+AR107+AR106+AR105</f>
        <v>1768</v>
      </c>
      <c r="AS108" s="1965">
        <f>IF(AM108&gt;0,(AR108-AM108)/AM108,(IF(AR108=0,"N/A",100%)))</f>
        <v>4.9258160237388722E-2</v>
      </c>
      <c r="AT108" s="124"/>
      <c r="AU108" s="124"/>
      <c r="AV108" s="124"/>
      <c r="AW108" s="124"/>
    </row>
    <row r="109" spans="1:49" s="502" customFormat="1" ht="16.2" thickBot="1" x14ac:dyDescent="0.35">
      <c r="A109" s="1328" t="s">
        <v>437</v>
      </c>
      <c r="B109" s="988">
        <f t="shared" ref="B109:I109" si="110">+B92+B96+B103+B108</f>
        <v>5548</v>
      </c>
      <c r="C109" s="974">
        <f t="shared" si="110"/>
        <v>1676</v>
      </c>
      <c r="D109" s="974">
        <f t="shared" si="110"/>
        <v>0</v>
      </c>
      <c r="E109" s="989">
        <f t="shared" si="110"/>
        <v>7224</v>
      </c>
      <c r="F109" s="988">
        <f t="shared" si="110"/>
        <v>5907</v>
      </c>
      <c r="G109" s="974">
        <f t="shared" si="110"/>
        <v>1825</v>
      </c>
      <c r="H109" s="974">
        <f t="shared" si="110"/>
        <v>0</v>
      </c>
      <c r="I109" s="974">
        <f t="shared" si="110"/>
        <v>7732</v>
      </c>
      <c r="J109" s="1978">
        <f>IF(E109&gt;0,(I109-E109)/E109,(IF(I109=0,"N/A",100%)))</f>
        <v>7.0321151716500552E-2</v>
      </c>
      <c r="K109" s="974">
        <f>+K92+K96+K103+K108</f>
        <v>7188</v>
      </c>
      <c r="L109" s="974">
        <f>+L92+L96+L103+L108</f>
        <v>1821</v>
      </c>
      <c r="M109" s="974">
        <f>+M92+M96+M103+M108</f>
        <v>0</v>
      </c>
      <c r="N109" s="974">
        <f>+N92+N96+N103+N108</f>
        <v>9009</v>
      </c>
      <c r="O109" s="1050">
        <f t="shared" si="99"/>
        <v>0.16515778582514226</v>
      </c>
      <c r="P109" s="988">
        <f>+P92+P96+P103+P108</f>
        <v>7717</v>
      </c>
      <c r="Q109" s="974">
        <f>+Q92+Q96+Q103+Q108</f>
        <v>2086</v>
      </c>
      <c r="R109" s="974">
        <f>+R92+R96+R103+R108</f>
        <v>0</v>
      </c>
      <c r="S109" s="974">
        <f>+S92+S96+S103+S108</f>
        <v>9803</v>
      </c>
      <c r="T109" s="975">
        <f>IF(N109&gt;0,(S109-N109)/N109,(IF(S109=0,"N/A",100%)))</f>
        <v>8.8134088134088129E-2</v>
      </c>
      <c r="U109" s="988">
        <f>+U92+U96+U103+U108</f>
        <v>7878</v>
      </c>
      <c r="V109" s="974">
        <f>+V92+V96+V103+V108</f>
        <v>2235</v>
      </c>
      <c r="W109" s="974">
        <f>+W92+W96+W103+W108</f>
        <v>0</v>
      </c>
      <c r="X109" s="974">
        <f>+X92+X96+X103+X108</f>
        <v>10113</v>
      </c>
      <c r="Y109" s="975">
        <f>IF(S109&gt;0,(X109-S109)/S109,(IF(X109=0,"N/A",100%)))</f>
        <v>3.1622972559420585E-2</v>
      </c>
      <c r="Z109" s="988">
        <f>+Z92+Z96+Z103+Z108</f>
        <v>8068</v>
      </c>
      <c r="AA109" s="974">
        <f>+AA92+AA96+AA103+AA108</f>
        <v>2360</v>
      </c>
      <c r="AB109" s="974">
        <f>+AB92+AB96+AB103+AB108</f>
        <v>0</v>
      </c>
      <c r="AC109" s="974">
        <f>+AC92+AC96+AC103+AC108</f>
        <v>10428</v>
      </c>
      <c r="AD109" s="975">
        <f>IF(X109&gt;0,(AC109-X109)/X109,(IF(AC109=0,"N/A",100%)))</f>
        <v>3.1148027291604864E-2</v>
      </c>
      <c r="AE109" s="1329">
        <f>+AE92+AE96+AE103+AE108</f>
        <v>7036</v>
      </c>
      <c r="AF109" s="974">
        <f>+AF92+AF96+AF103+AF108</f>
        <v>2446</v>
      </c>
      <c r="AG109" s="974">
        <f>+AG92+AG96+AG103+AG108</f>
        <v>18</v>
      </c>
      <c r="AH109" s="974">
        <f>+AH92+AH96+AH103+AH108</f>
        <v>9500</v>
      </c>
      <c r="AI109" s="975">
        <f>IF(AC109&gt;0,(AH109-AC109)/AC109,(IF(AH109=0,"N/A",100%)))</f>
        <v>-8.8991177598772536E-2</v>
      </c>
      <c r="AJ109" s="1329">
        <f>+AJ92+AJ96+AJ103+AJ108</f>
        <v>6800</v>
      </c>
      <c r="AK109" s="974">
        <f>+AK92+AK96+AK103+AK108</f>
        <v>2215</v>
      </c>
      <c r="AL109" s="974">
        <f>+AL92+AL96+AL103+AL108</f>
        <v>24</v>
      </c>
      <c r="AM109" s="974">
        <f>+AM92+AM96+AM103+AM108</f>
        <v>9039</v>
      </c>
      <c r="AN109" s="975">
        <f>IF(AH109&gt;0,(AM109-AH109)/AH109,(IF(AM109=0,"N/A",100%)))</f>
        <v>-4.8526315789473681E-2</v>
      </c>
      <c r="AO109" s="988">
        <f>+AO92+AO96+AO103+AO108</f>
        <v>4715</v>
      </c>
      <c r="AP109" s="974">
        <f>+AP92+AP96+AP103+AP108</f>
        <v>4635</v>
      </c>
      <c r="AQ109" s="974">
        <f>+AQ92+AQ96+AQ103+AQ108</f>
        <v>9</v>
      </c>
      <c r="AR109" s="974">
        <f>+AR92+AR96+AR103+AR108</f>
        <v>9359</v>
      </c>
      <c r="AS109" s="975">
        <f>IF(AM109&gt;0,(AR109-AM109)/AM109,(IF(AR109=0,"N/A",100%)))</f>
        <v>3.5402146255116715E-2</v>
      </c>
      <c r="AT109" s="124"/>
      <c r="AU109" s="124"/>
      <c r="AV109" s="124"/>
      <c r="AW109" s="124"/>
    </row>
    <row r="110" spans="1:49" ht="14.25" customHeight="1" x14ac:dyDescent="0.25">
      <c r="A110" s="507"/>
      <c r="B110" s="286"/>
      <c r="C110" s="286"/>
      <c r="D110" s="286"/>
      <c r="E110" s="286"/>
      <c r="F110" s="286"/>
      <c r="G110" s="286"/>
      <c r="H110" s="286"/>
      <c r="I110" s="286"/>
      <c r="J110" s="504"/>
      <c r="K110" s="280"/>
      <c r="L110" s="280"/>
      <c r="M110" s="280"/>
      <c r="N110" s="280"/>
      <c r="O110" s="280"/>
      <c r="P110" s="286"/>
      <c r="Q110" s="286"/>
      <c r="R110" s="286"/>
      <c r="S110" s="286"/>
      <c r="T110" s="504"/>
      <c r="U110" s="280"/>
      <c r="V110" s="280"/>
      <c r="W110" s="280"/>
      <c r="X110" s="280"/>
      <c r="Y110" s="280"/>
      <c r="Z110" s="280"/>
      <c r="AA110" s="280"/>
      <c r="AB110" s="280"/>
      <c r="AC110" s="280"/>
      <c r="AD110" s="280"/>
      <c r="AE110" s="280"/>
      <c r="AF110" s="280"/>
      <c r="AG110" s="280"/>
      <c r="AH110" s="280"/>
      <c r="AI110" s="280"/>
      <c r="AJ110" s="280"/>
      <c r="AK110" s="280"/>
      <c r="AL110" s="280"/>
      <c r="AM110" s="280"/>
      <c r="AN110" s="280"/>
      <c r="AO110" s="280"/>
      <c r="AP110" s="280"/>
      <c r="AQ110" s="280"/>
      <c r="AR110" s="280"/>
      <c r="AS110" s="280"/>
      <c r="AT110" s="124"/>
      <c r="AU110" s="124"/>
      <c r="AV110" s="124"/>
      <c r="AW110" s="124"/>
    </row>
    <row r="111" spans="1:49" ht="14.25" customHeight="1" thickBot="1" x14ac:dyDescent="0.3">
      <c r="A111" s="507"/>
      <c r="B111" s="286"/>
      <c r="C111" s="286"/>
      <c r="D111" s="286"/>
      <c r="E111" s="286"/>
      <c r="F111" s="286"/>
      <c r="G111" s="286"/>
      <c r="H111" s="286"/>
      <c r="I111" s="286"/>
      <c r="J111" s="504"/>
      <c r="K111" s="280"/>
      <c r="L111" s="280"/>
      <c r="M111" s="280"/>
      <c r="N111" s="280"/>
      <c r="O111" s="280"/>
      <c r="P111" s="286"/>
      <c r="Q111" s="286"/>
      <c r="R111" s="286"/>
      <c r="S111" s="286"/>
      <c r="T111" s="504"/>
      <c r="U111" s="280"/>
      <c r="V111" s="280"/>
      <c r="W111" s="280"/>
      <c r="X111" s="280"/>
      <c r="Y111" s="280"/>
      <c r="Z111" s="280"/>
      <c r="AA111" s="280"/>
      <c r="AB111" s="280"/>
      <c r="AC111" s="280"/>
      <c r="AD111" s="280"/>
      <c r="AE111" s="280"/>
      <c r="AF111" s="280"/>
      <c r="AG111" s="280"/>
      <c r="AH111" s="280"/>
      <c r="AI111" s="280"/>
      <c r="AJ111" s="280"/>
      <c r="AK111" s="280"/>
      <c r="AL111" s="280"/>
      <c r="AM111" s="280"/>
      <c r="AN111" s="280"/>
      <c r="AO111" s="280"/>
      <c r="AP111" s="280"/>
      <c r="AQ111" s="280"/>
      <c r="AR111" s="280"/>
      <c r="AS111" s="280"/>
      <c r="AT111" s="124"/>
      <c r="AU111" s="124"/>
      <c r="AV111" s="124"/>
      <c r="AW111" s="124"/>
    </row>
    <row r="112" spans="1:49" ht="13.8" thickBot="1" x14ac:dyDescent="0.3">
      <c r="A112" s="1988" t="s">
        <v>984</v>
      </c>
      <c r="B112" s="1989"/>
      <c r="C112" s="1990"/>
      <c r="D112" s="1990"/>
      <c r="E112" s="1991"/>
      <c r="F112" s="1989"/>
      <c r="G112" s="1990"/>
      <c r="H112" s="1990"/>
      <c r="I112" s="1990"/>
      <c r="J112" s="1991"/>
      <c r="K112" s="1989"/>
      <c r="L112" s="1990"/>
      <c r="M112" s="1990"/>
      <c r="N112" s="1990"/>
      <c r="O112" s="1992"/>
      <c r="P112" s="1989"/>
      <c r="Q112" s="1990"/>
      <c r="R112" s="1990"/>
      <c r="S112" s="1990"/>
      <c r="T112" s="1991"/>
      <c r="U112" s="1989"/>
      <c r="V112" s="1990"/>
      <c r="W112" s="1990"/>
      <c r="X112" s="1990"/>
      <c r="Y112" s="1992"/>
      <c r="Z112" s="1989"/>
      <c r="AA112" s="1990"/>
      <c r="AB112" s="1990"/>
      <c r="AC112" s="1990"/>
      <c r="AD112" s="1992"/>
      <c r="AE112" s="1989"/>
      <c r="AF112" s="1990"/>
      <c r="AG112" s="1990"/>
      <c r="AH112" s="1993"/>
      <c r="AI112" s="1991"/>
      <c r="AJ112" s="1989"/>
      <c r="AK112" s="1990"/>
      <c r="AL112" s="1990"/>
      <c r="AM112" s="1993"/>
      <c r="AN112" s="1991"/>
      <c r="AO112" s="1989"/>
      <c r="AP112" s="1990"/>
      <c r="AQ112" s="1990"/>
      <c r="AR112" s="1990"/>
      <c r="AS112" s="1991"/>
      <c r="AT112" s="124"/>
      <c r="AU112" s="124"/>
      <c r="AV112" s="124"/>
      <c r="AW112" s="124"/>
    </row>
    <row r="113" spans="1:49" x14ac:dyDescent="0.25">
      <c r="A113" s="1319" t="s">
        <v>1556</v>
      </c>
      <c r="B113" s="1949">
        <v>0</v>
      </c>
      <c r="C113" s="1949">
        <v>0</v>
      </c>
      <c r="D113" s="1987">
        <v>0</v>
      </c>
      <c r="E113" s="1951">
        <f t="shared" ref="E113:E122" si="111">SUM(B113:D113)</f>
        <v>0</v>
      </c>
      <c r="F113" s="1949">
        <v>0</v>
      </c>
      <c r="G113" s="1949">
        <v>0</v>
      </c>
      <c r="H113" s="1987">
        <v>0</v>
      </c>
      <c r="I113" s="1983">
        <f t="shared" ref="I113:I122" si="112">SUM(F113:H113)</f>
        <v>0</v>
      </c>
      <c r="J113" s="1954" t="str">
        <f t="shared" ref="J113:J123" si="113">IF(E113&gt;0,(I113-E113)/E113,(IF(I113=0,"N/A",100%)))</f>
        <v>N/A</v>
      </c>
      <c r="K113" s="1952">
        <v>0</v>
      </c>
      <c r="L113" s="1952">
        <v>0</v>
      </c>
      <c r="M113" s="1983">
        <v>0</v>
      </c>
      <c r="N113" s="1952">
        <f t="shared" ref="N113:N122" si="114">SUM(K113:M113)</f>
        <v>0</v>
      </c>
      <c r="O113" s="505" t="str">
        <f t="shared" ref="O113:O123" si="115">IF(I113&gt;0,(N113-I113)/I113,(IF(N113=0,"N/A",100%)))</f>
        <v>N/A</v>
      </c>
      <c r="P113" s="1953">
        <v>0</v>
      </c>
      <c r="Q113" s="1952">
        <v>0</v>
      </c>
      <c r="R113" s="1983">
        <v>0</v>
      </c>
      <c r="S113" s="1983">
        <f t="shared" ref="S113:S122" si="116">SUM(P113:R113)</f>
        <v>0</v>
      </c>
      <c r="T113" s="1954" t="str">
        <f t="shared" ref="T113:T123" si="117">IF(N113&gt;0,(S113-N113)/N113,(IF(S113=0,"N/A",100%)))</f>
        <v>N/A</v>
      </c>
      <c r="U113" s="1952">
        <v>0</v>
      </c>
      <c r="V113" s="1952">
        <v>0</v>
      </c>
      <c r="W113" s="1983">
        <v>0</v>
      </c>
      <c r="X113" s="1952">
        <f t="shared" ref="X113:X122" si="118">SUM(U113:W113)</f>
        <v>0</v>
      </c>
      <c r="Y113" s="505" t="str">
        <f t="shared" ref="Y113:Y123" si="119">IF(S113&gt;0,(X113-S113)/S113,(IF(X113=0,"N/A",100%)))</f>
        <v>N/A</v>
      </c>
      <c r="Z113" s="1952">
        <v>10</v>
      </c>
      <c r="AA113" s="1952">
        <v>0</v>
      </c>
      <c r="AB113" s="1983">
        <v>0</v>
      </c>
      <c r="AC113" s="1952">
        <f t="shared" ref="AC113:AC122" si="120">SUM(Z113:AB113)</f>
        <v>10</v>
      </c>
      <c r="AD113" s="505">
        <f t="shared" ref="AD113:AD123" si="121">IF(X113&gt;0,(AC113-X113)/X113,(IF(AC113=0,"N/A",100%)))</f>
        <v>1</v>
      </c>
      <c r="AE113" s="1952">
        <v>8</v>
      </c>
      <c r="AF113" s="1952">
        <v>0</v>
      </c>
      <c r="AG113" s="1983">
        <v>0</v>
      </c>
      <c r="AH113" s="1983">
        <f t="shared" ref="AH113:AH122" si="122">SUM(AE113:AG113)</f>
        <v>8</v>
      </c>
      <c r="AI113" s="1954">
        <f t="shared" ref="AI113:AI123" si="123">IF(AC113&gt;0,(AH113-AC113)/AC113,(IF(AH113=0,"N/A",100%)))</f>
        <v>-0.2</v>
      </c>
      <c r="AJ113" s="1952">
        <v>11</v>
      </c>
      <c r="AK113" s="1952">
        <v>0</v>
      </c>
      <c r="AL113" s="1983">
        <v>0</v>
      </c>
      <c r="AM113" s="1983">
        <f t="shared" ref="AM113:AM122" si="124">SUM(AJ113:AL113)</f>
        <v>11</v>
      </c>
      <c r="AN113" s="1954">
        <f t="shared" ref="AN113:AN123" si="125">IF(AH113&gt;0,(AM113-AH113)/AH113,(IF(AM113=0,"N/A",100%)))</f>
        <v>0.375</v>
      </c>
      <c r="AO113" s="1952">
        <v>0</v>
      </c>
      <c r="AP113" s="1952">
        <v>15</v>
      </c>
      <c r="AQ113" s="1983">
        <v>0</v>
      </c>
      <c r="AR113" s="1952">
        <f t="shared" ref="AR113:AR122" si="126">SUM(AO113:AQ113)</f>
        <v>15</v>
      </c>
      <c r="AS113" s="1954">
        <f t="shared" ref="AS113:AS123" si="127">IF(AM113&gt;0,(AR113-AM113)/AM113,(IF(AR113=0,"N/A",100%)))</f>
        <v>0.36363636363636365</v>
      </c>
      <c r="AT113" s="124"/>
      <c r="AU113" s="124"/>
      <c r="AV113" s="124"/>
      <c r="AW113" s="124"/>
    </row>
    <row r="114" spans="1:49" x14ac:dyDescent="0.25">
      <c r="A114" s="1319" t="s">
        <v>1052</v>
      </c>
      <c r="B114" s="1949">
        <v>98</v>
      </c>
      <c r="C114" s="1949">
        <v>0</v>
      </c>
      <c r="D114" s="1617">
        <v>0</v>
      </c>
      <c r="E114" s="1951">
        <f t="shared" si="111"/>
        <v>98</v>
      </c>
      <c r="F114" s="1949">
        <v>120</v>
      </c>
      <c r="G114" s="1949">
        <v>0</v>
      </c>
      <c r="H114" s="1617">
        <v>0</v>
      </c>
      <c r="I114" s="1983">
        <f t="shared" si="112"/>
        <v>120</v>
      </c>
      <c r="J114" s="1954">
        <f t="shared" si="113"/>
        <v>0.22448979591836735</v>
      </c>
      <c r="K114" s="1952">
        <v>166</v>
      </c>
      <c r="L114" s="1952">
        <v>0</v>
      </c>
      <c r="M114" s="1246">
        <v>0</v>
      </c>
      <c r="N114" s="1952">
        <f t="shared" si="114"/>
        <v>166</v>
      </c>
      <c r="O114" s="505">
        <f t="shared" si="115"/>
        <v>0.38333333333333336</v>
      </c>
      <c r="P114" s="1953">
        <v>224</v>
      </c>
      <c r="Q114" s="1952">
        <v>0</v>
      </c>
      <c r="R114" s="1246">
        <v>0</v>
      </c>
      <c r="S114" s="1246">
        <f t="shared" si="116"/>
        <v>224</v>
      </c>
      <c r="T114" s="1954">
        <f t="shared" si="117"/>
        <v>0.3493975903614458</v>
      </c>
      <c r="U114" s="1952">
        <v>210</v>
      </c>
      <c r="V114" s="1952">
        <v>0</v>
      </c>
      <c r="W114" s="1246">
        <v>0</v>
      </c>
      <c r="X114" s="1952">
        <f t="shared" si="118"/>
        <v>210</v>
      </c>
      <c r="Y114" s="505">
        <f t="shared" si="119"/>
        <v>-6.25E-2</v>
      </c>
      <c r="Z114" s="1952">
        <v>148</v>
      </c>
      <c r="AA114" s="1952">
        <v>0</v>
      </c>
      <c r="AB114" s="1246">
        <v>0</v>
      </c>
      <c r="AC114" s="1952">
        <f t="shared" si="120"/>
        <v>148</v>
      </c>
      <c r="AD114" s="505">
        <f t="shared" si="121"/>
        <v>-0.29523809523809524</v>
      </c>
      <c r="AE114" s="1952">
        <v>164</v>
      </c>
      <c r="AF114" s="1952">
        <v>0</v>
      </c>
      <c r="AG114" s="1246">
        <v>0</v>
      </c>
      <c r="AH114" s="1246">
        <f t="shared" si="122"/>
        <v>164</v>
      </c>
      <c r="AI114" s="1954">
        <f t="shared" si="123"/>
        <v>0.10810810810810811</v>
      </c>
      <c r="AJ114" s="1952">
        <v>84</v>
      </c>
      <c r="AK114" s="1952">
        <v>0</v>
      </c>
      <c r="AL114" s="1246">
        <v>0</v>
      </c>
      <c r="AM114" s="1246">
        <f t="shared" si="124"/>
        <v>84</v>
      </c>
      <c r="AN114" s="1954">
        <f t="shared" si="125"/>
        <v>-0.48780487804878048</v>
      </c>
      <c r="AO114" s="1952">
        <v>66</v>
      </c>
      <c r="AP114" s="1952">
        <v>0</v>
      </c>
      <c r="AQ114" s="1983">
        <v>0</v>
      </c>
      <c r="AR114" s="1952">
        <f t="shared" si="126"/>
        <v>66</v>
      </c>
      <c r="AS114" s="1954">
        <f t="shared" si="127"/>
        <v>-0.21428571428571427</v>
      </c>
      <c r="AT114" s="124"/>
      <c r="AU114" s="124"/>
      <c r="AV114" s="124"/>
      <c r="AW114" s="124"/>
    </row>
    <row r="115" spans="1:49" x14ac:dyDescent="0.25">
      <c r="A115" s="1319" t="s">
        <v>1625</v>
      </c>
      <c r="B115" s="1949">
        <v>0</v>
      </c>
      <c r="C115" s="1949">
        <v>0</v>
      </c>
      <c r="D115" s="1617">
        <v>0</v>
      </c>
      <c r="E115" s="1951">
        <f t="shared" si="111"/>
        <v>0</v>
      </c>
      <c r="F115" s="1949">
        <v>0</v>
      </c>
      <c r="G115" s="1949">
        <v>0</v>
      </c>
      <c r="H115" s="1617">
        <v>0</v>
      </c>
      <c r="I115" s="1983">
        <f t="shared" si="112"/>
        <v>0</v>
      </c>
      <c r="J115" s="1954" t="str">
        <f t="shared" si="113"/>
        <v>N/A</v>
      </c>
      <c r="K115" s="1952">
        <v>0</v>
      </c>
      <c r="L115" s="1952">
        <v>0</v>
      </c>
      <c r="M115" s="1246">
        <v>0</v>
      </c>
      <c r="N115" s="1952">
        <f>SUM(K115:M115)</f>
        <v>0</v>
      </c>
      <c r="O115" s="505" t="str">
        <f>IF(I115&gt;0,(N115-I115)/I115,(IF(N115=0,"N/A",100%)))</f>
        <v>N/A</v>
      </c>
      <c r="P115" s="1953">
        <v>0</v>
      </c>
      <c r="Q115" s="1952">
        <v>0</v>
      </c>
      <c r="R115" s="1246">
        <v>0</v>
      </c>
      <c r="S115" s="1246">
        <f>SUM(P115:R115)</f>
        <v>0</v>
      </c>
      <c r="T115" s="1954" t="str">
        <f>IF(N115&gt;0,(S115-N115)/N115,(IF(S115=0,"N/A",100%)))</f>
        <v>N/A</v>
      </c>
      <c r="U115" s="1952">
        <v>0</v>
      </c>
      <c r="V115" s="1952">
        <v>0</v>
      </c>
      <c r="W115" s="1246">
        <v>0</v>
      </c>
      <c r="X115" s="1952">
        <f>SUM(U115:W115)</f>
        <v>0</v>
      </c>
      <c r="Y115" s="505" t="str">
        <f>IF(S115&gt;0,(X115-S115)/S115,(IF(X115=0,"N/A",100%)))</f>
        <v>N/A</v>
      </c>
      <c r="Z115" s="1952">
        <v>0</v>
      </c>
      <c r="AA115" s="1952">
        <v>0</v>
      </c>
      <c r="AB115" s="1246">
        <v>0</v>
      </c>
      <c r="AC115" s="1952">
        <f>SUM(Z115:AB115)</f>
        <v>0</v>
      </c>
      <c r="AD115" s="505" t="str">
        <f>IF(X115&gt;0,(AC115-X115)/X115,(IF(AC115=0,"N/A",100%)))</f>
        <v>N/A</v>
      </c>
      <c r="AE115" s="1952">
        <v>87</v>
      </c>
      <c r="AF115" s="1952">
        <v>27</v>
      </c>
      <c r="AG115" s="1246">
        <v>0</v>
      </c>
      <c r="AH115" s="1246">
        <f>SUM(AE115:AG115)</f>
        <v>114</v>
      </c>
      <c r="AI115" s="1954">
        <f>IF(AC115&gt;0,(AH115-AC115)/AC115,(IF(AH115=0,"N/A",100%)))</f>
        <v>1</v>
      </c>
      <c r="AJ115" s="1952">
        <v>99</v>
      </c>
      <c r="AK115" s="1952">
        <v>48</v>
      </c>
      <c r="AL115" s="1246">
        <v>0</v>
      </c>
      <c r="AM115" s="1246">
        <f t="shared" si="124"/>
        <v>147</v>
      </c>
      <c r="AN115" s="1954">
        <f t="shared" si="125"/>
        <v>0.28947368421052633</v>
      </c>
      <c r="AO115" s="1952">
        <v>0</v>
      </c>
      <c r="AP115" s="1952">
        <v>174</v>
      </c>
      <c r="AQ115" s="1983">
        <v>0</v>
      </c>
      <c r="AR115" s="1952">
        <f t="shared" si="126"/>
        <v>174</v>
      </c>
      <c r="AS115" s="1954">
        <f t="shared" si="127"/>
        <v>0.18367346938775511</v>
      </c>
      <c r="AT115" s="124"/>
      <c r="AU115" s="124"/>
      <c r="AV115" s="124"/>
      <c r="AW115" s="124"/>
    </row>
    <row r="116" spans="1:49" x14ac:dyDescent="0.25">
      <c r="A116" s="1319" t="s">
        <v>758</v>
      </c>
      <c r="B116" s="1949">
        <v>33</v>
      </c>
      <c r="C116" s="1949">
        <v>0</v>
      </c>
      <c r="D116" s="1617">
        <v>0</v>
      </c>
      <c r="E116" s="1951">
        <f t="shared" si="111"/>
        <v>33</v>
      </c>
      <c r="F116" s="1949">
        <v>33</v>
      </c>
      <c r="G116" s="1949">
        <v>0</v>
      </c>
      <c r="H116" s="1617">
        <v>0</v>
      </c>
      <c r="I116" s="1983">
        <f t="shared" si="112"/>
        <v>33</v>
      </c>
      <c r="J116" s="1954">
        <f t="shared" si="113"/>
        <v>0</v>
      </c>
      <c r="K116" s="1952">
        <v>45</v>
      </c>
      <c r="L116" s="1952">
        <v>0</v>
      </c>
      <c r="M116" s="1246">
        <v>0</v>
      </c>
      <c r="N116" s="1952">
        <f t="shared" si="114"/>
        <v>45</v>
      </c>
      <c r="O116" s="505">
        <f t="shared" si="115"/>
        <v>0.36363636363636365</v>
      </c>
      <c r="P116" s="1952">
        <v>57</v>
      </c>
      <c r="Q116" s="1952">
        <v>0</v>
      </c>
      <c r="R116" s="1246">
        <v>0</v>
      </c>
      <c r="S116" s="1246">
        <f t="shared" si="116"/>
        <v>57</v>
      </c>
      <c r="T116" s="1954">
        <f t="shared" si="117"/>
        <v>0.26666666666666666</v>
      </c>
      <c r="U116" s="1952">
        <v>111</v>
      </c>
      <c r="V116" s="1952">
        <v>0</v>
      </c>
      <c r="W116" s="1246">
        <v>0</v>
      </c>
      <c r="X116" s="1952">
        <f t="shared" si="118"/>
        <v>111</v>
      </c>
      <c r="Y116" s="505">
        <f t="shared" si="119"/>
        <v>0.94736842105263153</v>
      </c>
      <c r="Z116" s="1952">
        <v>84</v>
      </c>
      <c r="AA116" s="1952">
        <v>0</v>
      </c>
      <c r="AB116" s="1246">
        <v>0</v>
      </c>
      <c r="AC116" s="1952">
        <f t="shared" si="120"/>
        <v>84</v>
      </c>
      <c r="AD116" s="505">
        <f t="shared" si="121"/>
        <v>-0.24324324324324326</v>
      </c>
      <c r="AE116" s="1952">
        <v>0</v>
      </c>
      <c r="AF116" s="1952">
        <v>0</v>
      </c>
      <c r="AG116" s="1246">
        <v>0</v>
      </c>
      <c r="AH116" s="1246">
        <f t="shared" si="122"/>
        <v>0</v>
      </c>
      <c r="AI116" s="1954">
        <f t="shared" si="123"/>
        <v>-1</v>
      </c>
      <c r="AJ116" s="1952">
        <v>0</v>
      </c>
      <c r="AK116" s="1952">
        <v>0</v>
      </c>
      <c r="AL116" s="1246">
        <v>0</v>
      </c>
      <c r="AM116" s="1246">
        <f t="shared" si="124"/>
        <v>0</v>
      </c>
      <c r="AN116" s="1954" t="str">
        <f t="shared" si="125"/>
        <v>N/A</v>
      </c>
      <c r="AO116" s="1952">
        <v>0</v>
      </c>
      <c r="AP116" s="1952">
        <v>0</v>
      </c>
      <c r="AQ116" s="1983">
        <v>0</v>
      </c>
      <c r="AR116" s="1952">
        <f t="shared" si="126"/>
        <v>0</v>
      </c>
      <c r="AS116" s="1954" t="str">
        <f t="shared" si="127"/>
        <v>N/A</v>
      </c>
      <c r="AT116" s="124"/>
      <c r="AU116" s="124"/>
      <c r="AV116" s="124"/>
      <c r="AW116" s="124"/>
    </row>
    <row r="117" spans="1:49" x14ac:dyDescent="0.25">
      <c r="A117" s="1319" t="s">
        <v>1054</v>
      </c>
      <c r="B117" s="1949">
        <v>0</v>
      </c>
      <c r="C117" s="1949">
        <v>0</v>
      </c>
      <c r="D117" s="1617">
        <v>0</v>
      </c>
      <c r="E117" s="1951">
        <f t="shared" si="111"/>
        <v>0</v>
      </c>
      <c r="F117" s="1949">
        <v>0</v>
      </c>
      <c r="G117" s="1949">
        <v>0</v>
      </c>
      <c r="H117" s="1617">
        <v>0</v>
      </c>
      <c r="I117" s="1983">
        <f t="shared" si="112"/>
        <v>0</v>
      </c>
      <c r="J117" s="1954" t="str">
        <f t="shared" si="113"/>
        <v>N/A</v>
      </c>
      <c r="K117" s="1952">
        <v>0</v>
      </c>
      <c r="L117" s="1952">
        <v>0</v>
      </c>
      <c r="M117" s="1246">
        <v>0</v>
      </c>
      <c r="N117" s="1952">
        <f t="shared" si="114"/>
        <v>0</v>
      </c>
      <c r="O117" s="505" t="str">
        <f t="shared" si="115"/>
        <v>N/A</v>
      </c>
      <c r="P117" s="1952">
        <v>0</v>
      </c>
      <c r="Q117" s="1952">
        <v>0</v>
      </c>
      <c r="R117" s="1246">
        <v>0</v>
      </c>
      <c r="S117" s="1246">
        <f t="shared" si="116"/>
        <v>0</v>
      </c>
      <c r="T117" s="1954" t="str">
        <f t="shared" si="117"/>
        <v>N/A</v>
      </c>
      <c r="U117" s="1952">
        <v>0</v>
      </c>
      <c r="V117" s="1952">
        <v>0</v>
      </c>
      <c r="W117" s="1246">
        <v>0</v>
      </c>
      <c r="X117" s="1952">
        <f t="shared" si="118"/>
        <v>0</v>
      </c>
      <c r="Y117" s="505" t="str">
        <f t="shared" si="119"/>
        <v>N/A</v>
      </c>
      <c r="Z117" s="1952">
        <v>0</v>
      </c>
      <c r="AA117" s="1952">
        <v>0</v>
      </c>
      <c r="AB117" s="1246">
        <v>0</v>
      </c>
      <c r="AC117" s="1952">
        <f t="shared" si="120"/>
        <v>0</v>
      </c>
      <c r="AD117" s="505" t="str">
        <f t="shared" si="121"/>
        <v>N/A</v>
      </c>
      <c r="AE117" s="1952">
        <v>0</v>
      </c>
      <c r="AF117" s="1952">
        <v>0</v>
      </c>
      <c r="AG117" s="1246">
        <v>0</v>
      </c>
      <c r="AH117" s="1246">
        <f t="shared" si="122"/>
        <v>0</v>
      </c>
      <c r="AI117" s="1954" t="str">
        <f t="shared" si="123"/>
        <v>N/A</v>
      </c>
      <c r="AJ117" s="1952">
        <v>0</v>
      </c>
      <c r="AK117" s="1952">
        <v>24</v>
      </c>
      <c r="AL117" s="1246">
        <v>0</v>
      </c>
      <c r="AM117" s="1246">
        <f t="shared" si="124"/>
        <v>24</v>
      </c>
      <c r="AN117" s="1954">
        <f t="shared" si="125"/>
        <v>1</v>
      </c>
      <c r="AO117" s="1952">
        <v>0</v>
      </c>
      <c r="AP117" s="1952">
        <v>69</v>
      </c>
      <c r="AQ117" s="1983">
        <v>0</v>
      </c>
      <c r="AR117" s="1952">
        <f t="shared" si="126"/>
        <v>69</v>
      </c>
      <c r="AS117" s="1954">
        <f t="shared" si="127"/>
        <v>1.875</v>
      </c>
      <c r="AT117" s="124"/>
      <c r="AU117" s="124"/>
      <c r="AV117" s="124"/>
      <c r="AW117" s="124"/>
    </row>
    <row r="118" spans="1:49" x14ac:dyDescent="0.25">
      <c r="A118" s="1319" t="s">
        <v>1055</v>
      </c>
      <c r="B118" s="1949">
        <v>0</v>
      </c>
      <c r="C118" s="1949">
        <v>36</v>
      </c>
      <c r="D118" s="1617">
        <v>0</v>
      </c>
      <c r="E118" s="1951">
        <f t="shared" si="111"/>
        <v>36</v>
      </c>
      <c r="F118" s="1949">
        <v>0</v>
      </c>
      <c r="G118" s="1949">
        <v>24</v>
      </c>
      <c r="H118" s="1617">
        <v>0</v>
      </c>
      <c r="I118" s="1983">
        <f t="shared" si="112"/>
        <v>24</v>
      </c>
      <c r="J118" s="1954">
        <f t="shared" si="113"/>
        <v>-0.33333333333333331</v>
      </c>
      <c r="K118" s="1952">
        <v>0</v>
      </c>
      <c r="L118" s="1952">
        <v>69</v>
      </c>
      <c r="M118" s="1246">
        <v>0</v>
      </c>
      <c r="N118" s="1952">
        <f t="shared" si="114"/>
        <v>69</v>
      </c>
      <c r="O118" s="505">
        <f t="shared" si="115"/>
        <v>1.875</v>
      </c>
      <c r="P118" s="1952">
        <v>0</v>
      </c>
      <c r="Q118" s="1952">
        <v>24</v>
      </c>
      <c r="R118" s="1246">
        <v>0</v>
      </c>
      <c r="S118" s="1246">
        <f t="shared" si="116"/>
        <v>24</v>
      </c>
      <c r="T118" s="1954">
        <f t="shared" si="117"/>
        <v>-0.65217391304347827</v>
      </c>
      <c r="U118" s="1952">
        <v>0</v>
      </c>
      <c r="V118" s="1952">
        <v>0</v>
      </c>
      <c r="W118" s="1246">
        <v>0</v>
      </c>
      <c r="X118" s="1952">
        <f t="shared" si="118"/>
        <v>0</v>
      </c>
      <c r="Y118" s="505">
        <f t="shared" si="119"/>
        <v>-1</v>
      </c>
      <c r="Z118" s="1952">
        <v>0</v>
      </c>
      <c r="AA118" s="1952">
        <v>96</v>
      </c>
      <c r="AB118" s="1246">
        <v>0</v>
      </c>
      <c r="AC118" s="1952">
        <f t="shared" si="120"/>
        <v>96</v>
      </c>
      <c r="AD118" s="505">
        <f t="shared" si="121"/>
        <v>1</v>
      </c>
      <c r="AE118" s="1952">
        <v>0</v>
      </c>
      <c r="AF118" s="1952">
        <v>72</v>
      </c>
      <c r="AG118" s="1246">
        <v>0</v>
      </c>
      <c r="AH118" s="1246">
        <f t="shared" si="122"/>
        <v>72</v>
      </c>
      <c r="AI118" s="1954">
        <f t="shared" si="123"/>
        <v>-0.25</v>
      </c>
      <c r="AJ118" s="1952">
        <v>0</v>
      </c>
      <c r="AK118" s="1952">
        <v>96</v>
      </c>
      <c r="AL118" s="1246">
        <v>0</v>
      </c>
      <c r="AM118" s="1246">
        <f t="shared" si="124"/>
        <v>96</v>
      </c>
      <c r="AN118" s="1954">
        <f t="shared" si="125"/>
        <v>0.33333333333333331</v>
      </c>
      <c r="AO118" s="1952">
        <v>0</v>
      </c>
      <c r="AP118" s="1952">
        <v>132</v>
      </c>
      <c r="AQ118" s="1983">
        <v>0</v>
      </c>
      <c r="AR118" s="1952">
        <f t="shared" si="126"/>
        <v>132</v>
      </c>
      <c r="AS118" s="1954">
        <f t="shared" si="127"/>
        <v>0.375</v>
      </c>
      <c r="AT118" s="124"/>
      <c r="AU118" s="124"/>
      <c r="AV118" s="124"/>
      <c r="AW118" s="124"/>
    </row>
    <row r="119" spans="1:49" x14ac:dyDescent="0.25">
      <c r="A119" s="1319" t="s">
        <v>1056</v>
      </c>
      <c r="B119" s="1949">
        <v>0</v>
      </c>
      <c r="C119" s="1949">
        <v>0</v>
      </c>
      <c r="D119" s="1617">
        <v>0</v>
      </c>
      <c r="E119" s="1951">
        <f t="shared" si="111"/>
        <v>0</v>
      </c>
      <c r="F119" s="1949">
        <v>0</v>
      </c>
      <c r="G119" s="1949">
        <v>0</v>
      </c>
      <c r="H119" s="1617">
        <v>0</v>
      </c>
      <c r="I119" s="1983">
        <f t="shared" si="112"/>
        <v>0</v>
      </c>
      <c r="J119" s="1954" t="str">
        <f t="shared" si="113"/>
        <v>N/A</v>
      </c>
      <c r="K119" s="1952">
        <v>0</v>
      </c>
      <c r="L119" s="1952">
        <v>0</v>
      </c>
      <c r="M119" s="1246">
        <v>0</v>
      </c>
      <c r="N119" s="1952">
        <f t="shared" si="114"/>
        <v>0</v>
      </c>
      <c r="O119" s="505" t="str">
        <f t="shared" si="115"/>
        <v>N/A</v>
      </c>
      <c r="P119" s="1952">
        <v>0</v>
      </c>
      <c r="Q119" s="1952">
        <v>0</v>
      </c>
      <c r="R119" s="1246">
        <v>0</v>
      </c>
      <c r="S119" s="1246">
        <f t="shared" si="116"/>
        <v>0</v>
      </c>
      <c r="T119" s="1954" t="str">
        <f t="shared" si="117"/>
        <v>N/A</v>
      </c>
      <c r="U119" s="1952">
        <v>14</v>
      </c>
      <c r="V119" s="1952">
        <v>0</v>
      </c>
      <c r="W119" s="1246">
        <v>0</v>
      </c>
      <c r="X119" s="1952">
        <f t="shared" si="118"/>
        <v>14</v>
      </c>
      <c r="Y119" s="505">
        <f t="shared" si="119"/>
        <v>1</v>
      </c>
      <c r="Z119" s="1952">
        <v>13</v>
      </c>
      <c r="AA119" s="1952">
        <v>0</v>
      </c>
      <c r="AB119" s="1246">
        <v>0</v>
      </c>
      <c r="AC119" s="1952">
        <f t="shared" si="120"/>
        <v>13</v>
      </c>
      <c r="AD119" s="505">
        <f t="shared" si="121"/>
        <v>-7.1428571428571425E-2</v>
      </c>
      <c r="AE119" s="1952">
        <v>16</v>
      </c>
      <c r="AF119" s="1952">
        <v>0</v>
      </c>
      <c r="AG119" s="1246">
        <v>0</v>
      </c>
      <c r="AH119" s="1246">
        <f t="shared" si="122"/>
        <v>16</v>
      </c>
      <c r="AI119" s="1954">
        <f t="shared" si="123"/>
        <v>0.23076923076923078</v>
      </c>
      <c r="AJ119" s="1952">
        <v>0</v>
      </c>
      <c r="AK119" s="1952">
        <v>0</v>
      </c>
      <c r="AL119" s="1246">
        <v>0</v>
      </c>
      <c r="AM119" s="1246">
        <f t="shared" si="124"/>
        <v>0</v>
      </c>
      <c r="AN119" s="1954">
        <f t="shared" si="125"/>
        <v>-1</v>
      </c>
      <c r="AO119" s="1952">
        <v>18</v>
      </c>
      <c r="AP119" s="1952">
        <v>0</v>
      </c>
      <c r="AQ119" s="1983">
        <v>0</v>
      </c>
      <c r="AR119" s="1952">
        <f t="shared" si="126"/>
        <v>18</v>
      </c>
      <c r="AS119" s="1954">
        <f t="shared" si="127"/>
        <v>1</v>
      </c>
      <c r="AT119" s="124"/>
      <c r="AU119" s="124"/>
      <c r="AV119" s="124"/>
      <c r="AW119" s="124"/>
    </row>
    <row r="120" spans="1:49" x14ac:dyDescent="0.25">
      <c r="A120" s="1319" t="s">
        <v>1195</v>
      </c>
      <c r="B120" s="1949">
        <v>0</v>
      </c>
      <c r="C120" s="1949">
        <v>0</v>
      </c>
      <c r="D120" s="1617">
        <v>0</v>
      </c>
      <c r="E120" s="1951">
        <f t="shared" si="111"/>
        <v>0</v>
      </c>
      <c r="F120" s="1949">
        <v>0</v>
      </c>
      <c r="G120" s="1949">
        <v>0</v>
      </c>
      <c r="H120" s="1617">
        <v>0</v>
      </c>
      <c r="I120" s="1983">
        <f t="shared" si="112"/>
        <v>0</v>
      </c>
      <c r="J120" s="1954" t="str">
        <f t="shared" si="113"/>
        <v>N/A</v>
      </c>
      <c r="K120" s="1952">
        <v>0</v>
      </c>
      <c r="L120" s="1952">
        <v>0</v>
      </c>
      <c r="M120" s="1246">
        <v>0</v>
      </c>
      <c r="N120" s="1952">
        <f t="shared" si="114"/>
        <v>0</v>
      </c>
      <c r="O120" s="505" t="str">
        <f t="shared" si="115"/>
        <v>N/A</v>
      </c>
      <c r="P120" s="1952">
        <v>0</v>
      </c>
      <c r="Q120" s="1952">
        <v>0</v>
      </c>
      <c r="R120" s="1246">
        <v>0</v>
      </c>
      <c r="S120" s="1246">
        <f t="shared" si="116"/>
        <v>0</v>
      </c>
      <c r="T120" s="1954" t="str">
        <f t="shared" si="117"/>
        <v>N/A</v>
      </c>
      <c r="U120" s="1952">
        <v>0</v>
      </c>
      <c r="V120" s="1952">
        <v>0</v>
      </c>
      <c r="W120" s="1246">
        <v>0</v>
      </c>
      <c r="X120" s="1952">
        <f t="shared" si="118"/>
        <v>0</v>
      </c>
      <c r="Y120" s="505" t="str">
        <f t="shared" si="119"/>
        <v>N/A</v>
      </c>
      <c r="Z120" s="1952">
        <v>0</v>
      </c>
      <c r="AA120" s="1952">
        <v>0</v>
      </c>
      <c r="AB120" s="1246">
        <v>0</v>
      </c>
      <c r="AC120" s="1952">
        <f t="shared" si="120"/>
        <v>0</v>
      </c>
      <c r="AD120" s="505" t="str">
        <f t="shared" si="121"/>
        <v>N/A</v>
      </c>
      <c r="AE120" s="1952">
        <v>0</v>
      </c>
      <c r="AF120" s="1952">
        <v>0</v>
      </c>
      <c r="AG120" s="1246">
        <v>0</v>
      </c>
      <c r="AH120" s="1246">
        <f t="shared" si="122"/>
        <v>0</v>
      </c>
      <c r="AI120" s="1954" t="str">
        <f t="shared" si="123"/>
        <v>N/A</v>
      </c>
      <c r="AJ120" s="1952">
        <v>0</v>
      </c>
      <c r="AK120" s="1952">
        <v>0</v>
      </c>
      <c r="AL120" s="1246">
        <v>0</v>
      </c>
      <c r="AM120" s="1246">
        <f t="shared" si="124"/>
        <v>0</v>
      </c>
      <c r="AN120" s="1954" t="str">
        <f t="shared" si="125"/>
        <v>N/A</v>
      </c>
      <c r="AO120" s="1952">
        <v>0</v>
      </c>
      <c r="AP120" s="1952">
        <v>0</v>
      </c>
      <c r="AQ120" s="1983">
        <v>0</v>
      </c>
      <c r="AR120" s="1952">
        <f t="shared" si="126"/>
        <v>0</v>
      </c>
      <c r="AS120" s="1954" t="str">
        <f t="shared" si="127"/>
        <v>N/A</v>
      </c>
      <c r="AT120" s="124"/>
      <c r="AU120" s="124"/>
      <c r="AV120" s="124"/>
      <c r="AW120" s="124"/>
    </row>
    <row r="121" spans="1:49" x14ac:dyDescent="0.25">
      <c r="A121" s="1326" t="s">
        <v>421</v>
      </c>
      <c r="B121" s="1616">
        <v>50</v>
      </c>
      <c r="C121" s="1616">
        <v>48</v>
      </c>
      <c r="D121" s="1617">
        <v>0</v>
      </c>
      <c r="E121" s="1880">
        <f t="shared" si="111"/>
        <v>98</v>
      </c>
      <c r="F121" s="1616">
        <v>28</v>
      </c>
      <c r="G121" s="1616">
        <v>36</v>
      </c>
      <c r="H121" s="1617">
        <v>0</v>
      </c>
      <c r="I121" s="1983">
        <f t="shared" si="112"/>
        <v>64</v>
      </c>
      <c r="J121" s="1881">
        <f t="shared" si="113"/>
        <v>-0.34693877551020408</v>
      </c>
      <c r="K121" s="1683">
        <v>79</v>
      </c>
      <c r="L121" s="1683">
        <v>30</v>
      </c>
      <c r="M121" s="1246">
        <v>0</v>
      </c>
      <c r="N121" s="1683">
        <f t="shared" si="114"/>
        <v>109</v>
      </c>
      <c r="O121" s="505">
        <f t="shared" si="115"/>
        <v>0.703125</v>
      </c>
      <c r="P121" s="1683">
        <v>48</v>
      </c>
      <c r="Q121" s="1683">
        <v>51</v>
      </c>
      <c r="R121" s="1246">
        <v>0</v>
      </c>
      <c r="S121" s="1246">
        <f t="shared" si="116"/>
        <v>99</v>
      </c>
      <c r="T121" s="1954">
        <f t="shared" si="117"/>
        <v>-9.1743119266055051E-2</v>
      </c>
      <c r="U121" s="1683">
        <v>47</v>
      </c>
      <c r="V121" s="1683">
        <v>37</v>
      </c>
      <c r="W121" s="1246">
        <v>0</v>
      </c>
      <c r="X121" s="1683">
        <f t="shared" si="118"/>
        <v>84</v>
      </c>
      <c r="Y121" s="505">
        <f t="shared" si="119"/>
        <v>-0.15151515151515152</v>
      </c>
      <c r="Z121" s="1683">
        <v>63</v>
      </c>
      <c r="AA121" s="1683">
        <v>32</v>
      </c>
      <c r="AB121" s="1246">
        <v>0</v>
      </c>
      <c r="AC121" s="1683">
        <f t="shared" si="120"/>
        <v>95</v>
      </c>
      <c r="AD121" s="505">
        <f t="shared" si="121"/>
        <v>0.13095238095238096</v>
      </c>
      <c r="AE121" s="1683">
        <v>42</v>
      </c>
      <c r="AF121" s="1683">
        <v>61</v>
      </c>
      <c r="AG121" s="1246">
        <v>0</v>
      </c>
      <c r="AH121" s="1246">
        <f t="shared" si="122"/>
        <v>103</v>
      </c>
      <c r="AI121" s="1954">
        <f t="shared" si="123"/>
        <v>8.4210526315789472E-2</v>
      </c>
      <c r="AJ121" s="1683">
        <v>49</v>
      </c>
      <c r="AK121" s="1683">
        <v>67</v>
      </c>
      <c r="AL121" s="1246">
        <v>0</v>
      </c>
      <c r="AM121" s="1246">
        <f t="shared" si="124"/>
        <v>116</v>
      </c>
      <c r="AN121" s="1954">
        <f t="shared" si="125"/>
        <v>0.12621359223300971</v>
      </c>
      <c r="AO121" s="1683">
        <v>33</v>
      </c>
      <c r="AP121" s="1683">
        <v>77</v>
      </c>
      <c r="AQ121" s="1983">
        <v>0</v>
      </c>
      <c r="AR121" s="1683">
        <f t="shared" si="126"/>
        <v>110</v>
      </c>
      <c r="AS121" s="1954">
        <f t="shared" si="127"/>
        <v>-5.1724137931034482E-2</v>
      </c>
      <c r="AT121" s="124"/>
      <c r="AU121" s="124"/>
      <c r="AV121" s="124"/>
      <c r="AW121" s="124"/>
    </row>
    <row r="122" spans="1:49" x14ac:dyDescent="0.25">
      <c r="A122" s="1984" t="s">
        <v>1653</v>
      </c>
      <c r="B122" s="1618">
        <v>0</v>
      </c>
      <c r="C122" s="1618">
        <v>0</v>
      </c>
      <c r="D122" s="1619">
        <v>0</v>
      </c>
      <c r="E122" s="1620">
        <f t="shared" si="111"/>
        <v>0</v>
      </c>
      <c r="F122" s="1618">
        <v>0</v>
      </c>
      <c r="G122" s="1618">
        <v>0</v>
      </c>
      <c r="H122" s="1619">
        <v>0</v>
      </c>
      <c r="I122" s="1621">
        <f t="shared" si="112"/>
        <v>0</v>
      </c>
      <c r="J122" s="1622" t="str">
        <f t="shared" si="113"/>
        <v>N/A</v>
      </c>
      <c r="K122" s="1623">
        <v>0</v>
      </c>
      <c r="L122" s="1623">
        <v>0</v>
      </c>
      <c r="M122" s="1624">
        <v>0</v>
      </c>
      <c r="N122" s="1625">
        <f t="shared" si="114"/>
        <v>0</v>
      </c>
      <c r="O122" s="1626" t="str">
        <f t="shared" si="115"/>
        <v>N/A</v>
      </c>
      <c r="P122" s="1623">
        <v>0</v>
      </c>
      <c r="Q122" s="1623">
        <v>0</v>
      </c>
      <c r="R122" s="1624">
        <v>0</v>
      </c>
      <c r="S122" s="1627">
        <f t="shared" si="116"/>
        <v>0</v>
      </c>
      <c r="T122" s="1628" t="str">
        <f t="shared" si="117"/>
        <v>N/A</v>
      </c>
      <c r="U122" s="1623">
        <v>0</v>
      </c>
      <c r="V122" s="1623">
        <v>0</v>
      </c>
      <c r="W122" s="1624">
        <v>0</v>
      </c>
      <c r="X122" s="1623">
        <f t="shared" si="118"/>
        <v>0</v>
      </c>
      <c r="Y122" s="1626" t="str">
        <f t="shared" si="119"/>
        <v>N/A</v>
      </c>
      <c r="Z122" s="1623">
        <v>0</v>
      </c>
      <c r="AA122" s="1623">
        <v>0</v>
      </c>
      <c r="AB122" s="1624">
        <v>0</v>
      </c>
      <c r="AC122" s="1623">
        <f t="shared" si="120"/>
        <v>0</v>
      </c>
      <c r="AD122" s="1626" t="str">
        <f t="shared" si="121"/>
        <v>N/A</v>
      </c>
      <c r="AE122" s="1623">
        <v>0</v>
      </c>
      <c r="AF122" s="1623">
        <v>0</v>
      </c>
      <c r="AG122" s="1624">
        <v>0</v>
      </c>
      <c r="AH122" s="1624">
        <f t="shared" si="122"/>
        <v>0</v>
      </c>
      <c r="AI122" s="1628" t="str">
        <f t="shared" si="123"/>
        <v>N/A</v>
      </c>
      <c r="AJ122" s="1623">
        <v>18</v>
      </c>
      <c r="AK122" s="1623">
        <v>0</v>
      </c>
      <c r="AL122" s="1624">
        <v>0</v>
      </c>
      <c r="AM122" s="1624">
        <f t="shared" si="124"/>
        <v>18</v>
      </c>
      <c r="AN122" s="1954">
        <f t="shared" si="125"/>
        <v>1</v>
      </c>
      <c r="AO122" s="1623">
        <v>39</v>
      </c>
      <c r="AP122" s="1623">
        <v>0</v>
      </c>
      <c r="AQ122" s="1983">
        <v>0</v>
      </c>
      <c r="AR122" s="1623">
        <f t="shared" si="126"/>
        <v>39</v>
      </c>
      <c r="AS122" s="1954">
        <f t="shared" si="127"/>
        <v>1.1666666666666667</v>
      </c>
      <c r="AT122" s="124"/>
      <c r="AU122" s="124"/>
      <c r="AV122" s="124"/>
      <c r="AW122" s="124"/>
    </row>
    <row r="123" spans="1:49" s="484" customFormat="1" ht="16.2" thickBot="1" x14ac:dyDescent="0.35">
      <c r="A123" s="1985" t="s">
        <v>1015</v>
      </c>
      <c r="B123" s="994">
        <f t="shared" ref="B123:I123" si="128">SUM(B113:B122)</f>
        <v>181</v>
      </c>
      <c r="C123" s="985">
        <f t="shared" si="128"/>
        <v>84</v>
      </c>
      <c r="D123" s="985">
        <f t="shared" si="128"/>
        <v>0</v>
      </c>
      <c r="E123" s="1024">
        <f t="shared" si="128"/>
        <v>265</v>
      </c>
      <c r="F123" s="985">
        <f t="shared" si="128"/>
        <v>181</v>
      </c>
      <c r="G123" s="985">
        <f t="shared" si="128"/>
        <v>60</v>
      </c>
      <c r="H123" s="985">
        <f t="shared" si="128"/>
        <v>0</v>
      </c>
      <c r="I123" s="985">
        <f t="shared" si="128"/>
        <v>241</v>
      </c>
      <c r="J123" s="1986">
        <f t="shared" si="113"/>
        <v>-9.056603773584905E-2</v>
      </c>
      <c r="K123" s="985">
        <f>SUM(K113:K122)</f>
        <v>290</v>
      </c>
      <c r="L123" s="985">
        <f>SUM(L113:L122)</f>
        <v>99</v>
      </c>
      <c r="M123" s="985">
        <f>SUM(M113:M122)</f>
        <v>0</v>
      </c>
      <c r="N123" s="985">
        <f>SUM(N113:N122)</f>
        <v>389</v>
      </c>
      <c r="O123" s="975">
        <f t="shared" si="115"/>
        <v>0.61410788381742742</v>
      </c>
      <c r="P123" s="994">
        <f>SUM(P113:P122)</f>
        <v>329</v>
      </c>
      <c r="Q123" s="985">
        <f>SUM(Q113:Q122)</f>
        <v>75</v>
      </c>
      <c r="R123" s="985">
        <f>SUM(R113:R122)</f>
        <v>0</v>
      </c>
      <c r="S123" s="1051">
        <f>SUM(S113:S122)</f>
        <v>404</v>
      </c>
      <c r="T123" s="986">
        <f t="shared" si="117"/>
        <v>3.8560411311053984E-2</v>
      </c>
      <c r="U123" s="994">
        <f>SUM(U113:U122)</f>
        <v>382</v>
      </c>
      <c r="V123" s="985">
        <f>SUM(V113:V122)</f>
        <v>37</v>
      </c>
      <c r="W123" s="985">
        <f>SUM(W113:W122)</f>
        <v>0</v>
      </c>
      <c r="X123" s="985">
        <f>SUM(X113:X122)</f>
        <v>419</v>
      </c>
      <c r="Y123" s="975">
        <f t="shared" si="119"/>
        <v>3.7128712871287127E-2</v>
      </c>
      <c r="Z123" s="994">
        <f>SUM(Z113:Z122)</f>
        <v>318</v>
      </c>
      <c r="AA123" s="985">
        <f>SUM(AA113:AA122)</f>
        <v>128</v>
      </c>
      <c r="AB123" s="985">
        <f>SUM(AB113:AB122)</f>
        <v>0</v>
      </c>
      <c r="AC123" s="985">
        <f>SUM(AC113:AC122)</f>
        <v>446</v>
      </c>
      <c r="AD123" s="975">
        <f t="shared" si="121"/>
        <v>6.4439140811455853E-2</v>
      </c>
      <c r="AE123" s="994">
        <f>SUM(AE113:AE122)</f>
        <v>317</v>
      </c>
      <c r="AF123" s="985">
        <f>SUM(AF113:AF122)</f>
        <v>160</v>
      </c>
      <c r="AG123" s="985">
        <f>SUM(AG113:AG122)</f>
        <v>0</v>
      </c>
      <c r="AH123" s="985">
        <f>SUM(AH113:AH122)</f>
        <v>477</v>
      </c>
      <c r="AI123" s="1050">
        <f t="shared" si="123"/>
        <v>6.9506726457399109E-2</v>
      </c>
      <c r="AJ123" s="994">
        <f>SUM(AJ113:AJ122)</f>
        <v>261</v>
      </c>
      <c r="AK123" s="985">
        <f>SUM(AK113:AK122)</f>
        <v>235</v>
      </c>
      <c r="AL123" s="985">
        <f>SUM(AL113:AL122)</f>
        <v>0</v>
      </c>
      <c r="AM123" s="985">
        <f>SUM(AM113:AM122)</f>
        <v>496</v>
      </c>
      <c r="AN123" s="1050">
        <f t="shared" si="125"/>
        <v>3.9832285115303984E-2</v>
      </c>
      <c r="AO123" s="994">
        <f>SUM(AO113:AO122)</f>
        <v>156</v>
      </c>
      <c r="AP123" s="985">
        <f>SUM(AP113:AP122)</f>
        <v>467</v>
      </c>
      <c r="AQ123" s="985">
        <f>SUM(AQ113:AQ122)</f>
        <v>0</v>
      </c>
      <c r="AR123" s="985">
        <f>SUM(AR113:AR122)</f>
        <v>623</v>
      </c>
      <c r="AS123" s="975">
        <f t="shared" si="127"/>
        <v>0.25604838709677419</v>
      </c>
      <c r="AT123" s="124"/>
      <c r="AU123" s="124"/>
      <c r="AV123" s="124"/>
      <c r="AW123" s="124"/>
    </row>
    <row r="124" spans="1:49" s="484" customFormat="1" ht="14.25" customHeight="1" x14ac:dyDescent="0.25">
      <c r="A124" s="518"/>
      <c r="B124" s="519"/>
      <c r="C124" s="519"/>
      <c r="D124" s="519"/>
      <c r="E124" s="519"/>
      <c r="F124" s="519"/>
      <c r="G124" s="519"/>
      <c r="H124" s="519"/>
      <c r="I124" s="519"/>
      <c r="J124" s="520"/>
      <c r="P124" s="519"/>
      <c r="Q124" s="519"/>
      <c r="R124" s="519"/>
      <c r="S124" s="519"/>
      <c r="T124" s="520"/>
      <c r="AT124" s="124"/>
      <c r="AU124" s="124"/>
      <c r="AV124" s="124"/>
      <c r="AW124" s="124"/>
    </row>
    <row r="125" spans="1:49" ht="14.25" customHeight="1" thickBot="1" x14ac:dyDescent="0.3">
      <c r="A125" s="507"/>
      <c r="B125" s="286"/>
      <c r="C125" s="286"/>
      <c r="D125" s="286"/>
      <c r="E125" s="286"/>
      <c r="F125" s="286"/>
      <c r="G125" s="286"/>
      <c r="H125" s="286"/>
      <c r="I125" s="286"/>
      <c r="J125" s="504"/>
      <c r="K125" s="280"/>
      <c r="L125" s="280"/>
      <c r="M125" s="280"/>
      <c r="N125" s="280"/>
      <c r="O125" s="280"/>
      <c r="P125" s="286"/>
      <c r="Q125" s="286"/>
      <c r="R125" s="286"/>
      <c r="S125" s="286"/>
      <c r="T125" s="504"/>
      <c r="U125" s="280"/>
      <c r="V125" s="280"/>
      <c r="W125" s="280"/>
      <c r="X125" s="280"/>
      <c r="Y125" s="280"/>
      <c r="Z125" s="280"/>
      <c r="AA125" s="280"/>
      <c r="AB125" s="280"/>
      <c r="AC125" s="280"/>
      <c r="AD125" s="280"/>
      <c r="AE125" s="280"/>
      <c r="AF125" s="280"/>
      <c r="AG125" s="280"/>
      <c r="AH125" s="280"/>
      <c r="AI125" s="280"/>
      <c r="AJ125" s="280"/>
      <c r="AK125" s="280"/>
      <c r="AL125" s="280"/>
      <c r="AM125" s="280"/>
      <c r="AN125" s="280"/>
      <c r="AO125" s="280"/>
      <c r="AP125" s="280"/>
      <c r="AQ125" s="280"/>
      <c r="AR125" s="280"/>
      <c r="AS125" s="280"/>
      <c r="AT125" s="124"/>
      <c r="AU125" s="124"/>
      <c r="AV125" s="124"/>
      <c r="AW125" s="124"/>
    </row>
    <row r="126" spans="1:49" s="502" customFormat="1" ht="16.8" thickTop="1" thickBot="1" x14ac:dyDescent="0.35">
      <c r="A126" s="1029" t="s">
        <v>1003</v>
      </c>
      <c r="B126" s="1030">
        <f t="shared" ref="B126:I126" si="129">+B123+B109+B85+B45+B24</f>
        <v>19988</v>
      </c>
      <c r="C126" s="1030">
        <f t="shared" si="129"/>
        <v>10331.5</v>
      </c>
      <c r="D126" s="1030">
        <f t="shared" si="129"/>
        <v>363</v>
      </c>
      <c r="E126" s="1031">
        <f t="shared" si="129"/>
        <v>30682.5</v>
      </c>
      <c r="F126" s="1030">
        <f t="shared" si="129"/>
        <v>21978</v>
      </c>
      <c r="G126" s="1030">
        <f t="shared" si="129"/>
        <v>10942</v>
      </c>
      <c r="H126" s="1030">
        <f t="shared" si="129"/>
        <v>465</v>
      </c>
      <c r="I126" s="1030">
        <f t="shared" si="129"/>
        <v>33385</v>
      </c>
      <c r="J126" s="1032">
        <f>IF(E126&gt;0,(I126-E126)/E126,(IF(I126=0,"N/A",100%)))</f>
        <v>8.8079524158722403E-2</v>
      </c>
      <c r="K126" s="1030">
        <f>+K123+K109+K85+K45+K24</f>
        <v>25648.5</v>
      </c>
      <c r="L126" s="1030">
        <f>+L123+L109+L85+L45+L24</f>
        <v>11196</v>
      </c>
      <c r="M126" s="1030">
        <f>+M123+M109+M85+M45+M24</f>
        <v>324</v>
      </c>
      <c r="N126" s="1030">
        <f>+N123+N109+N85+N45+N24</f>
        <v>37168.5</v>
      </c>
      <c r="O126" s="1046">
        <f>IF(I126&gt;0,(N126-I126)/I126,(IF(N126=0,"N/A",100%)))</f>
        <v>0.11332933952373821</v>
      </c>
      <c r="P126" s="1030">
        <f>+P123+P109+P85+P45+P24</f>
        <v>27609</v>
      </c>
      <c r="Q126" s="1030">
        <f>+Q123+Q109+Q85+Q45+Q24</f>
        <v>11117</v>
      </c>
      <c r="R126" s="1030">
        <f>+R123+R109+R85+R45+R24</f>
        <v>414</v>
      </c>
      <c r="S126" s="1034">
        <f>+S123+S109+S85+S45+S24</f>
        <v>39140</v>
      </c>
      <c r="T126" s="1022">
        <f>IF(N126&gt;0,(S126-N126)/N126,(IF(S126=0,"N/A",100%)))</f>
        <v>5.3042226616624291E-2</v>
      </c>
      <c r="U126" s="1030">
        <f>+U123+U109+U85+U45+U24</f>
        <v>27775</v>
      </c>
      <c r="V126" s="1030">
        <f>+V123+V109+V85+V45+V24</f>
        <v>11566</v>
      </c>
      <c r="W126" s="1030">
        <f>+W123+W109+W85+W45+W24</f>
        <v>363</v>
      </c>
      <c r="X126" s="1030">
        <f>+X123+X109+X85+X45+X24</f>
        <v>39704</v>
      </c>
      <c r="Y126" s="1046">
        <f>IF(S126&gt;0,(X126-S126)/S126,(IF(X126=0,"N/A",100%)))</f>
        <v>1.4409810935104753E-2</v>
      </c>
      <c r="Z126" s="1030">
        <f>+Z123+Z109+Z85+Z45+Z24</f>
        <v>26311.5</v>
      </c>
      <c r="AA126" s="1030">
        <f>+AA123+AA109+AA85+AA45+AA24</f>
        <v>11992</v>
      </c>
      <c r="AB126" s="1030">
        <f>+AB123+AB109+AB85+AB45+AB24</f>
        <v>447</v>
      </c>
      <c r="AC126" s="1030">
        <f>+AC123+AC109+AC85+AC45+AC24</f>
        <v>38750.5</v>
      </c>
      <c r="AD126" s="1033">
        <f>IF(X126&gt;0,(AC126-X126)/X126,(IF(AC126=0,"N/A",100%)))</f>
        <v>-2.4015212573040498E-2</v>
      </c>
      <c r="AE126" s="1030">
        <f>+AE123+AE109+AE85+AE45+AE24</f>
        <v>23960.5</v>
      </c>
      <c r="AF126" s="1030">
        <f>+AF123+AF109+AF85+AF45+AF24</f>
        <v>12114.5</v>
      </c>
      <c r="AG126" s="1030">
        <f>+AG123+AG109+AG85+AG45+AG24</f>
        <v>522</v>
      </c>
      <c r="AH126" s="1030">
        <f>+AH123+AH109+AH85+AH45+AH24</f>
        <v>36597</v>
      </c>
      <c r="AI126" s="1033">
        <f>IF(AC126&gt;0,(AH126-AC126)/AC126,(IF(AH126=0,"N/A",100%)))</f>
        <v>-5.5573476471271338E-2</v>
      </c>
      <c r="AJ126" s="1030">
        <f>+AJ123+AJ109+AJ85+AJ45+AJ24</f>
        <v>23271.5</v>
      </c>
      <c r="AK126" s="1030">
        <f>+AK123+AK109+AK85+AK45+AK24</f>
        <v>11534.5</v>
      </c>
      <c r="AL126" s="1030">
        <f>+AL123+AL109+AL85+AL45+AL24</f>
        <v>390</v>
      </c>
      <c r="AM126" s="1030">
        <f>+AM123+AM109+AM85+AM45+AM24</f>
        <v>35196</v>
      </c>
      <c r="AN126" s="1033">
        <f>IF(AH126&gt;0,(AM126-AH126)/AH126,(IF(AM126=0,"N/A",100%)))</f>
        <v>-3.828182637921141E-2</v>
      </c>
      <c r="AO126" s="1030">
        <f>+AO123+AO109+AO85+AO45+AO24</f>
        <v>14450</v>
      </c>
      <c r="AP126" s="1030">
        <f>+AP123+AP109+AP85+AP45+AP24</f>
        <v>19726.5</v>
      </c>
      <c r="AQ126" s="1030">
        <f>+AQ123+AQ109+AQ85+AQ45+AQ24</f>
        <v>285</v>
      </c>
      <c r="AR126" s="1030">
        <f>+AR123+AR109+AR85+AR45+AR24</f>
        <v>34461.5</v>
      </c>
      <c r="AS126" s="1033">
        <f>IF(AM126&gt;0,(AR126-AM126)/AM126,(IF(AR126=0,"N/A",100%)))</f>
        <v>-2.0868848732810547E-2</v>
      </c>
      <c r="AT126" s="124"/>
      <c r="AU126" s="124"/>
      <c r="AV126" s="124"/>
      <c r="AW126" s="124"/>
    </row>
    <row r="127" spans="1:49" ht="13.8" thickTop="1" x14ac:dyDescent="0.25">
      <c r="A127" s="2144" t="s">
        <v>1066</v>
      </c>
      <c r="B127" s="2144"/>
      <c r="C127" s="2144"/>
      <c r="D127" s="2144"/>
      <c r="E127" s="2144"/>
      <c r="J127" s="570"/>
      <c r="K127" s="280"/>
      <c r="L127" s="280"/>
      <c r="M127" s="280"/>
      <c r="N127" s="280"/>
      <c r="O127" s="280"/>
      <c r="P127" s="570"/>
      <c r="Q127" s="570"/>
      <c r="R127" s="570"/>
      <c r="S127" s="570"/>
      <c r="T127" s="570"/>
      <c r="U127" s="280"/>
      <c r="V127" s="280"/>
      <c r="W127" s="280"/>
      <c r="X127" s="280"/>
      <c r="Y127" s="280"/>
      <c r="Z127" s="280"/>
      <c r="AA127" s="280"/>
      <c r="AB127" s="280"/>
      <c r="AC127" s="280"/>
      <c r="AD127" s="280"/>
      <c r="AE127" s="280"/>
      <c r="AF127" s="280"/>
      <c r="AG127" s="280"/>
      <c r="AH127" s="280"/>
      <c r="AI127" s="280"/>
      <c r="AJ127" s="124"/>
      <c r="AK127" s="124"/>
      <c r="AL127" s="124"/>
      <c r="AM127" s="124"/>
      <c r="AN127" s="124"/>
      <c r="AO127" s="124"/>
      <c r="AP127" s="124"/>
      <c r="AQ127" s="124"/>
      <c r="AR127" s="124"/>
      <c r="AS127" s="124"/>
      <c r="AT127" s="124"/>
      <c r="AU127" s="124"/>
      <c r="AV127" s="124"/>
      <c r="AW127" s="124"/>
    </row>
    <row r="128" spans="1:49" x14ac:dyDescent="0.25">
      <c r="A128" s="2141"/>
      <c r="B128" s="2141"/>
      <c r="C128" s="2141"/>
      <c r="D128" s="2141"/>
      <c r="E128" s="2141"/>
      <c r="F128" s="594"/>
      <c r="G128" s="583"/>
      <c r="H128" s="583"/>
      <c r="I128" s="583"/>
      <c r="J128" s="583"/>
      <c r="K128" s="280"/>
      <c r="L128" s="280"/>
      <c r="M128" s="280"/>
      <c r="N128" s="280"/>
      <c r="O128" s="280"/>
      <c r="P128" s="594"/>
      <c r="Q128" s="583"/>
      <c r="R128" s="583"/>
      <c r="S128" s="583"/>
      <c r="T128" s="583"/>
      <c r="U128" s="280"/>
      <c r="V128" s="280"/>
      <c r="W128" s="280"/>
      <c r="X128" s="280"/>
      <c r="Y128" s="280"/>
      <c r="Z128" s="659"/>
      <c r="AA128" s="280"/>
      <c r="AB128" s="659"/>
      <c r="AC128" s="659"/>
      <c r="AD128" s="280"/>
      <c r="AE128" s="659"/>
      <c r="AF128" s="280"/>
      <c r="AG128" s="659"/>
      <c r="AH128" s="659"/>
      <c r="AI128" s="280"/>
      <c r="AJ128" s="124"/>
      <c r="AK128" s="124"/>
      <c r="AL128" s="124"/>
      <c r="AM128" s="124"/>
      <c r="AN128" s="124"/>
      <c r="AO128" s="124"/>
      <c r="AP128" s="124"/>
      <c r="AQ128" s="124"/>
      <c r="AR128" s="124"/>
      <c r="AS128" s="124"/>
      <c r="AT128" s="124"/>
      <c r="AU128" s="124"/>
      <c r="AV128" s="124"/>
      <c r="AW128" s="124"/>
    </row>
    <row r="129" spans="1:49" x14ac:dyDescent="0.25">
      <c r="A129" s="121"/>
      <c r="B129" s="121"/>
      <c r="C129" s="121"/>
      <c r="D129" s="121"/>
      <c r="E129" s="121"/>
      <c r="F129" s="286"/>
      <c r="G129" s="121"/>
      <c r="H129" s="121"/>
      <c r="I129" s="121"/>
      <c r="J129" s="121"/>
      <c r="K129" s="280"/>
      <c r="L129" s="280"/>
      <c r="M129" s="280"/>
      <c r="N129" s="280"/>
      <c r="O129" s="280"/>
      <c r="P129" s="286"/>
      <c r="Q129" s="121"/>
      <c r="R129" s="121"/>
      <c r="S129" s="121"/>
      <c r="T129" s="121"/>
      <c r="U129" s="280"/>
      <c r="V129" s="280"/>
      <c r="W129" s="280"/>
      <c r="X129" s="280"/>
      <c r="Y129" s="280"/>
      <c r="Z129" s="280"/>
      <c r="AA129" s="280"/>
      <c r="AB129" s="280"/>
      <c r="AC129" s="280"/>
      <c r="AD129" s="280"/>
      <c r="AE129" s="280"/>
      <c r="AF129" s="280"/>
      <c r="AG129" s="280"/>
      <c r="AH129" s="280"/>
      <c r="AI129" s="280"/>
      <c r="AJ129" s="124"/>
      <c r="AK129" s="124"/>
      <c r="AL129" s="124"/>
      <c r="AM129" s="124"/>
      <c r="AN129" s="124"/>
      <c r="AO129" s="124"/>
      <c r="AP129" s="124"/>
      <c r="AQ129" s="124"/>
      <c r="AR129" s="124"/>
      <c r="AS129" s="124"/>
      <c r="AT129" s="124"/>
      <c r="AU129" s="124"/>
      <c r="AV129" s="124"/>
      <c r="AW129" s="124"/>
    </row>
    <row r="130" spans="1:49" x14ac:dyDescent="0.25">
      <c r="A130" s="121"/>
      <c r="B130" s="121"/>
      <c r="C130" s="121"/>
      <c r="D130" s="121"/>
      <c r="E130" s="121"/>
      <c r="F130" s="121"/>
      <c r="G130" s="121"/>
      <c r="H130" s="121"/>
      <c r="I130" s="121"/>
      <c r="J130" s="121"/>
      <c r="K130" s="280"/>
      <c r="L130" s="280"/>
      <c r="M130" s="280"/>
      <c r="N130" s="280"/>
      <c r="O130" s="280"/>
      <c r="P130" s="121"/>
      <c r="Q130" s="121"/>
      <c r="R130" s="121"/>
      <c r="S130" s="121"/>
      <c r="T130" s="121"/>
      <c r="U130" s="280"/>
      <c r="V130" s="280"/>
      <c r="W130" s="280"/>
      <c r="X130" s="280"/>
      <c r="Y130" s="280"/>
      <c r="Z130" s="280"/>
      <c r="AA130" s="280"/>
      <c r="AB130" s="280"/>
      <c r="AC130" s="280"/>
      <c r="AD130" s="280"/>
      <c r="AE130" s="280"/>
      <c r="AF130" s="280"/>
      <c r="AG130" s="280"/>
      <c r="AH130" s="280"/>
      <c r="AI130" s="280"/>
      <c r="AJ130" s="124"/>
      <c r="AK130" s="124"/>
      <c r="AL130" s="124"/>
      <c r="AM130" s="124"/>
      <c r="AN130" s="124"/>
      <c r="AO130" s="124"/>
      <c r="AP130" s="124"/>
      <c r="AQ130" s="124"/>
      <c r="AR130" s="124"/>
      <c r="AS130" s="124"/>
      <c r="AT130" s="124"/>
      <c r="AU130" s="124"/>
      <c r="AV130" s="124"/>
      <c r="AW130" s="124"/>
    </row>
    <row r="131" spans="1:49" x14ac:dyDescent="0.25">
      <c r="A131" s="121"/>
      <c r="B131" s="121"/>
      <c r="C131" s="121"/>
      <c r="D131" s="121"/>
      <c r="E131" s="121"/>
      <c r="F131" s="121"/>
      <c r="G131" s="121"/>
      <c r="H131" s="121"/>
      <c r="I131" s="121"/>
      <c r="J131" s="121"/>
      <c r="K131" s="280"/>
      <c r="L131" s="280"/>
      <c r="M131" s="280"/>
      <c r="N131" s="280"/>
      <c r="O131" s="280"/>
      <c r="P131" s="121"/>
      <c r="Q131" s="121"/>
      <c r="R131" s="121"/>
      <c r="S131" s="121"/>
      <c r="T131" s="121"/>
      <c r="U131" s="280"/>
      <c r="V131" s="280"/>
      <c r="W131" s="280"/>
      <c r="X131" s="280"/>
      <c r="Y131" s="280"/>
      <c r="Z131" s="280"/>
      <c r="AA131" s="280"/>
      <c r="AB131" s="280"/>
      <c r="AC131" s="280"/>
      <c r="AD131" s="280"/>
      <c r="AE131" s="280"/>
      <c r="AF131" s="280"/>
      <c r="AG131" s="280"/>
      <c r="AH131" s="280"/>
      <c r="AI131" s="280"/>
      <c r="AJ131" s="124"/>
      <c r="AK131" s="124"/>
      <c r="AL131" s="124"/>
      <c r="AM131" s="124"/>
      <c r="AN131" s="124"/>
      <c r="AO131" s="124"/>
      <c r="AP131" s="124"/>
      <c r="AQ131" s="124"/>
      <c r="AR131" s="124"/>
      <c r="AS131" s="124"/>
      <c r="AT131" s="124"/>
      <c r="AU131" s="124"/>
      <c r="AV131" s="124"/>
      <c r="AW131" s="124"/>
    </row>
    <row r="132" spans="1:49" x14ac:dyDescent="0.25">
      <c r="A132" s="121"/>
      <c r="B132" s="121"/>
      <c r="C132" s="121"/>
      <c r="D132" s="121"/>
      <c r="E132" s="286"/>
      <c r="F132" s="121"/>
      <c r="G132" s="121"/>
      <c r="H132" s="121"/>
      <c r="I132" s="286"/>
      <c r="J132" s="121"/>
      <c r="K132" s="121"/>
      <c r="L132" s="121"/>
      <c r="M132" s="121"/>
      <c r="N132" s="280"/>
      <c r="O132" s="280"/>
      <c r="P132" s="121"/>
      <c r="Q132" s="121"/>
      <c r="R132" s="121"/>
      <c r="S132" s="286"/>
      <c r="T132" s="121"/>
      <c r="U132" s="121"/>
      <c r="V132" s="121"/>
      <c r="W132" s="121"/>
      <c r="X132" s="280"/>
      <c r="Y132" s="280"/>
      <c r="Z132" s="121"/>
      <c r="AA132" s="121"/>
      <c r="AB132" s="121"/>
      <c r="AC132" s="280"/>
      <c r="AD132" s="280"/>
      <c r="AE132" s="121"/>
      <c r="AF132" s="121"/>
      <c r="AG132" s="121"/>
      <c r="AH132" s="280"/>
      <c r="AI132" s="280"/>
      <c r="AJ132" s="124"/>
      <c r="AK132" s="124"/>
      <c r="AL132" s="124"/>
      <c r="AM132" s="124"/>
      <c r="AN132" s="124"/>
      <c r="AO132" s="124"/>
      <c r="AP132" s="124"/>
      <c r="AQ132" s="124"/>
      <c r="AR132" s="124"/>
      <c r="AS132" s="124"/>
      <c r="AT132" s="124"/>
      <c r="AU132" s="124"/>
      <c r="AV132" s="124"/>
      <c r="AW132" s="124"/>
    </row>
    <row r="133" spans="1:49" x14ac:dyDescent="0.25">
      <c r="A133" s="121"/>
      <c r="B133" s="121"/>
      <c r="C133" s="121"/>
      <c r="D133" s="121"/>
      <c r="E133" s="286"/>
      <c r="F133" s="121"/>
      <c r="G133" s="121"/>
      <c r="H133" s="121"/>
      <c r="I133" s="286"/>
      <c r="J133" s="121"/>
      <c r="K133" s="121"/>
      <c r="L133" s="121"/>
      <c r="M133" s="121"/>
      <c r="N133" s="280"/>
      <c r="O133" s="280"/>
      <c r="P133" s="121"/>
      <c r="Q133" s="121"/>
      <c r="R133" s="121"/>
      <c r="S133" s="286"/>
      <c r="T133" s="121"/>
      <c r="U133" s="121"/>
      <c r="V133" s="121"/>
      <c r="W133" s="121"/>
      <c r="X133" s="280"/>
      <c r="Y133" s="280"/>
      <c r="Z133" s="121"/>
      <c r="AA133" s="121"/>
      <c r="AB133" s="121"/>
      <c r="AC133" s="280"/>
      <c r="AD133" s="280"/>
      <c r="AE133" s="121"/>
      <c r="AF133" s="121"/>
      <c r="AG133" s="121"/>
      <c r="AH133" s="280"/>
      <c r="AI133" s="280"/>
      <c r="AJ133" s="124"/>
      <c r="AK133" s="124"/>
      <c r="AL133" s="124"/>
      <c r="AM133" s="124"/>
      <c r="AN133" s="124"/>
      <c r="AO133" s="124"/>
      <c r="AP133" s="124"/>
      <c r="AQ133" s="124"/>
      <c r="AR133" s="124"/>
      <c r="AS133" s="124"/>
      <c r="AT133" s="124"/>
      <c r="AU133" s="124"/>
      <c r="AV133" s="124"/>
      <c r="AW133" s="124"/>
    </row>
    <row r="134" spans="1:49" x14ac:dyDescent="0.25">
      <c r="A134" s="121"/>
      <c r="B134" s="121"/>
      <c r="C134" s="121"/>
      <c r="D134" s="121"/>
      <c r="E134" s="121"/>
      <c r="F134" s="121"/>
      <c r="G134" s="121"/>
      <c r="H134" s="121"/>
      <c r="I134" s="121"/>
      <c r="J134" s="121"/>
      <c r="K134" s="121"/>
      <c r="L134" s="121"/>
      <c r="M134" s="121"/>
      <c r="N134" s="280"/>
      <c r="O134" s="280"/>
      <c r="P134" s="121"/>
      <c r="Q134" s="121"/>
      <c r="R134" s="121"/>
      <c r="S134" s="121"/>
      <c r="T134" s="121"/>
      <c r="U134" s="121"/>
      <c r="V134" s="121"/>
      <c r="W134" s="121"/>
      <c r="X134" s="280"/>
      <c r="Y134" s="280"/>
      <c r="Z134" s="121"/>
      <c r="AA134" s="121"/>
      <c r="AB134" s="121"/>
      <c r="AC134" s="280"/>
      <c r="AD134" s="280"/>
      <c r="AE134" s="121"/>
      <c r="AF134" s="121"/>
      <c r="AG134" s="121"/>
      <c r="AH134" s="280"/>
      <c r="AI134" s="280"/>
      <c r="AJ134" s="124"/>
      <c r="AK134" s="124"/>
      <c r="AL134" s="124"/>
      <c r="AM134" s="124"/>
      <c r="AN134" s="124"/>
      <c r="AO134" s="124"/>
      <c r="AP134" s="124"/>
      <c r="AQ134" s="124"/>
      <c r="AR134" s="124"/>
      <c r="AS134" s="124"/>
      <c r="AT134" s="124"/>
      <c r="AU134" s="124"/>
      <c r="AV134" s="124"/>
      <c r="AW134" s="124"/>
    </row>
    <row r="135" spans="1:49" x14ac:dyDescent="0.25">
      <c r="A135" s="121"/>
      <c r="B135" s="121"/>
      <c r="C135" s="121"/>
      <c r="D135" s="121"/>
      <c r="E135" s="121"/>
      <c r="F135" s="121"/>
      <c r="G135" s="121"/>
      <c r="H135" s="121"/>
      <c r="I135" s="121"/>
      <c r="J135" s="121"/>
      <c r="K135" s="121"/>
      <c r="L135" s="121"/>
      <c r="M135" s="121"/>
      <c r="N135" s="280"/>
      <c r="O135" s="280"/>
      <c r="P135" s="121"/>
      <c r="Q135" s="121"/>
      <c r="R135" s="121"/>
      <c r="S135" s="121"/>
      <c r="T135" s="121"/>
      <c r="U135" s="121"/>
      <c r="V135" s="121"/>
      <c r="W135" s="121"/>
      <c r="X135" s="280"/>
      <c r="Y135" s="280"/>
      <c r="Z135" s="121"/>
      <c r="AA135" s="121"/>
      <c r="AB135" s="121"/>
      <c r="AC135" s="280"/>
      <c r="AD135" s="280"/>
      <c r="AE135" s="121"/>
      <c r="AF135" s="121"/>
      <c r="AG135" s="121"/>
      <c r="AH135" s="280"/>
      <c r="AI135" s="280"/>
      <c r="AJ135" s="124"/>
      <c r="AK135" s="124"/>
      <c r="AL135" s="124"/>
      <c r="AM135" s="124"/>
      <c r="AN135" s="124"/>
      <c r="AO135" s="124"/>
      <c r="AP135" s="124"/>
      <c r="AQ135" s="124"/>
      <c r="AR135" s="124"/>
      <c r="AS135" s="124"/>
      <c r="AT135" s="124"/>
      <c r="AU135" s="124"/>
      <c r="AV135" s="124"/>
      <c r="AW135" s="124"/>
    </row>
    <row r="136" spans="1:49" x14ac:dyDescent="0.25">
      <c r="A136" s="121"/>
      <c r="B136" s="121"/>
      <c r="C136" s="121"/>
      <c r="D136" s="121"/>
      <c r="E136" s="121"/>
      <c r="F136" s="121"/>
      <c r="G136" s="121"/>
      <c r="H136" s="121"/>
      <c r="I136" s="121"/>
      <c r="J136" s="121"/>
      <c r="K136" s="121"/>
      <c r="L136" s="121"/>
      <c r="M136" s="121"/>
      <c r="N136" s="280"/>
      <c r="O136" s="280"/>
      <c r="P136" s="121"/>
      <c r="Q136" s="121"/>
      <c r="R136" s="121"/>
      <c r="S136" s="121"/>
      <c r="T136" s="121"/>
      <c r="U136" s="121"/>
      <c r="V136" s="121"/>
      <c r="W136" s="121"/>
      <c r="X136" s="280"/>
      <c r="Y136" s="280"/>
      <c r="Z136" s="121"/>
      <c r="AA136" s="121"/>
      <c r="AB136" s="121"/>
      <c r="AC136" s="280"/>
      <c r="AD136" s="280"/>
      <c r="AE136" s="121"/>
      <c r="AF136" s="121"/>
      <c r="AG136" s="121"/>
      <c r="AH136" s="280"/>
      <c r="AI136" s="280"/>
      <c r="AJ136" s="124"/>
      <c r="AK136" s="124"/>
      <c r="AL136" s="124"/>
      <c r="AM136" s="124"/>
      <c r="AN136" s="124"/>
      <c r="AO136" s="124"/>
      <c r="AP136" s="124"/>
      <c r="AQ136" s="124"/>
      <c r="AR136" s="124"/>
      <c r="AS136" s="124"/>
      <c r="AT136" s="124"/>
      <c r="AU136" s="124"/>
      <c r="AV136" s="124"/>
      <c r="AW136" s="124"/>
    </row>
    <row r="137" spans="1:49" x14ac:dyDescent="0.25">
      <c r="A137" s="121"/>
      <c r="B137" s="121"/>
      <c r="C137" s="121"/>
      <c r="D137" s="121"/>
      <c r="E137" s="121"/>
      <c r="F137" s="121"/>
      <c r="G137" s="121"/>
      <c r="H137" s="121"/>
      <c r="I137" s="121"/>
      <c r="J137" s="121"/>
      <c r="K137" s="121"/>
      <c r="L137" s="121"/>
      <c r="M137" s="121"/>
      <c r="N137" s="280"/>
      <c r="O137" s="280"/>
      <c r="P137" s="121"/>
      <c r="Q137" s="121"/>
      <c r="R137" s="121"/>
      <c r="S137" s="121"/>
      <c r="T137" s="121"/>
      <c r="U137" s="121"/>
      <c r="V137" s="121"/>
      <c r="W137" s="121"/>
      <c r="X137" s="280"/>
      <c r="Y137" s="280"/>
      <c r="Z137" s="121"/>
      <c r="AA137" s="121"/>
      <c r="AB137" s="121"/>
      <c r="AC137" s="280"/>
      <c r="AD137" s="280"/>
      <c r="AE137" s="121"/>
      <c r="AF137" s="121"/>
      <c r="AG137" s="121"/>
      <c r="AH137" s="280"/>
      <c r="AI137" s="280"/>
      <c r="AJ137" s="124"/>
      <c r="AK137" s="124"/>
      <c r="AL137" s="124"/>
      <c r="AM137" s="124"/>
      <c r="AN137" s="124"/>
      <c r="AO137" s="124"/>
      <c r="AP137" s="124"/>
      <c r="AQ137" s="124"/>
      <c r="AR137" s="124"/>
      <c r="AS137" s="124"/>
      <c r="AT137" s="124"/>
      <c r="AU137" s="124"/>
      <c r="AV137" s="124"/>
      <c r="AW137" s="124"/>
    </row>
    <row r="138" spans="1:49" x14ac:dyDescent="0.25">
      <c r="A138" s="121"/>
      <c r="B138" s="121"/>
      <c r="C138" s="121"/>
      <c r="D138" s="121"/>
      <c r="E138" s="121"/>
      <c r="F138" s="121"/>
      <c r="G138" s="121"/>
      <c r="H138" s="121"/>
      <c r="I138" s="121"/>
      <c r="J138" s="121"/>
      <c r="K138" s="121"/>
      <c r="L138" s="121"/>
      <c r="M138" s="121"/>
      <c r="N138" s="280"/>
      <c r="O138" s="280"/>
      <c r="P138" s="121"/>
      <c r="Q138" s="121"/>
      <c r="R138" s="121"/>
      <c r="S138" s="121"/>
      <c r="T138" s="121"/>
      <c r="U138" s="121"/>
      <c r="V138" s="121"/>
      <c r="W138" s="121"/>
      <c r="X138" s="280"/>
      <c r="Y138" s="280"/>
      <c r="Z138" s="121"/>
      <c r="AA138" s="121"/>
      <c r="AB138" s="121"/>
      <c r="AC138" s="280"/>
      <c r="AD138" s="280"/>
      <c r="AE138" s="121"/>
      <c r="AF138" s="121"/>
      <c r="AG138" s="121"/>
      <c r="AH138" s="280"/>
      <c r="AI138" s="280"/>
      <c r="AJ138" s="121"/>
      <c r="AK138" s="121"/>
      <c r="AL138" s="121"/>
      <c r="AM138" s="280"/>
      <c r="AN138" s="280"/>
      <c r="AO138" s="121"/>
      <c r="AP138" s="121"/>
      <c r="AQ138" s="121"/>
      <c r="AR138" s="280"/>
      <c r="AS138" s="280"/>
      <c r="AT138" s="121"/>
      <c r="AU138" s="121"/>
      <c r="AV138" s="280"/>
      <c r="AW138" s="280"/>
    </row>
    <row r="139" spans="1:49" x14ac:dyDescent="0.25">
      <c r="A139" s="121"/>
      <c r="B139" s="121"/>
      <c r="C139" s="121"/>
      <c r="D139" s="121"/>
      <c r="E139" s="121"/>
      <c r="F139" s="121"/>
      <c r="G139" s="121"/>
      <c r="H139" s="121"/>
      <c r="I139" s="121"/>
      <c r="J139" s="121"/>
      <c r="K139" s="121"/>
      <c r="L139" s="121"/>
      <c r="M139" s="121"/>
      <c r="N139" s="280"/>
      <c r="O139" s="280"/>
      <c r="P139" s="121"/>
      <c r="Q139" s="121"/>
      <c r="R139" s="121"/>
      <c r="S139" s="121"/>
      <c r="T139" s="121"/>
      <c r="U139" s="121"/>
      <c r="V139" s="121"/>
      <c r="W139" s="121"/>
      <c r="X139" s="280"/>
      <c r="Y139" s="280"/>
      <c r="Z139" s="121"/>
      <c r="AA139" s="121"/>
      <c r="AB139" s="121"/>
      <c r="AC139" s="280"/>
      <c r="AD139" s="280"/>
      <c r="AE139" s="121"/>
      <c r="AF139" s="121"/>
      <c r="AG139" s="121"/>
      <c r="AH139" s="280"/>
      <c r="AI139" s="280"/>
      <c r="AJ139" s="121"/>
      <c r="AK139" s="121"/>
      <c r="AL139" s="121"/>
      <c r="AM139" s="280"/>
      <c r="AN139" s="280"/>
      <c r="AO139" s="121"/>
      <c r="AP139" s="121"/>
      <c r="AQ139" s="121"/>
      <c r="AR139" s="280"/>
      <c r="AS139" s="280"/>
      <c r="AT139" s="121"/>
      <c r="AU139" s="121"/>
      <c r="AV139" s="280"/>
      <c r="AW139" s="280"/>
    </row>
    <row r="140" spans="1:49" x14ac:dyDescent="0.25">
      <c r="A140" s="121"/>
      <c r="B140" s="121"/>
      <c r="C140" s="121"/>
      <c r="D140" s="121"/>
      <c r="E140" s="121"/>
      <c r="F140" s="121"/>
      <c r="G140" s="121"/>
      <c r="H140" s="121"/>
      <c r="I140" s="121"/>
      <c r="J140" s="121"/>
      <c r="K140" s="121"/>
      <c r="L140" s="121"/>
      <c r="M140" s="121"/>
      <c r="N140" s="280"/>
      <c r="O140" s="280"/>
      <c r="P140" s="121"/>
      <c r="Q140" s="121"/>
      <c r="R140" s="121"/>
      <c r="S140" s="121"/>
      <c r="T140" s="121"/>
      <c r="U140" s="121"/>
      <c r="V140" s="121"/>
      <c r="W140" s="121"/>
      <c r="X140" s="280"/>
      <c r="Y140" s="280"/>
      <c r="Z140" s="121"/>
      <c r="AA140" s="121"/>
      <c r="AB140" s="121"/>
      <c r="AC140" s="280"/>
      <c r="AD140" s="280"/>
      <c r="AE140" s="121"/>
      <c r="AF140" s="121"/>
      <c r="AG140" s="121"/>
      <c r="AH140" s="280"/>
      <c r="AI140" s="280"/>
      <c r="AJ140" s="121"/>
      <c r="AK140" s="121"/>
      <c r="AL140" s="121"/>
      <c r="AM140" s="280"/>
      <c r="AN140" s="280"/>
      <c r="AO140" s="121"/>
      <c r="AP140" s="121"/>
      <c r="AQ140" s="121"/>
      <c r="AR140" s="280"/>
      <c r="AS140" s="280"/>
      <c r="AT140" s="121"/>
      <c r="AU140" s="121"/>
      <c r="AV140" s="280"/>
      <c r="AW140" s="280"/>
    </row>
    <row r="141" spans="1:49" x14ac:dyDescent="0.25">
      <c r="A141" s="121"/>
      <c r="B141" s="121"/>
      <c r="C141" s="121"/>
      <c r="D141" s="121"/>
      <c r="E141" s="121"/>
      <c r="F141" s="121"/>
      <c r="G141" s="121"/>
      <c r="H141" s="121"/>
      <c r="I141" s="121"/>
      <c r="J141" s="121"/>
      <c r="K141" s="121"/>
      <c r="L141" s="121"/>
      <c r="M141" s="121"/>
      <c r="N141" s="280"/>
      <c r="O141" s="280"/>
      <c r="P141" s="121"/>
      <c r="Q141" s="121"/>
      <c r="R141" s="121"/>
      <c r="S141" s="121"/>
      <c r="T141" s="121"/>
      <c r="U141" s="121"/>
      <c r="V141" s="121"/>
      <c r="W141" s="121"/>
      <c r="X141" s="280"/>
      <c r="Y141" s="280"/>
      <c r="Z141" s="121"/>
      <c r="AA141" s="121"/>
      <c r="AB141" s="121"/>
      <c r="AC141" s="280"/>
      <c r="AD141" s="280"/>
      <c r="AE141" s="121"/>
      <c r="AF141" s="121"/>
      <c r="AG141" s="121"/>
      <c r="AH141" s="280"/>
      <c r="AI141" s="280"/>
      <c r="AJ141" s="121"/>
      <c r="AK141" s="121"/>
      <c r="AL141" s="121"/>
      <c r="AM141" s="280"/>
      <c r="AN141" s="280"/>
      <c r="AO141" s="121"/>
      <c r="AP141" s="121"/>
      <c r="AQ141" s="121"/>
      <c r="AR141" s="280"/>
      <c r="AS141" s="280"/>
      <c r="AT141" s="121"/>
      <c r="AU141" s="121"/>
      <c r="AV141" s="280"/>
      <c r="AW141" s="280"/>
    </row>
  </sheetData>
  <mergeCells count="47">
    <mergeCell ref="F29:J29"/>
    <mergeCell ref="K29:O29"/>
    <mergeCell ref="F5:J5"/>
    <mergeCell ref="P90:T90"/>
    <mergeCell ref="U50:Y50"/>
    <mergeCell ref="U90:Y90"/>
    <mergeCell ref="AE5:AI5"/>
    <mergeCell ref="A128:E128"/>
    <mergeCell ref="A4:A5"/>
    <mergeCell ref="A28:A29"/>
    <mergeCell ref="A89:A90"/>
    <mergeCell ref="A49:A50"/>
    <mergeCell ref="A127:E127"/>
    <mergeCell ref="B5:E5"/>
    <mergeCell ref="B90:E90"/>
    <mergeCell ref="B29:E29"/>
    <mergeCell ref="B50:E50"/>
    <mergeCell ref="F90:J90"/>
    <mergeCell ref="K90:O90"/>
    <mergeCell ref="K5:O5"/>
    <mergeCell ref="AE50:AI50"/>
    <mergeCell ref="AE90:AI90"/>
    <mergeCell ref="Z5:AD5"/>
    <mergeCell ref="Z29:AD29"/>
    <mergeCell ref="Z50:AD50"/>
    <mergeCell ref="Z90:AD90"/>
    <mergeCell ref="P5:T5"/>
    <mergeCell ref="U5:Y5"/>
    <mergeCell ref="P29:T29"/>
    <mergeCell ref="U29:Y29"/>
    <mergeCell ref="P50:T50"/>
    <mergeCell ref="AO5:AS5"/>
    <mergeCell ref="AO29:AS29"/>
    <mergeCell ref="AO50:AS50"/>
    <mergeCell ref="AO90:AS90"/>
    <mergeCell ref="A1:AS1"/>
    <mergeCell ref="A3:AS3"/>
    <mergeCell ref="A27:AS27"/>
    <mergeCell ref="A48:AS48"/>
    <mergeCell ref="A88:AS88"/>
    <mergeCell ref="AJ5:AN5"/>
    <mergeCell ref="AJ29:AN29"/>
    <mergeCell ref="AJ50:AN50"/>
    <mergeCell ref="F50:J50"/>
    <mergeCell ref="K50:O50"/>
    <mergeCell ref="AE29:AI29"/>
    <mergeCell ref="AJ90:AN90"/>
  </mergeCells>
  <phoneticPr fontId="16" type="noConversion"/>
  <printOptions horizontalCentered="1" verticalCentered="1"/>
  <pageMargins left="0.25" right="0.49" top="0.2" bottom="0.38" header="0.17" footer="0.25"/>
  <pageSetup paperSize="5" scale="50" orientation="landscape" r:id="rId1"/>
  <headerFooter alignWithMargins="0">
    <oddFooter>&amp;RSource: Office of Institutional Research</oddFooter>
  </headerFooter>
  <rowBreaks count="2" manualBreakCount="2">
    <brk id="47" max="29" man="1"/>
    <brk id="127" max="17" man="1"/>
  </rowBreaks>
  <webPublishItems count="1">
    <webPublishItem id="10732" divId="2004_2005 FACT BOOK WORKING COPY_10732" sourceType="sheet" destinationFile="C:\Documents and Settings\mkirkpatrick\My Documents\2005-2006 Fact Book\2005-2006 WEB PAGES\05_06springcredithourproductionbycollege.htm"/>
  </webPublishItem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COI141"/>
  <sheetViews>
    <sheetView zoomScale="60" zoomScaleNormal="60" workbookViewId="0">
      <selection sqref="A1:AS1"/>
    </sheetView>
  </sheetViews>
  <sheetFormatPr defaultColWidth="6.6640625" defaultRowHeight="13.2" x14ac:dyDescent="0.25"/>
  <cols>
    <col min="1" max="1" width="55.6640625" style="119" customWidth="1"/>
    <col min="2" max="20" width="10.33203125" style="119" hidden="1" customWidth="1"/>
    <col min="21" max="25" width="10.33203125" style="119" customWidth="1"/>
    <col min="26" max="45" width="10.33203125" style="324" customWidth="1"/>
    <col min="46" max="16384" width="6.6640625" style="119"/>
  </cols>
  <sheetData>
    <row r="1" spans="1:45" ht="24.75" customHeight="1" x14ac:dyDescent="0.35">
      <c r="A1" s="2137" t="s">
        <v>405</v>
      </c>
      <c r="B1" s="2137"/>
      <c r="C1" s="2137"/>
      <c r="D1" s="2137"/>
      <c r="E1" s="2137"/>
      <c r="F1" s="2137"/>
      <c r="G1" s="2137"/>
      <c r="H1" s="2137"/>
      <c r="I1" s="2137"/>
      <c r="J1" s="2137"/>
      <c r="K1" s="2137"/>
      <c r="L1" s="2137"/>
      <c r="M1" s="2137"/>
      <c r="N1" s="2137"/>
      <c r="O1" s="2137"/>
      <c r="P1" s="2137"/>
      <c r="Q1" s="2137"/>
      <c r="R1" s="2137"/>
      <c r="S1" s="2137"/>
      <c r="T1" s="2137"/>
      <c r="U1" s="2137"/>
      <c r="V1" s="2137"/>
      <c r="W1" s="2137"/>
      <c r="X1" s="2137"/>
      <c r="Y1" s="2137"/>
      <c r="Z1" s="2137"/>
      <c r="AA1" s="2137"/>
      <c r="AB1" s="2137"/>
      <c r="AC1" s="2137"/>
      <c r="AD1" s="2137"/>
      <c r="AE1" s="2137"/>
      <c r="AF1" s="2137"/>
      <c r="AG1" s="2137"/>
      <c r="AH1" s="2137"/>
      <c r="AI1" s="2137"/>
      <c r="AJ1" s="2137"/>
      <c r="AK1" s="2137"/>
      <c r="AL1" s="2137"/>
      <c r="AM1" s="2137"/>
      <c r="AN1" s="2137"/>
      <c r="AO1" s="2137"/>
      <c r="AP1" s="2137"/>
      <c r="AQ1" s="2137"/>
      <c r="AR1" s="2137"/>
      <c r="AS1" s="2137"/>
    </row>
    <row r="2" spans="1:45" ht="12.75" customHeight="1" thickBot="1" x14ac:dyDescent="0.3">
      <c r="A2" s="120"/>
      <c r="B2" s="122"/>
      <c r="C2" s="122"/>
      <c r="D2" s="122"/>
      <c r="E2" s="122"/>
      <c r="F2" s="122"/>
      <c r="G2" s="122"/>
      <c r="H2" s="122"/>
      <c r="I2" s="122"/>
      <c r="J2" s="122"/>
      <c r="K2" s="122"/>
      <c r="L2" s="122"/>
      <c r="M2" s="122"/>
      <c r="N2" s="280"/>
      <c r="O2" s="280"/>
      <c r="P2" s="122"/>
      <c r="Q2" s="122"/>
      <c r="R2" s="122"/>
      <c r="S2" s="280"/>
      <c r="T2" s="280"/>
      <c r="U2" s="122"/>
      <c r="V2" s="122"/>
      <c r="W2" s="122"/>
      <c r="X2" s="280"/>
      <c r="Y2" s="280"/>
      <c r="Z2" s="1191"/>
      <c r="AA2" s="1191"/>
      <c r="AB2" s="1191"/>
      <c r="AC2" s="712"/>
      <c r="AD2" s="712"/>
      <c r="AE2" s="1191"/>
      <c r="AF2" s="1191"/>
      <c r="AG2" s="1191"/>
      <c r="AH2" s="712"/>
      <c r="AI2" s="712"/>
      <c r="AJ2" s="1191"/>
      <c r="AK2" s="1191"/>
      <c r="AL2" s="1191"/>
      <c r="AM2" s="712"/>
      <c r="AN2" s="712"/>
      <c r="AO2" s="1191"/>
      <c r="AP2" s="1191"/>
      <c r="AQ2" s="1191"/>
      <c r="AR2" s="712"/>
      <c r="AS2" s="712"/>
    </row>
    <row r="3" spans="1:45" customFormat="1" ht="18" thickBot="1" x14ac:dyDescent="0.35">
      <c r="A3" s="2134" t="s">
        <v>428</v>
      </c>
      <c r="B3" s="2135"/>
      <c r="C3" s="2135"/>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6"/>
    </row>
    <row r="4" spans="1:45" ht="40.200000000000003" customHeight="1" x14ac:dyDescent="0.25">
      <c r="A4" s="2142" t="s">
        <v>1006</v>
      </c>
      <c r="B4" s="1314" t="s">
        <v>1008</v>
      </c>
      <c r="C4" s="1314" t="s">
        <v>1009</v>
      </c>
      <c r="D4" s="1314" t="s">
        <v>1010</v>
      </c>
      <c r="E4" s="680" t="s">
        <v>1069</v>
      </c>
      <c r="F4" s="1314" t="s">
        <v>1008</v>
      </c>
      <c r="G4" s="1314" t="s">
        <v>1009</v>
      </c>
      <c r="H4" s="1314" t="s">
        <v>1010</v>
      </c>
      <c r="I4" s="682" t="s">
        <v>1069</v>
      </c>
      <c r="J4" s="1315" t="s">
        <v>1071</v>
      </c>
      <c r="K4" s="1038" t="s">
        <v>1008</v>
      </c>
      <c r="L4" s="1314" t="s">
        <v>1009</v>
      </c>
      <c r="M4" s="1314" t="s">
        <v>1010</v>
      </c>
      <c r="N4" s="682" t="s">
        <v>1069</v>
      </c>
      <c r="O4" s="1315" t="s">
        <v>1071</v>
      </c>
      <c r="P4" s="1038" t="s">
        <v>1008</v>
      </c>
      <c r="Q4" s="1314" t="s">
        <v>1009</v>
      </c>
      <c r="R4" s="1314" t="s">
        <v>1010</v>
      </c>
      <c r="S4" s="682" t="s">
        <v>1069</v>
      </c>
      <c r="T4" s="1315" t="s">
        <v>1071</v>
      </c>
      <c r="U4" s="1314" t="s">
        <v>1008</v>
      </c>
      <c r="V4" s="1314" t="s">
        <v>1009</v>
      </c>
      <c r="W4" s="1314" t="s">
        <v>1010</v>
      </c>
      <c r="X4" s="682" t="s">
        <v>1069</v>
      </c>
      <c r="Y4" s="1315" t="s">
        <v>1071</v>
      </c>
      <c r="Z4" s="1316" t="s">
        <v>1008</v>
      </c>
      <c r="AA4" s="1316" t="s">
        <v>1009</v>
      </c>
      <c r="AB4" s="1316" t="s">
        <v>1010</v>
      </c>
      <c r="AC4" s="1186" t="s">
        <v>1069</v>
      </c>
      <c r="AD4" s="1317" t="s">
        <v>1071</v>
      </c>
      <c r="AE4" s="1316" t="s">
        <v>1008</v>
      </c>
      <c r="AF4" s="1316" t="s">
        <v>1009</v>
      </c>
      <c r="AG4" s="1316" t="s">
        <v>1010</v>
      </c>
      <c r="AH4" s="1186" t="s">
        <v>1069</v>
      </c>
      <c r="AI4" s="1317" t="s">
        <v>1071</v>
      </c>
      <c r="AJ4" s="1316" t="s">
        <v>1008</v>
      </c>
      <c r="AK4" s="1316" t="s">
        <v>1009</v>
      </c>
      <c r="AL4" s="1316" t="s">
        <v>1010</v>
      </c>
      <c r="AM4" s="1186" t="s">
        <v>1069</v>
      </c>
      <c r="AN4" s="1317" t="s">
        <v>1071</v>
      </c>
      <c r="AO4" s="1316" t="s">
        <v>1008</v>
      </c>
      <c r="AP4" s="1316" t="s">
        <v>1009</v>
      </c>
      <c r="AQ4" s="1316" t="s">
        <v>1010</v>
      </c>
      <c r="AR4" s="1186" t="s">
        <v>1069</v>
      </c>
      <c r="AS4" s="1317" t="s">
        <v>1071</v>
      </c>
    </row>
    <row r="5" spans="1:45" ht="12.75" customHeight="1" x14ac:dyDescent="0.25">
      <c r="A5" s="2143"/>
      <c r="B5" s="2138" t="s">
        <v>1502</v>
      </c>
      <c r="C5" s="2139"/>
      <c r="D5" s="2139"/>
      <c r="E5" s="2153"/>
      <c r="F5" s="2139" t="s">
        <v>1501</v>
      </c>
      <c r="G5" s="2139"/>
      <c r="H5" s="2139"/>
      <c r="I5" s="2139"/>
      <c r="J5" s="2153"/>
      <c r="K5" s="2139" t="s">
        <v>1451</v>
      </c>
      <c r="L5" s="2139"/>
      <c r="M5" s="2139"/>
      <c r="N5" s="2139"/>
      <c r="O5" s="2153"/>
      <c r="P5" s="2139" t="s">
        <v>1452</v>
      </c>
      <c r="Q5" s="2139"/>
      <c r="R5" s="2139"/>
      <c r="S5" s="2139"/>
      <c r="T5" s="2153"/>
      <c r="U5" s="2139" t="s">
        <v>1453</v>
      </c>
      <c r="V5" s="2139"/>
      <c r="W5" s="2139"/>
      <c r="X5" s="2139"/>
      <c r="Y5" s="2153"/>
      <c r="Z5" s="2154" t="s">
        <v>1581</v>
      </c>
      <c r="AA5" s="2154"/>
      <c r="AB5" s="2154"/>
      <c r="AC5" s="2154"/>
      <c r="AD5" s="2155"/>
      <c r="AE5" s="2154" t="s">
        <v>1632</v>
      </c>
      <c r="AF5" s="2154"/>
      <c r="AG5" s="2154"/>
      <c r="AH5" s="2154"/>
      <c r="AI5" s="2155"/>
      <c r="AJ5" s="2154" t="s">
        <v>1673</v>
      </c>
      <c r="AK5" s="2154"/>
      <c r="AL5" s="2154"/>
      <c r="AM5" s="2154"/>
      <c r="AN5" s="2155"/>
      <c r="AO5" s="2154" t="s">
        <v>1758</v>
      </c>
      <c r="AP5" s="2154"/>
      <c r="AQ5" s="2154"/>
      <c r="AR5" s="2154"/>
      <c r="AS5" s="2155"/>
    </row>
    <row r="6" spans="1:45" x14ac:dyDescent="0.25">
      <c r="A6" s="1318" t="s">
        <v>431</v>
      </c>
      <c r="B6" s="1308"/>
      <c r="C6" s="1309"/>
      <c r="D6" s="1309"/>
      <c r="E6" s="1306"/>
      <c r="F6" s="1308"/>
      <c r="G6" s="1309"/>
      <c r="H6" s="1309"/>
      <c r="I6" s="1309"/>
      <c r="J6" s="1306"/>
      <c r="K6" s="1039"/>
      <c r="L6" s="1309"/>
      <c r="M6" s="1309"/>
      <c r="N6" s="1309"/>
      <c r="O6" s="1306"/>
      <c r="P6" s="1039"/>
      <c r="Q6" s="1309"/>
      <c r="R6" s="1309"/>
      <c r="S6" s="1309"/>
      <c r="T6" s="1306"/>
      <c r="U6" s="1308"/>
      <c r="V6" s="1309"/>
      <c r="W6" s="1309"/>
      <c r="X6" s="1309"/>
      <c r="Y6" s="1306"/>
      <c r="Z6" s="1308"/>
      <c r="AA6" s="1309"/>
      <c r="AB6" s="1309"/>
      <c r="AC6" s="1309"/>
      <c r="AD6" s="1306"/>
      <c r="AE6" s="1308"/>
      <c r="AF6" s="1309"/>
      <c r="AG6" s="1309"/>
      <c r="AH6" s="1309"/>
      <c r="AI6" s="1306"/>
      <c r="AJ6" s="1308"/>
      <c r="AK6" s="1309"/>
      <c r="AL6" s="1309"/>
      <c r="AM6" s="1309"/>
      <c r="AN6" s="1306"/>
      <c r="AO6" s="1308"/>
      <c r="AP6" s="1309"/>
      <c r="AQ6" s="1309"/>
      <c r="AR6" s="1309"/>
      <c r="AS6" s="1306"/>
    </row>
    <row r="7" spans="1:45" x14ac:dyDescent="0.25">
      <c r="A7" s="1319" t="s">
        <v>1016</v>
      </c>
      <c r="B7" s="1313">
        <f>+'NEW Spring CHP by DISC'!B7/15</f>
        <v>23.4</v>
      </c>
      <c r="C7" s="1313">
        <f>+'NEW Spring CHP by DISC'!C7/15</f>
        <v>13.466666666666667</v>
      </c>
      <c r="D7" s="1313">
        <f>+'NEW Spring CHP by DISC'!D7/12</f>
        <v>0</v>
      </c>
      <c r="E7" s="1311">
        <f t="shared" ref="E7:E15" si="0">SUM(B7:D7)</f>
        <v>36.866666666666667</v>
      </c>
      <c r="F7" s="1313">
        <f>+'NEW Spring CHP by DISC'!F7/15</f>
        <v>25</v>
      </c>
      <c r="G7" s="1313">
        <f>+'NEW Spring CHP by DISC'!G7/15</f>
        <v>14.6</v>
      </c>
      <c r="H7" s="1313">
        <f>+'NEW Spring CHP by DISC'!H7/12</f>
        <v>0</v>
      </c>
      <c r="I7" s="1313">
        <f t="shared" ref="I7:I15" si="1">SUM(F7:H7)</f>
        <v>39.6</v>
      </c>
      <c r="J7" s="1307">
        <f t="shared" ref="J7:J16" si="2">IF(E7&gt;0,(I7-E7)/E7,(IF(I7=0,"N/A",100%)))</f>
        <v>7.4141048824593159E-2</v>
      </c>
      <c r="K7" s="772">
        <f>+'NEW Spring CHP by DISC'!K7/15</f>
        <v>22</v>
      </c>
      <c r="L7" s="1313">
        <f>+'NEW Spring CHP by DISC'!L7/15</f>
        <v>17.2</v>
      </c>
      <c r="M7" s="1313">
        <f>+'NEW Spring CHP by DISC'!M7/12</f>
        <v>0</v>
      </c>
      <c r="N7" s="1313">
        <f t="shared" ref="N7:N15" si="3">SUM(K7:M7)</f>
        <v>39.200000000000003</v>
      </c>
      <c r="O7" s="1307">
        <f t="shared" ref="O7:O16" si="4">IF(I7&gt;0,(N7-I7)/I7,(IF(N7=0,"N/A",100%)))</f>
        <v>-1.0101010101010065E-2</v>
      </c>
      <c r="P7" s="772">
        <f>+'NEW Spring CHP by DISC'!P7/15</f>
        <v>25.4</v>
      </c>
      <c r="Q7" s="1313">
        <f>+'NEW Spring CHP by DISC'!Q7/15</f>
        <v>15.066666666666666</v>
      </c>
      <c r="R7" s="1313">
        <f>+'NEW Spring CHP by DISC'!R7/12</f>
        <v>0</v>
      </c>
      <c r="S7" s="1313">
        <f t="shared" ref="S7:S15" si="5">SUM(P7:R7)</f>
        <v>40.466666666666669</v>
      </c>
      <c r="T7" s="1307">
        <f t="shared" ref="T7:T16" si="6">IF(N7&gt;0,(S7-N7)/N7,(IF(S7=0,"N/A",100%)))</f>
        <v>3.2312925170068001E-2</v>
      </c>
      <c r="U7" s="1313">
        <f>+'NEW Spring CHP by DISC'!U7/15</f>
        <v>27.4</v>
      </c>
      <c r="V7" s="1313">
        <f>+'NEW Spring CHP by DISC'!V7/15</f>
        <v>17.2</v>
      </c>
      <c r="W7" s="1313">
        <f>+'NEW Spring CHP by DISC'!W7/12</f>
        <v>0</v>
      </c>
      <c r="X7" s="1313">
        <f t="shared" ref="X7:X15" si="7">SUM(U7:W7)</f>
        <v>44.599999999999994</v>
      </c>
      <c r="Y7" s="1307">
        <f t="shared" ref="Y7:Y16" si="8">IF(S7&gt;0,(X7-S7)/S7,(IF(X7=0,"N/A",100%)))</f>
        <v>0.10214168039538696</v>
      </c>
      <c r="Z7" s="1312">
        <f>+'NEW Spring CHP by DISC'!Z7/15</f>
        <v>30</v>
      </c>
      <c r="AA7" s="1312">
        <f>+'NEW Spring CHP by DISC'!AA7/15</f>
        <v>20.466666666666665</v>
      </c>
      <c r="AB7" s="1312">
        <f>+'NEW Spring CHP by DISC'!AB7/12</f>
        <v>0</v>
      </c>
      <c r="AC7" s="1312">
        <f t="shared" ref="AC7:AC15" si="9">SUM(Z7:AB7)</f>
        <v>50.466666666666669</v>
      </c>
      <c r="AD7" s="1320">
        <f t="shared" ref="AD7:AD16" si="10">IF(X7&gt;0,(AC7-X7)/X7,(IF(AC7=0,"N/A",100%)))</f>
        <v>0.13153961136023934</v>
      </c>
      <c r="AE7" s="1312">
        <f>+'NEW Spring CHP by DISC'!AE7/15</f>
        <v>29</v>
      </c>
      <c r="AF7" s="1312">
        <f>+'NEW Spring CHP by DISC'!AF7/15</f>
        <v>23</v>
      </c>
      <c r="AG7" s="1312">
        <f>+'NEW Spring CHP by DISC'!AG7/12</f>
        <v>0</v>
      </c>
      <c r="AH7" s="1312">
        <f t="shared" ref="AH7:AH15" si="11">SUM(AE7:AG7)</f>
        <v>52</v>
      </c>
      <c r="AI7" s="1320">
        <f t="shared" ref="AI7:AI16" si="12">IF(AC7&gt;0,(AH7-AC7)/AC7,(IF(AH7=0,"N/A",100%)))</f>
        <v>3.0383091149273411E-2</v>
      </c>
      <c r="AJ7" s="1312">
        <f>+'NEW Spring CHP by DISC'!AJ7/15</f>
        <v>22</v>
      </c>
      <c r="AK7" s="1312">
        <f>+'NEW Spring CHP by DISC'!AK7/15</f>
        <v>21</v>
      </c>
      <c r="AL7" s="1312">
        <f>+'NEW Spring CHP by DISC'!AL7/12</f>
        <v>0</v>
      </c>
      <c r="AM7" s="1312">
        <f t="shared" ref="AM7:AM15" si="13">SUM(AJ7:AL7)</f>
        <v>43</v>
      </c>
      <c r="AN7" s="1320">
        <f t="shared" ref="AN7:AN16" si="14">IF(AH7&gt;0,(AM7-AH7)/AH7,(IF(AM7=0,"N/A",100%)))</f>
        <v>-0.17307692307692307</v>
      </c>
      <c r="AO7" s="1312">
        <f>+'NEW Spring CHP by DISC'!AO7/15</f>
        <v>0</v>
      </c>
      <c r="AP7" s="1312">
        <f>+'NEW Spring CHP by DISC'!AP7/15</f>
        <v>54.866666666666667</v>
      </c>
      <c r="AQ7" s="1312">
        <f>+'NEW Spring CHP by DISC'!AQ7/12</f>
        <v>0</v>
      </c>
      <c r="AR7" s="1312">
        <f t="shared" ref="AR7:AR15" si="15">SUM(AO7:AQ7)</f>
        <v>54.866666666666667</v>
      </c>
      <c r="AS7" s="1320">
        <f t="shared" ref="AS7:AS16" si="16">IF(AM7&gt;0,(AR7-AM7)/AM7,(IF(AR7=0,"N/A",100%)))</f>
        <v>0.27596899224806204</v>
      </c>
    </row>
    <row r="8" spans="1:45" s="124" customFormat="1" x14ac:dyDescent="0.25">
      <c r="A8" s="1321" t="s">
        <v>1017</v>
      </c>
      <c r="B8" s="1313">
        <f>+'NEW Spring CHP by DISC'!B8/15</f>
        <v>52.733333333333334</v>
      </c>
      <c r="C8" s="1313">
        <f>+'NEW Spring CHP by DISC'!C8/15</f>
        <v>47.133333333333333</v>
      </c>
      <c r="D8" s="1313">
        <f>+'NEW Spring CHP by DISC'!D8/12</f>
        <v>0</v>
      </c>
      <c r="E8" s="1311">
        <f t="shared" si="0"/>
        <v>99.866666666666674</v>
      </c>
      <c r="F8" s="1313">
        <f>+'NEW Spring CHP by DISC'!F8/15</f>
        <v>56</v>
      </c>
      <c r="G8" s="1313">
        <f>+'NEW Spring CHP by DISC'!G8/15</f>
        <v>51.666666666666664</v>
      </c>
      <c r="H8" s="1313">
        <f>+'NEW Spring CHP by DISC'!H8/12</f>
        <v>0</v>
      </c>
      <c r="I8" s="1313">
        <f t="shared" si="1"/>
        <v>107.66666666666666</v>
      </c>
      <c r="J8" s="1307">
        <f t="shared" si="2"/>
        <v>7.8104138851802229E-2</v>
      </c>
      <c r="K8" s="772">
        <f>+'NEW Spring CHP by DISC'!K8/15</f>
        <v>60</v>
      </c>
      <c r="L8" s="1313">
        <f>+'NEW Spring CHP by DISC'!L8/15</f>
        <v>55.666666666666664</v>
      </c>
      <c r="M8" s="1313">
        <f>+'NEW Spring CHP by DISC'!M8/12</f>
        <v>0</v>
      </c>
      <c r="N8" s="1313">
        <f t="shared" si="3"/>
        <v>115.66666666666666</v>
      </c>
      <c r="O8" s="1307">
        <f t="shared" si="4"/>
        <v>7.4303405572755429E-2</v>
      </c>
      <c r="P8" s="772">
        <f>+'NEW Spring CHP by DISC'!P8/15</f>
        <v>57.6</v>
      </c>
      <c r="Q8" s="1313">
        <f>+'NEW Spring CHP by DISC'!Q8/15</f>
        <v>57.6</v>
      </c>
      <c r="R8" s="1313">
        <f>+'NEW Spring CHP by DISC'!R8/12</f>
        <v>0</v>
      </c>
      <c r="S8" s="1313">
        <f t="shared" si="5"/>
        <v>115.2</v>
      </c>
      <c r="T8" s="1307">
        <f t="shared" si="6"/>
        <v>-4.0345821325647353E-3</v>
      </c>
      <c r="U8" s="1313">
        <f>+'NEW Spring CHP by DISC'!U8/15</f>
        <v>62.6</v>
      </c>
      <c r="V8" s="1313">
        <f>+'NEW Spring CHP by DISC'!V8/15</f>
        <v>67</v>
      </c>
      <c r="W8" s="1313">
        <f>+'NEW Spring CHP by DISC'!W8/12</f>
        <v>0</v>
      </c>
      <c r="X8" s="1313">
        <f t="shared" si="7"/>
        <v>129.6</v>
      </c>
      <c r="Y8" s="1307">
        <f t="shared" si="8"/>
        <v>0.12499999999999992</v>
      </c>
      <c r="Z8" s="1312">
        <f>+'NEW Spring CHP by DISC'!Z8/15</f>
        <v>54.6</v>
      </c>
      <c r="AA8" s="1312">
        <f>+'NEW Spring CHP by DISC'!AA8/15</f>
        <v>58.4</v>
      </c>
      <c r="AB8" s="1312">
        <f>+'NEW Spring CHP by DISC'!AB8/12</f>
        <v>0</v>
      </c>
      <c r="AC8" s="1312">
        <f t="shared" si="9"/>
        <v>113</v>
      </c>
      <c r="AD8" s="1320">
        <f t="shared" si="10"/>
        <v>-0.12808641975308638</v>
      </c>
      <c r="AE8" s="1312">
        <f>+'NEW Spring CHP by DISC'!AE8/15</f>
        <v>45.8</v>
      </c>
      <c r="AF8" s="1312">
        <f>+'NEW Spring CHP by DISC'!AF8/15</f>
        <v>59.866666666666667</v>
      </c>
      <c r="AG8" s="1312">
        <f>+'NEW Spring CHP by DISC'!AG8/12</f>
        <v>0</v>
      </c>
      <c r="AH8" s="1312">
        <f t="shared" si="11"/>
        <v>105.66666666666666</v>
      </c>
      <c r="AI8" s="1320">
        <f t="shared" si="12"/>
        <v>-6.489675516224197E-2</v>
      </c>
      <c r="AJ8" s="1312">
        <f>+'NEW Spring CHP by DISC'!AJ8/15</f>
        <v>35.6</v>
      </c>
      <c r="AK8" s="1312">
        <f>+'NEW Spring CHP by DISC'!AK8/15</f>
        <v>66.333333333333329</v>
      </c>
      <c r="AL8" s="1312">
        <f>+'NEW Spring CHP by DISC'!AL8/12</f>
        <v>0</v>
      </c>
      <c r="AM8" s="1312">
        <f t="shared" si="13"/>
        <v>101.93333333333334</v>
      </c>
      <c r="AN8" s="1320">
        <f t="shared" si="14"/>
        <v>-3.5331230283911552E-2</v>
      </c>
      <c r="AO8" s="1312">
        <f>+'NEW Spring CHP by DISC'!AO8/15</f>
        <v>19.2</v>
      </c>
      <c r="AP8" s="1312">
        <f>+'NEW Spring CHP by DISC'!AP8/15</f>
        <v>77.933333333333337</v>
      </c>
      <c r="AQ8" s="1312">
        <f>+'NEW Spring CHP by DISC'!AQ8/12</f>
        <v>0</v>
      </c>
      <c r="AR8" s="1312">
        <f t="shared" si="15"/>
        <v>97.13333333333334</v>
      </c>
      <c r="AS8" s="1320">
        <f t="shared" si="16"/>
        <v>-4.7089601046435552E-2</v>
      </c>
    </row>
    <row r="9" spans="1:45" x14ac:dyDescent="0.25">
      <c r="A9" s="1319" t="s">
        <v>1018</v>
      </c>
      <c r="B9" s="1313">
        <f>+'NEW Spring CHP by DISC'!B9/15</f>
        <v>1.4</v>
      </c>
      <c r="C9" s="1313">
        <f>+'NEW Spring CHP by DISC'!C9/15</f>
        <v>0</v>
      </c>
      <c r="D9" s="1313">
        <f>+'NEW Spring CHP by DISC'!D9/12</f>
        <v>0</v>
      </c>
      <c r="E9" s="1311">
        <f t="shared" si="0"/>
        <v>1.4</v>
      </c>
      <c r="F9" s="1313">
        <f>+'NEW Spring CHP by DISC'!F9/15</f>
        <v>2.2000000000000002</v>
      </c>
      <c r="G9" s="1313">
        <f>+'NEW Spring CHP by DISC'!G9/15</f>
        <v>0</v>
      </c>
      <c r="H9" s="1313">
        <f>+'NEW Spring CHP by DISC'!H9/12</f>
        <v>0</v>
      </c>
      <c r="I9" s="1313">
        <f t="shared" si="1"/>
        <v>2.2000000000000002</v>
      </c>
      <c r="J9" s="1307">
        <f t="shared" si="2"/>
        <v>0.57142857142857162</v>
      </c>
      <c r="K9" s="772">
        <f>+'NEW Spring CHP by DISC'!K9/15</f>
        <v>0</v>
      </c>
      <c r="L9" s="1313">
        <f>+'NEW Spring CHP by DISC'!L9/15</f>
        <v>0</v>
      </c>
      <c r="M9" s="1313">
        <f>+'NEW Spring CHP by DISC'!M9/12</f>
        <v>0</v>
      </c>
      <c r="N9" s="1313">
        <f t="shared" si="3"/>
        <v>0</v>
      </c>
      <c r="O9" s="1307">
        <f t="shared" si="4"/>
        <v>-1</v>
      </c>
      <c r="P9" s="772">
        <f>+'NEW Spring CHP by DISC'!P9/15</f>
        <v>6.6666666666666666E-2</v>
      </c>
      <c r="Q9" s="1313">
        <f>+'NEW Spring CHP by DISC'!Q9/15</f>
        <v>0</v>
      </c>
      <c r="R9" s="1313">
        <f>+'NEW Spring CHP by DISC'!R9/12</f>
        <v>0</v>
      </c>
      <c r="S9" s="1313">
        <f t="shared" si="5"/>
        <v>6.6666666666666666E-2</v>
      </c>
      <c r="T9" s="1307">
        <f t="shared" si="6"/>
        <v>1</v>
      </c>
      <c r="U9" s="1313">
        <f>+'NEW Spring CHP by DISC'!U9/15</f>
        <v>0.93333333333333335</v>
      </c>
      <c r="V9" s="1313">
        <f>+'NEW Spring CHP by DISC'!V9/15</f>
        <v>0</v>
      </c>
      <c r="W9" s="1313">
        <f>+'NEW Spring CHP by DISC'!W9/12</f>
        <v>0</v>
      </c>
      <c r="X9" s="1313">
        <f t="shared" si="7"/>
        <v>0.93333333333333335</v>
      </c>
      <c r="Y9" s="1307">
        <f t="shared" si="8"/>
        <v>13</v>
      </c>
      <c r="Z9" s="1312">
        <f>+'NEW Spring CHP by DISC'!Z9/15</f>
        <v>1.1333333333333333</v>
      </c>
      <c r="AA9" s="1312">
        <f>+'NEW Spring CHP by DISC'!AA9/15</f>
        <v>0</v>
      </c>
      <c r="AB9" s="1312">
        <f>+'NEW Spring CHP by DISC'!AB9/12</f>
        <v>0</v>
      </c>
      <c r="AC9" s="1312">
        <f t="shared" si="9"/>
        <v>1.1333333333333333</v>
      </c>
      <c r="AD9" s="1320">
        <f t="shared" si="10"/>
        <v>0.21428571428571425</v>
      </c>
      <c r="AE9" s="1312">
        <f>+'NEW Spring CHP by DISC'!AE9/15</f>
        <v>0.6</v>
      </c>
      <c r="AF9" s="1312">
        <f>+'NEW Spring CHP by DISC'!AF9/15</f>
        <v>0</v>
      </c>
      <c r="AG9" s="1312">
        <f>+'NEW Spring CHP by DISC'!AG9/12</f>
        <v>0</v>
      </c>
      <c r="AH9" s="1312">
        <f t="shared" si="11"/>
        <v>0.6</v>
      </c>
      <c r="AI9" s="1320">
        <f t="shared" si="12"/>
        <v>-0.47058823529411764</v>
      </c>
      <c r="AJ9" s="1312">
        <f>+'NEW Spring CHP by DISC'!AJ9/15</f>
        <v>2.7333333333333334</v>
      </c>
      <c r="AK9" s="1312">
        <f>+'NEW Spring CHP by DISC'!AK9/15</f>
        <v>0</v>
      </c>
      <c r="AL9" s="1312">
        <f>+'NEW Spring CHP by DISC'!AL9/12</f>
        <v>0</v>
      </c>
      <c r="AM9" s="1312">
        <f t="shared" si="13"/>
        <v>2.7333333333333334</v>
      </c>
      <c r="AN9" s="1320">
        <f t="shared" si="14"/>
        <v>3.5555555555555558</v>
      </c>
      <c r="AO9" s="1312">
        <f>+'NEW Spring CHP by DISC'!AO9/15</f>
        <v>0</v>
      </c>
      <c r="AP9" s="1312">
        <f>+'NEW Spring CHP by DISC'!AP9/15</f>
        <v>0.53333333333333333</v>
      </c>
      <c r="AQ9" s="1312">
        <f>+'NEW Spring CHP by DISC'!AQ9/12</f>
        <v>0</v>
      </c>
      <c r="AR9" s="1312">
        <f t="shared" si="15"/>
        <v>0.53333333333333333</v>
      </c>
      <c r="AS9" s="1320">
        <f t="shared" si="16"/>
        <v>-0.80487804878048785</v>
      </c>
    </row>
    <row r="10" spans="1:45" x14ac:dyDescent="0.25">
      <c r="A10" s="1319" t="s">
        <v>1019</v>
      </c>
      <c r="B10" s="1313">
        <f>+'NEW Spring CHP by DISC'!B10/15</f>
        <v>55.2</v>
      </c>
      <c r="C10" s="1313">
        <f>+'NEW Spring CHP by DISC'!C10/15</f>
        <v>4</v>
      </c>
      <c r="D10" s="1313">
        <f>+'NEW Spring CHP by DISC'!D10/12</f>
        <v>0</v>
      </c>
      <c r="E10" s="1311">
        <f t="shared" si="0"/>
        <v>59.2</v>
      </c>
      <c r="F10" s="1313">
        <f>+'NEW Spring CHP by DISC'!F10/15</f>
        <v>50.4</v>
      </c>
      <c r="G10" s="1313">
        <f>+'NEW Spring CHP by DISC'!G10/15</f>
        <v>5.2</v>
      </c>
      <c r="H10" s="1313">
        <f>+'NEW Spring CHP by DISC'!H10/12</f>
        <v>0</v>
      </c>
      <c r="I10" s="1313">
        <f t="shared" si="1"/>
        <v>55.6</v>
      </c>
      <c r="J10" s="1307">
        <f t="shared" si="2"/>
        <v>-6.0810810810810835E-2</v>
      </c>
      <c r="K10" s="772">
        <f>+'NEW Spring CHP by DISC'!K10/15</f>
        <v>65.8</v>
      </c>
      <c r="L10" s="1313">
        <f>+'NEW Spring CHP by DISC'!L10/15</f>
        <v>1.4</v>
      </c>
      <c r="M10" s="1313">
        <f>+'NEW Spring CHP by DISC'!M10/12</f>
        <v>0</v>
      </c>
      <c r="N10" s="1313">
        <f t="shared" si="3"/>
        <v>67.2</v>
      </c>
      <c r="O10" s="1307">
        <f t="shared" si="4"/>
        <v>0.20863309352517986</v>
      </c>
      <c r="P10" s="772">
        <f>+'NEW Spring CHP by DISC'!P10/15</f>
        <v>67.599999999999994</v>
      </c>
      <c r="Q10" s="1313">
        <f>+'NEW Spring CHP by DISC'!Q10/15</f>
        <v>3.2</v>
      </c>
      <c r="R10" s="1313">
        <f>+'NEW Spring CHP by DISC'!R10/12</f>
        <v>0</v>
      </c>
      <c r="S10" s="1313">
        <f t="shared" si="5"/>
        <v>70.8</v>
      </c>
      <c r="T10" s="1307">
        <f t="shared" si="6"/>
        <v>5.3571428571428485E-2</v>
      </c>
      <c r="U10" s="1313">
        <f>+'NEW Spring CHP by DISC'!U10/15</f>
        <v>63.4</v>
      </c>
      <c r="V10" s="1313">
        <f>+'NEW Spring CHP by DISC'!V10/15</f>
        <v>3.2</v>
      </c>
      <c r="W10" s="1313">
        <f>+'NEW Spring CHP by DISC'!W10/12</f>
        <v>0</v>
      </c>
      <c r="X10" s="1313">
        <f t="shared" si="7"/>
        <v>66.599999999999994</v>
      </c>
      <c r="Y10" s="1307">
        <f t="shared" si="8"/>
        <v>-5.9322033898305128E-2</v>
      </c>
      <c r="Z10" s="1312">
        <f>+'NEW Spring CHP by DISC'!Z10/15</f>
        <v>43.4</v>
      </c>
      <c r="AA10" s="1312">
        <f>+'NEW Spring CHP by DISC'!AA10/15</f>
        <v>5.6</v>
      </c>
      <c r="AB10" s="1312">
        <f>+'NEW Spring CHP by DISC'!AB10/12</f>
        <v>0</v>
      </c>
      <c r="AC10" s="1312">
        <f t="shared" si="9"/>
        <v>49</v>
      </c>
      <c r="AD10" s="1320">
        <f t="shared" si="10"/>
        <v>-0.26426426426426419</v>
      </c>
      <c r="AE10" s="1312">
        <f>+'NEW Spring CHP by DISC'!AE10/15</f>
        <v>39.799999999999997</v>
      </c>
      <c r="AF10" s="1312">
        <f>+'NEW Spring CHP by DISC'!AF10/15</f>
        <v>2.8</v>
      </c>
      <c r="AG10" s="1312">
        <f>+'NEW Spring CHP by DISC'!AG10/12</f>
        <v>0</v>
      </c>
      <c r="AH10" s="1312">
        <f t="shared" si="11"/>
        <v>42.599999999999994</v>
      </c>
      <c r="AI10" s="1320">
        <f t="shared" si="12"/>
        <v>-0.13061224489795931</v>
      </c>
      <c r="AJ10" s="1312">
        <f>+'NEW Spring CHP by DISC'!AJ10/15</f>
        <v>41.2</v>
      </c>
      <c r="AK10" s="1312">
        <f>+'NEW Spring CHP by DISC'!AK10/15</f>
        <v>1.2</v>
      </c>
      <c r="AL10" s="1312">
        <f>+'NEW Spring CHP by DISC'!AL10/12</f>
        <v>0</v>
      </c>
      <c r="AM10" s="1312">
        <f t="shared" si="13"/>
        <v>42.400000000000006</v>
      </c>
      <c r="AN10" s="1320">
        <f t="shared" si="14"/>
        <v>-4.6948356807509075E-3</v>
      </c>
      <c r="AO10" s="1312">
        <f>+'NEW Spring CHP by DISC'!AO10/15</f>
        <v>13.6</v>
      </c>
      <c r="AP10" s="1312">
        <f>+'NEW Spring CHP by DISC'!AP10/15</f>
        <v>8</v>
      </c>
      <c r="AQ10" s="1312">
        <f>+'NEW Spring CHP by DISC'!AQ10/12</f>
        <v>0</v>
      </c>
      <c r="AR10" s="1312">
        <f t="shared" si="15"/>
        <v>21.6</v>
      </c>
      <c r="AS10" s="1320">
        <f t="shared" si="16"/>
        <v>-0.49056603773584911</v>
      </c>
    </row>
    <row r="11" spans="1:45" x14ac:dyDescent="0.25">
      <c r="A11" s="1319" t="s">
        <v>1020</v>
      </c>
      <c r="B11" s="1313">
        <f>+'NEW Spring CHP by DISC'!B11/15</f>
        <v>0</v>
      </c>
      <c r="C11" s="1313">
        <f>+'NEW Spring CHP by DISC'!C11/15</f>
        <v>9</v>
      </c>
      <c r="D11" s="1313">
        <f>+'NEW Spring CHP by DISC'!D11/12</f>
        <v>0</v>
      </c>
      <c r="E11" s="1311">
        <f t="shared" si="0"/>
        <v>9</v>
      </c>
      <c r="F11" s="1313">
        <f>+'NEW Spring CHP by DISC'!F11/15</f>
        <v>7</v>
      </c>
      <c r="G11" s="1313">
        <f>+'NEW Spring CHP by DISC'!G11/15</f>
        <v>13.2</v>
      </c>
      <c r="H11" s="1313">
        <f>+'NEW Spring CHP by DISC'!H11/12</f>
        <v>0</v>
      </c>
      <c r="I11" s="1313">
        <f t="shared" si="1"/>
        <v>20.2</v>
      </c>
      <c r="J11" s="1307">
        <f t="shared" si="2"/>
        <v>1.2444444444444445</v>
      </c>
      <c r="K11" s="772">
        <f>+'NEW Spring CHP by DISC'!K11/15</f>
        <v>6.8</v>
      </c>
      <c r="L11" s="1313">
        <f>+'NEW Spring CHP by DISC'!L11/15</f>
        <v>11</v>
      </c>
      <c r="M11" s="1313">
        <f>+'NEW Spring CHP by DISC'!M11/12</f>
        <v>0</v>
      </c>
      <c r="N11" s="1313">
        <f t="shared" si="3"/>
        <v>17.8</v>
      </c>
      <c r="O11" s="1307">
        <f t="shared" si="4"/>
        <v>-0.11881188118811875</v>
      </c>
      <c r="P11" s="772">
        <f>+'NEW Spring CHP by DISC'!P11/15</f>
        <v>6</v>
      </c>
      <c r="Q11" s="1313">
        <f>+'NEW Spring CHP by DISC'!Q11/15</f>
        <v>11.4</v>
      </c>
      <c r="R11" s="1313">
        <f>+'NEW Spring CHP by DISC'!R11/12</f>
        <v>0</v>
      </c>
      <c r="S11" s="1313">
        <f t="shared" si="5"/>
        <v>17.399999999999999</v>
      </c>
      <c r="T11" s="1307">
        <f t="shared" si="6"/>
        <v>-2.2471910112359668E-2</v>
      </c>
      <c r="U11" s="1313">
        <f>+'NEW Spring CHP by DISC'!U11/15</f>
        <v>6.6</v>
      </c>
      <c r="V11" s="1313">
        <f>+'NEW Spring CHP by DISC'!V11/15</f>
        <v>13.6</v>
      </c>
      <c r="W11" s="1313">
        <f>+'NEW Spring CHP by DISC'!W11/12</f>
        <v>0</v>
      </c>
      <c r="X11" s="1313">
        <f t="shared" si="7"/>
        <v>20.2</v>
      </c>
      <c r="Y11" s="1307">
        <f t="shared" si="8"/>
        <v>0.16091954022988511</v>
      </c>
      <c r="Z11" s="1312">
        <f>+'NEW Spring CHP by DISC'!Z11/15</f>
        <v>11.6</v>
      </c>
      <c r="AA11" s="1312">
        <f>+'NEW Spring CHP by DISC'!AA11/15</f>
        <v>13.6</v>
      </c>
      <c r="AB11" s="1312">
        <f>+'NEW Spring CHP by DISC'!AB11/12</f>
        <v>0</v>
      </c>
      <c r="AC11" s="1312">
        <f t="shared" si="9"/>
        <v>25.2</v>
      </c>
      <c r="AD11" s="1320">
        <f t="shared" si="10"/>
        <v>0.24752475247524752</v>
      </c>
      <c r="AE11" s="1312">
        <f>+'NEW Spring CHP by DISC'!AE11/15</f>
        <v>11.8</v>
      </c>
      <c r="AF11" s="1312">
        <f>+'NEW Spring CHP by DISC'!AF11/15</f>
        <v>14.266666666666667</v>
      </c>
      <c r="AG11" s="1312">
        <f>+'NEW Spring CHP by DISC'!AG11/12</f>
        <v>0</v>
      </c>
      <c r="AH11" s="1312">
        <f t="shared" si="11"/>
        <v>26.06666666666667</v>
      </c>
      <c r="AI11" s="1320">
        <f t="shared" si="12"/>
        <v>3.4391534391534549E-2</v>
      </c>
      <c r="AJ11" s="1312">
        <f>+'NEW Spring CHP by DISC'!AJ11/15</f>
        <v>12</v>
      </c>
      <c r="AK11" s="1312">
        <f>+'NEW Spring CHP by DISC'!AK11/15</f>
        <v>13.666666666666666</v>
      </c>
      <c r="AL11" s="1312">
        <f>+'NEW Spring CHP by DISC'!AL11/12</f>
        <v>0</v>
      </c>
      <c r="AM11" s="1312">
        <f t="shared" si="13"/>
        <v>25.666666666666664</v>
      </c>
      <c r="AN11" s="1320">
        <f t="shared" si="14"/>
        <v>-1.5345268542199704E-2</v>
      </c>
      <c r="AO11" s="1312">
        <f>+'NEW Spring CHP by DISC'!AO11/15</f>
        <v>11.6</v>
      </c>
      <c r="AP11" s="1312">
        <f>+'NEW Spring CHP by DISC'!AP11/15</f>
        <v>14.133333333333333</v>
      </c>
      <c r="AQ11" s="1312">
        <f>+'NEW Spring CHP by DISC'!AQ11/12</f>
        <v>0</v>
      </c>
      <c r="AR11" s="1312">
        <f t="shared" si="15"/>
        <v>25.733333333333334</v>
      </c>
      <c r="AS11" s="1320">
        <f t="shared" si="16"/>
        <v>2.5974025974027266E-3</v>
      </c>
    </row>
    <row r="12" spans="1:45" x14ac:dyDescent="0.25">
      <c r="A12" s="1319" t="s">
        <v>1021</v>
      </c>
      <c r="B12" s="1313">
        <f>+'NEW Spring CHP by DISC'!B12/15</f>
        <v>10.866666666666667</v>
      </c>
      <c r="C12" s="1313">
        <f>+'NEW Spring CHP by DISC'!C12/15</f>
        <v>11</v>
      </c>
      <c r="D12" s="1313">
        <f>+'NEW Spring CHP by DISC'!D12/12</f>
        <v>0</v>
      </c>
      <c r="E12" s="1311">
        <f t="shared" si="0"/>
        <v>21.866666666666667</v>
      </c>
      <c r="F12" s="1313">
        <f>+'NEW Spring CHP by DISC'!F12/15</f>
        <v>14.6</v>
      </c>
      <c r="G12" s="1313">
        <f>+'NEW Spring CHP by DISC'!G12/15</f>
        <v>8.8000000000000007</v>
      </c>
      <c r="H12" s="1313">
        <f>+'NEW Spring CHP by DISC'!H12/12</f>
        <v>0</v>
      </c>
      <c r="I12" s="1313">
        <f t="shared" si="1"/>
        <v>23.4</v>
      </c>
      <c r="J12" s="1307">
        <f t="shared" si="2"/>
        <v>7.0121951219512105E-2</v>
      </c>
      <c r="K12" s="772">
        <f>+'NEW Spring CHP by DISC'!K12/15</f>
        <v>16.2</v>
      </c>
      <c r="L12" s="1313">
        <f>+'NEW Spring CHP by DISC'!L12/15</f>
        <v>12</v>
      </c>
      <c r="M12" s="1313">
        <f>+'NEW Spring CHP by DISC'!M12/12</f>
        <v>0</v>
      </c>
      <c r="N12" s="1313">
        <f t="shared" si="3"/>
        <v>28.2</v>
      </c>
      <c r="O12" s="1307">
        <f t="shared" si="4"/>
        <v>0.20512820512820518</v>
      </c>
      <c r="P12" s="772">
        <f>+'NEW Spring CHP by DISC'!P12/15</f>
        <v>18.666666666666668</v>
      </c>
      <c r="Q12" s="1313">
        <f>+'NEW Spring CHP by DISC'!Q12/15</f>
        <v>14.2</v>
      </c>
      <c r="R12" s="1313">
        <f>+'NEW Spring CHP by DISC'!R12/12</f>
        <v>0</v>
      </c>
      <c r="S12" s="1313">
        <f t="shared" si="5"/>
        <v>32.866666666666667</v>
      </c>
      <c r="T12" s="1307">
        <f t="shared" si="6"/>
        <v>0.16548463356974</v>
      </c>
      <c r="U12" s="1313">
        <f>+'NEW Spring CHP by DISC'!U12/15</f>
        <v>25.2</v>
      </c>
      <c r="V12" s="1313">
        <f>+'NEW Spring CHP by DISC'!V12/15</f>
        <v>19.399999999999999</v>
      </c>
      <c r="W12" s="1313">
        <f>+'NEW Spring CHP by DISC'!W12/12</f>
        <v>0</v>
      </c>
      <c r="X12" s="1313">
        <f t="shared" si="7"/>
        <v>44.599999999999994</v>
      </c>
      <c r="Y12" s="1307">
        <f t="shared" si="8"/>
        <v>0.35699797160243391</v>
      </c>
      <c r="Z12" s="1312">
        <f>+'NEW Spring CHP by DISC'!Z12/15</f>
        <v>24.733333333333334</v>
      </c>
      <c r="AA12" s="1312">
        <f>+'NEW Spring CHP by DISC'!AA12/15</f>
        <v>19.2</v>
      </c>
      <c r="AB12" s="1312">
        <f>+'NEW Spring CHP by DISC'!AB12/12</f>
        <v>0</v>
      </c>
      <c r="AC12" s="1312">
        <f t="shared" si="9"/>
        <v>43.933333333333337</v>
      </c>
      <c r="AD12" s="1320">
        <f t="shared" si="10"/>
        <v>-1.4947683109117876E-2</v>
      </c>
      <c r="AE12" s="1312">
        <f>+'NEW Spring CHP by DISC'!AE12/15</f>
        <v>21.466666666666665</v>
      </c>
      <c r="AF12" s="1312">
        <f>+'NEW Spring CHP by DISC'!AF12/15</f>
        <v>16.2</v>
      </c>
      <c r="AG12" s="1312">
        <f>+'NEW Spring CHP by DISC'!AG12/12</f>
        <v>0</v>
      </c>
      <c r="AH12" s="1312">
        <f t="shared" si="11"/>
        <v>37.666666666666664</v>
      </c>
      <c r="AI12" s="1320">
        <f t="shared" si="12"/>
        <v>-0.142640364188164</v>
      </c>
      <c r="AJ12" s="1312">
        <f>+'NEW Spring CHP by DISC'!AJ12/15</f>
        <v>24.266666666666666</v>
      </c>
      <c r="AK12" s="1312">
        <f>+'NEW Spring CHP by DISC'!AK12/15</f>
        <v>20.266666666666666</v>
      </c>
      <c r="AL12" s="1312">
        <f>+'NEW Spring CHP by DISC'!AL12/12</f>
        <v>0</v>
      </c>
      <c r="AM12" s="1312">
        <f t="shared" si="13"/>
        <v>44.533333333333331</v>
      </c>
      <c r="AN12" s="1320">
        <f t="shared" si="14"/>
        <v>0.18230088495575222</v>
      </c>
      <c r="AO12" s="1312">
        <f>+'NEW Spring CHP by DISC'!AO12/15</f>
        <v>5.4666666666666668</v>
      </c>
      <c r="AP12" s="1312">
        <f>+'NEW Spring CHP by DISC'!AP12/15</f>
        <v>31.066666666666666</v>
      </c>
      <c r="AQ12" s="1312">
        <f>+'NEW Spring CHP by DISC'!AQ12/12</f>
        <v>0</v>
      </c>
      <c r="AR12" s="1312">
        <f t="shared" si="15"/>
        <v>36.533333333333331</v>
      </c>
      <c r="AS12" s="1320">
        <f t="shared" si="16"/>
        <v>-0.17964071856287425</v>
      </c>
    </row>
    <row r="13" spans="1:45" x14ac:dyDescent="0.25">
      <c r="A13" s="1319" t="s">
        <v>1582</v>
      </c>
      <c r="B13" s="1313">
        <f>+'NEW Spring CHP by DISC'!B13/15</f>
        <v>0</v>
      </c>
      <c r="C13" s="1313">
        <f>+'NEW Spring CHP by DISC'!C13/15</f>
        <v>0</v>
      </c>
      <c r="D13" s="1313">
        <f>+'NEW Spring CHP by DISC'!D13/12</f>
        <v>0</v>
      </c>
      <c r="E13" s="1311">
        <f t="shared" si="0"/>
        <v>0</v>
      </c>
      <c r="F13" s="1313">
        <f>+'NEW Spring CHP by DISC'!F13/15</f>
        <v>0</v>
      </c>
      <c r="G13" s="1313">
        <f>+'NEW Spring CHP by DISC'!G13/15</f>
        <v>0</v>
      </c>
      <c r="H13" s="1313">
        <f>+'NEW Spring CHP by DISC'!H13/12</f>
        <v>0</v>
      </c>
      <c r="I13" s="1313">
        <f>SUM(F13:H13)</f>
        <v>0</v>
      </c>
      <c r="J13" s="1307" t="str">
        <f>IF(E13&gt;0,(I13-E13)/E13,(IF(I13=0,"N/A",100%)))</f>
        <v>N/A</v>
      </c>
      <c r="K13" s="772">
        <f>+'NEW Spring CHP by DISC'!K13/15</f>
        <v>0</v>
      </c>
      <c r="L13" s="1313">
        <f>+'NEW Spring CHP by DISC'!L13/15</f>
        <v>0</v>
      </c>
      <c r="M13" s="1313">
        <f>+'NEW Spring CHP by DISC'!M13/12</f>
        <v>0</v>
      </c>
      <c r="N13" s="1313">
        <f>SUM(K13:M13)</f>
        <v>0</v>
      </c>
      <c r="O13" s="1307" t="str">
        <f>IF(I13&gt;0,(N13-I13)/I13,(IF(N13=0,"N/A",100%)))</f>
        <v>N/A</v>
      </c>
      <c r="P13" s="772">
        <f>+'NEW Spring CHP by DISC'!P13/15</f>
        <v>0</v>
      </c>
      <c r="Q13" s="1313">
        <f>+'NEW Spring CHP by DISC'!Q13/15</f>
        <v>0</v>
      </c>
      <c r="R13" s="1313">
        <f>+'NEW Spring CHP by DISC'!R13/12</f>
        <v>0</v>
      </c>
      <c r="S13" s="1313">
        <f>SUM(P13:R13)</f>
        <v>0</v>
      </c>
      <c r="T13" s="1307" t="str">
        <f>IF(N13&gt;0,(S13-N13)/N13,(IF(S13=0,"N/A",100%)))</f>
        <v>N/A</v>
      </c>
      <c r="U13" s="1313">
        <f>+'NEW Spring CHP by DISC'!U13/15</f>
        <v>0</v>
      </c>
      <c r="V13" s="1313">
        <f>+'NEW Spring CHP by DISC'!V13/15</f>
        <v>0</v>
      </c>
      <c r="W13" s="1313">
        <f>+'NEW Spring CHP by DISC'!W13/12</f>
        <v>0</v>
      </c>
      <c r="X13" s="1313">
        <f>SUM(U13:W13)</f>
        <v>0</v>
      </c>
      <c r="Y13" s="1307" t="str">
        <f>IF(S13&gt;0,(X13-S13)/S13,(IF(X13=0,"N/A",100%)))</f>
        <v>N/A</v>
      </c>
      <c r="Z13" s="1312">
        <f>+'NEW Spring CHP by DISC'!Z13/15</f>
        <v>0.26666666666666666</v>
      </c>
      <c r="AA13" s="1312">
        <f>+'NEW Spring CHP by DISC'!AA13/15</f>
        <v>0</v>
      </c>
      <c r="AB13" s="1312">
        <f>+'NEW Spring CHP by DISC'!AB13/12</f>
        <v>0</v>
      </c>
      <c r="AC13" s="1312">
        <f>SUM(Z13:AB13)</f>
        <v>0.26666666666666666</v>
      </c>
      <c r="AD13" s="1320">
        <f>IF(X13&gt;0,(AC13-X13)/X13,(IF(AC13=0,"N/A",100%)))</f>
        <v>1</v>
      </c>
      <c r="AE13" s="1312">
        <f>+'NEW Spring CHP by DISC'!AE13/15</f>
        <v>0</v>
      </c>
      <c r="AF13" s="1312">
        <f>+'NEW Spring CHP by DISC'!AF13/15</f>
        <v>0</v>
      </c>
      <c r="AG13" s="1312">
        <f>+'NEW Spring CHP by DISC'!AG13/12</f>
        <v>0</v>
      </c>
      <c r="AH13" s="1312">
        <f t="shared" si="11"/>
        <v>0</v>
      </c>
      <c r="AI13" s="1320">
        <f t="shared" si="12"/>
        <v>-1</v>
      </c>
      <c r="AJ13" s="1312">
        <f>+'NEW Spring CHP by DISC'!AJ13/15</f>
        <v>0</v>
      </c>
      <c r="AK13" s="1312">
        <f>+'NEW Spring CHP by DISC'!AK13/15</f>
        <v>0</v>
      </c>
      <c r="AL13" s="1312">
        <f>+'NEW Spring CHP by DISC'!AL13/12</f>
        <v>0</v>
      </c>
      <c r="AM13" s="1312">
        <f t="shared" si="13"/>
        <v>0</v>
      </c>
      <c r="AN13" s="1320" t="str">
        <f t="shared" si="14"/>
        <v>N/A</v>
      </c>
      <c r="AO13" s="1312">
        <f>+'NEW Spring CHP by DISC'!AO13/15</f>
        <v>0</v>
      </c>
      <c r="AP13" s="1312">
        <f>+'NEW Spring CHP by DISC'!AP13/15</f>
        <v>0</v>
      </c>
      <c r="AQ13" s="1312">
        <f>+'NEW Spring CHP by DISC'!AQ13/12</f>
        <v>0</v>
      </c>
      <c r="AR13" s="1312">
        <f t="shared" si="15"/>
        <v>0</v>
      </c>
      <c r="AS13" s="1320" t="str">
        <f t="shared" si="16"/>
        <v>N/A</v>
      </c>
    </row>
    <row r="14" spans="1:45" x14ac:dyDescent="0.25">
      <c r="A14" s="1319" t="s">
        <v>1022</v>
      </c>
      <c r="B14" s="1313">
        <f>+'NEW Spring CHP by DISC'!B14/15</f>
        <v>0</v>
      </c>
      <c r="C14" s="1313">
        <f>+'NEW Spring CHP by DISC'!C14/15</f>
        <v>27.8</v>
      </c>
      <c r="D14" s="1313">
        <f>+'NEW Spring CHP by DISC'!D14/12</f>
        <v>0</v>
      </c>
      <c r="E14" s="1311">
        <f t="shared" si="0"/>
        <v>27.8</v>
      </c>
      <c r="F14" s="1313">
        <f>+'NEW Spring CHP by DISC'!F14/15</f>
        <v>0</v>
      </c>
      <c r="G14" s="1313">
        <f>+'NEW Spring CHP by DISC'!G14/15</f>
        <v>33.200000000000003</v>
      </c>
      <c r="H14" s="1313">
        <f>+'NEW Spring CHP by DISC'!H14/12</f>
        <v>0</v>
      </c>
      <c r="I14" s="1313">
        <f t="shared" si="1"/>
        <v>33.200000000000003</v>
      </c>
      <c r="J14" s="1307">
        <f t="shared" si="2"/>
        <v>0.19424460431654683</v>
      </c>
      <c r="K14" s="772">
        <f>+'NEW Spring CHP by DISC'!K14/15</f>
        <v>0</v>
      </c>
      <c r="L14" s="1313">
        <f>+'NEW Spring CHP by DISC'!L14/15</f>
        <v>38.200000000000003</v>
      </c>
      <c r="M14" s="1313">
        <f>+'NEW Spring CHP by DISC'!M14/12</f>
        <v>0</v>
      </c>
      <c r="N14" s="1313">
        <f t="shared" si="3"/>
        <v>38.200000000000003</v>
      </c>
      <c r="O14" s="1307">
        <f t="shared" si="4"/>
        <v>0.1506024096385542</v>
      </c>
      <c r="P14" s="772">
        <f>+'NEW Spring CHP by DISC'!P14/15</f>
        <v>0</v>
      </c>
      <c r="Q14" s="1313">
        <f>+'NEW Spring CHP by DISC'!Q14/15</f>
        <v>35.6</v>
      </c>
      <c r="R14" s="1313">
        <f>+'NEW Spring CHP by DISC'!R14/12</f>
        <v>0</v>
      </c>
      <c r="S14" s="1313">
        <f t="shared" si="5"/>
        <v>35.6</v>
      </c>
      <c r="T14" s="1307">
        <f t="shared" si="6"/>
        <v>-6.806282722513092E-2</v>
      </c>
      <c r="U14" s="1313">
        <f>+'NEW Spring CHP by DISC'!U14/15</f>
        <v>0</v>
      </c>
      <c r="V14" s="1313">
        <f>+'NEW Spring CHP by DISC'!V14/15</f>
        <v>34.200000000000003</v>
      </c>
      <c r="W14" s="1313">
        <f>+'NEW Spring CHP by DISC'!W14/12</f>
        <v>0</v>
      </c>
      <c r="X14" s="1313">
        <f t="shared" si="7"/>
        <v>34.200000000000003</v>
      </c>
      <c r="Y14" s="1307">
        <f t="shared" si="8"/>
        <v>-3.9325842696629171E-2</v>
      </c>
      <c r="Z14" s="1312">
        <f>+'NEW Spring CHP by DISC'!Z14/15</f>
        <v>0</v>
      </c>
      <c r="AA14" s="1312">
        <f>+'NEW Spring CHP by DISC'!AA14/15</f>
        <v>31.6</v>
      </c>
      <c r="AB14" s="1312">
        <f>+'NEW Spring CHP by DISC'!AB14/12</f>
        <v>0</v>
      </c>
      <c r="AC14" s="1312">
        <f t="shared" si="9"/>
        <v>31.6</v>
      </c>
      <c r="AD14" s="1320">
        <f t="shared" si="10"/>
        <v>-7.6023391812865534E-2</v>
      </c>
      <c r="AE14" s="1312">
        <f>+'NEW Spring CHP by DISC'!AE14/15</f>
        <v>0</v>
      </c>
      <c r="AF14" s="1312">
        <f>+'NEW Spring CHP by DISC'!AF14/15</f>
        <v>32.799999999999997</v>
      </c>
      <c r="AG14" s="1312">
        <f>+'NEW Spring CHP by DISC'!AG14/12</f>
        <v>0</v>
      </c>
      <c r="AH14" s="1312">
        <f t="shared" si="11"/>
        <v>32.799999999999997</v>
      </c>
      <c r="AI14" s="1320">
        <f t="shared" si="12"/>
        <v>3.797468354430366E-2</v>
      </c>
      <c r="AJ14" s="1312">
        <f>+'NEW Spring CHP by DISC'!AJ14/15</f>
        <v>0</v>
      </c>
      <c r="AK14" s="1312">
        <f>+'NEW Spring CHP by DISC'!AK14/15</f>
        <v>32.200000000000003</v>
      </c>
      <c r="AL14" s="1312">
        <f>+'NEW Spring CHP by DISC'!AL14/12</f>
        <v>0</v>
      </c>
      <c r="AM14" s="1312">
        <f t="shared" si="13"/>
        <v>32.200000000000003</v>
      </c>
      <c r="AN14" s="1320">
        <f t="shared" si="14"/>
        <v>-1.8292682926829097E-2</v>
      </c>
      <c r="AO14" s="1312">
        <f>+'NEW Spring CHP by DISC'!AO14/15</f>
        <v>0</v>
      </c>
      <c r="AP14" s="1312">
        <f>+'NEW Spring CHP by DISC'!AP14/15</f>
        <v>32.200000000000003</v>
      </c>
      <c r="AQ14" s="1312">
        <f>+'NEW Spring CHP by DISC'!AQ14/12</f>
        <v>0</v>
      </c>
      <c r="AR14" s="1312">
        <f t="shared" si="15"/>
        <v>32.200000000000003</v>
      </c>
      <c r="AS14" s="1320">
        <f t="shared" si="16"/>
        <v>0</v>
      </c>
    </row>
    <row r="15" spans="1:45" x14ac:dyDescent="0.25">
      <c r="A15" s="1319" t="s">
        <v>1023</v>
      </c>
      <c r="B15" s="1313">
        <f>+'NEW Spring CHP by DISC'!B15/15</f>
        <v>0</v>
      </c>
      <c r="C15" s="1313">
        <f>+'NEW Spring CHP by DISC'!C15/15</f>
        <v>10.8</v>
      </c>
      <c r="D15" s="1313">
        <f>+'NEW Spring CHP by DISC'!D15/12</f>
        <v>0</v>
      </c>
      <c r="E15" s="1311">
        <f t="shared" si="0"/>
        <v>10.8</v>
      </c>
      <c r="F15" s="1313">
        <f>+'NEW Spring CHP by DISC'!F15/15</f>
        <v>0</v>
      </c>
      <c r="G15" s="1313">
        <f>+'NEW Spring CHP by DISC'!G15/15</f>
        <v>16.600000000000001</v>
      </c>
      <c r="H15" s="1313">
        <f>+'NEW Spring CHP by DISC'!H15/12</f>
        <v>0</v>
      </c>
      <c r="I15" s="1313">
        <f t="shared" si="1"/>
        <v>16.600000000000001</v>
      </c>
      <c r="J15" s="1307">
        <f t="shared" si="2"/>
        <v>0.53703703703703709</v>
      </c>
      <c r="K15" s="772">
        <f>+'NEW Spring CHP by DISC'!K15/15</f>
        <v>0</v>
      </c>
      <c r="L15" s="1313">
        <f>+'NEW Spring CHP by DISC'!L15/15</f>
        <v>18.600000000000001</v>
      </c>
      <c r="M15" s="1313">
        <f>+'NEW Spring CHP by DISC'!M15/12</f>
        <v>0</v>
      </c>
      <c r="N15" s="1313">
        <f t="shared" si="3"/>
        <v>18.600000000000001</v>
      </c>
      <c r="O15" s="1307">
        <f t="shared" si="4"/>
        <v>0.12048192771084336</v>
      </c>
      <c r="P15" s="772">
        <f>+'NEW Spring CHP by DISC'!P15/15</f>
        <v>0</v>
      </c>
      <c r="Q15" s="1313">
        <f>+'NEW Spring CHP by DISC'!Q15/15</f>
        <v>21</v>
      </c>
      <c r="R15" s="1313">
        <f>+'NEW Spring CHP by DISC'!R15/12</f>
        <v>0</v>
      </c>
      <c r="S15" s="1313">
        <f t="shared" si="5"/>
        <v>21</v>
      </c>
      <c r="T15" s="1307">
        <f t="shared" si="6"/>
        <v>0.12903225806451604</v>
      </c>
      <c r="U15" s="1313">
        <f>+'NEW Spring CHP by DISC'!U15/15</f>
        <v>0</v>
      </c>
      <c r="V15" s="1313">
        <f>+'NEW Spring CHP by DISC'!V15/15</f>
        <v>31.4</v>
      </c>
      <c r="W15" s="1313">
        <f>+'NEW Spring CHP by DISC'!W15/12</f>
        <v>0</v>
      </c>
      <c r="X15" s="1313">
        <f t="shared" si="7"/>
        <v>31.4</v>
      </c>
      <c r="Y15" s="1307">
        <f t="shared" si="8"/>
        <v>0.49523809523809514</v>
      </c>
      <c r="Z15" s="1312">
        <f>+'NEW Spring CHP by DISC'!Z15/15</f>
        <v>0</v>
      </c>
      <c r="AA15" s="1312">
        <f>+'NEW Spring CHP by DISC'!AA15/15</f>
        <v>19</v>
      </c>
      <c r="AB15" s="1312">
        <f>+'NEW Spring CHP by DISC'!AB15/12</f>
        <v>0</v>
      </c>
      <c r="AC15" s="1312">
        <f t="shared" si="9"/>
        <v>19</v>
      </c>
      <c r="AD15" s="1320">
        <f t="shared" si="10"/>
        <v>-0.39490445859872608</v>
      </c>
      <c r="AE15" s="1312">
        <f>+'NEW Spring CHP by DISC'!AE15/15</f>
        <v>0</v>
      </c>
      <c r="AF15" s="1312">
        <f>+'NEW Spring CHP by DISC'!AF15/15</f>
        <v>18.600000000000001</v>
      </c>
      <c r="AG15" s="1312">
        <f>+'NEW Spring CHP by DISC'!AG15/12</f>
        <v>0</v>
      </c>
      <c r="AH15" s="1312">
        <f t="shared" si="11"/>
        <v>18.600000000000001</v>
      </c>
      <c r="AI15" s="1320">
        <f t="shared" si="12"/>
        <v>-2.1052631578947295E-2</v>
      </c>
      <c r="AJ15" s="1312">
        <f>+'NEW Spring CHP by DISC'!AJ15/15</f>
        <v>0</v>
      </c>
      <c r="AK15" s="1312">
        <f>+'NEW Spring CHP by DISC'!AK15/15</f>
        <v>22.8</v>
      </c>
      <c r="AL15" s="1312">
        <f>+'NEW Spring CHP by DISC'!AL15/12</f>
        <v>0</v>
      </c>
      <c r="AM15" s="1312">
        <f t="shared" si="13"/>
        <v>22.8</v>
      </c>
      <c r="AN15" s="1320">
        <f t="shared" si="14"/>
        <v>0.22580645161290316</v>
      </c>
      <c r="AO15" s="1312">
        <f>+'NEW Spring CHP by DISC'!AO15/15</f>
        <v>0</v>
      </c>
      <c r="AP15" s="1312">
        <f>+'NEW Spring CHP by DISC'!AP15/15</f>
        <v>20.2</v>
      </c>
      <c r="AQ15" s="1312">
        <f>+'NEW Spring CHP by DISC'!AQ15/12</f>
        <v>0</v>
      </c>
      <c r="AR15" s="1312">
        <f t="shared" si="15"/>
        <v>20.2</v>
      </c>
      <c r="AS15" s="1320">
        <f t="shared" si="16"/>
        <v>-0.11403508771929831</v>
      </c>
    </row>
    <row r="16" spans="1:45" s="484" customFormat="1" ht="13.8" x14ac:dyDescent="0.25">
      <c r="A16" s="1322" t="s">
        <v>1015</v>
      </c>
      <c r="B16" s="481">
        <f t="shared" ref="B16:I16" si="17">SUM(B7:B15)</f>
        <v>143.60000000000002</v>
      </c>
      <c r="C16" s="481">
        <f t="shared" si="17"/>
        <v>123.19999999999999</v>
      </c>
      <c r="D16" s="481">
        <f t="shared" si="17"/>
        <v>0</v>
      </c>
      <c r="E16" s="591">
        <f t="shared" si="17"/>
        <v>266.80000000000007</v>
      </c>
      <c r="F16" s="481">
        <f t="shared" si="17"/>
        <v>155.19999999999999</v>
      </c>
      <c r="G16" s="481">
        <f t="shared" si="17"/>
        <v>143.26666666666668</v>
      </c>
      <c r="H16" s="481">
        <f t="shared" si="17"/>
        <v>0</v>
      </c>
      <c r="I16" s="481">
        <f t="shared" si="17"/>
        <v>298.46666666666664</v>
      </c>
      <c r="J16" s="593">
        <f t="shared" si="2"/>
        <v>0.11869065467266328</v>
      </c>
      <c r="K16" s="1040">
        <f>SUM(K7:K15)</f>
        <v>170.8</v>
      </c>
      <c r="L16" s="481">
        <f>SUM(L7:L15)</f>
        <v>154.06666666666666</v>
      </c>
      <c r="M16" s="481">
        <f>SUM(M7:M15)</f>
        <v>0</v>
      </c>
      <c r="N16" s="481">
        <f>SUM(N7:N15)</f>
        <v>324.86666666666667</v>
      </c>
      <c r="O16" s="1323">
        <f t="shared" si="4"/>
        <v>8.8452088452088573E-2</v>
      </c>
      <c r="P16" s="1040">
        <f>SUM(P7:P15)</f>
        <v>175.33333333333331</v>
      </c>
      <c r="Q16" s="481">
        <f>SUM(Q7:Q15)</f>
        <v>158.06666666666669</v>
      </c>
      <c r="R16" s="481">
        <f>SUM(R7:R15)</f>
        <v>0</v>
      </c>
      <c r="S16" s="481">
        <f>SUM(S7:S15)</f>
        <v>333.40000000000003</v>
      </c>
      <c r="T16" s="1323">
        <f t="shared" si="6"/>
        <v>2.6267186538066981E-2</v>
      </c>
      <c r="U16" s="481">
        <f>SUM(U7:U15)</f>
        <v>186.13333333333333</v>
      </c>
      <c r="V16" s="481">
        <f>SUM(V7:V15)</f>
        <v>186.00000000000003</v>
      </c>
      <c r="W16" s="481">
        <f>SUM(W7:W15)</f>
        <v>0</v>
      </c>
      <c r="X16" s="481">
        <f>SUM(X7:X15)</f>
        <v>372.13333333333327</v>
      </c>
      <c r="Y16" s="1323">
        <f t="shared" si="8"/>
        <v>0.11617676464707027</v>
      </c>
      <c r="Z16" s="1187">
        <f>SUM(Z7:Z15)</f>
        <v>165.73333333333332</v>
      </c>
      <c r="AA16" s="1187">
        <f>SUM(AA7:AA15)</f>
        <v>167.86666666666665</v>
      </c>
      <c r="AB16" s="1187">
        <f>SUM(AB7:AB15)</f>
        <v>0</v>
      </c>
      <c r="AC16" s="1187">
        <f>SUM(AC7:AC15)</f>
        <v>333.6</v>
      </c>
      <c r="AD16" s="1324">
        <f t="shared" si="10"/>
        <v>-0.10354711572912913</v>
      </c>
      <c r="AE16" s="1187">
        <f>SUM(AE7:AE15)</f>
        <v>148.46666666666664</v>
      </c>
      <c r="AF16" s="1187">
        <f>SUM(AF7:AF15)</f>
        <v>167.53333333333333</v>
      </c>
      <c r="AG16" s="1187">
        <f>SUM(AG7:AG15)</f>
        <v>0</v>
      </c>
      <c r="AH16" s="1187">
        <f>SUM(AH7:AH15)</f>
        <v>316</v>
      </c>
      <c r="AI16" s="1324">
        <f t="shared" si="12"/>
        <v>-5.2757793764988077E-2</v>
      </c>
      <c r="AJ16" s="1187">
        <f>SUM(AJ7:AJ15)</f>
        <v>137.80000000000001</v>
      </c>
      <c r="AK16" s="1187">
        <f>SUM(AK7:AK15)</f>
        <v>177.4666666666667</v>
      </c>
      <c r="AL16" s="1187">
        <f>SUM(AL7:AL15)</f>
        <v>0</v>
      </c>
      <c r="AM16" s="1187">
        <f>SUM(AM7:AM15)</f>
        <v>315.26666666666665</v>
      </c>
      <c r="AN16" s="1324">
        <f t="shared" si="14"/>
        <v>-2.3206751054852801E-3</v>
      </c>
      <c r="AO16" s="1187">
        <f>SUM(AO7:AO15)</f>
        <v>49.866666666666667</v>
      </c>
      <c r="AP16" s="1187">
        <f>SUM(AP7:AP15)</f>
        <v>238.93333333333334</v>
      </c>
      <c r="AQ16" s="1187">
        <f>SUM(AQ7:AQ15)</f>
        <v>0</v>
      </c>
      <c r="AR16" s="1187">
        <f>SUM(AR7:AR15)</f>
        <v>288.8</v>
      </c>
      <c r="AS16" s="1324">
        <f t="shared" si="16"/>
        <v>-8.3950095157538512E-2</v>
      </c>
    </row>
    <row r="17" spans="1:45" x14ac:dyDescent="0.25">
      <c r="A17" s="1325" t="s">
        <v>432</v>
      </c>
      <c r="B17" s="486"/>
      <c r="C17" s="487"/>
      <c r="D17" s="487"/>
      <c r="E17" s="438"/>
      <c r="F17" s="508"/>
      <c r="G17" s="487"/>
      <c r="H17" s="487"/>
      <c r="I17" s="487"/>
      <c r="J17" s="438"/>
      <c r="K17" s="1041"/>
      <c r="L17" s="487"/>
      <c r="M17" s="487"/>
      <c r="N17" s="487"/>
      <c r="O17" s="438"/>
      <c r="P17" s="1041"/>
      <c r="Q17" s="487"/>
      <c r="R17" s="487"/>
      <c r="S17" s="487"/>
      <c r="T17" s="438"/>
      <c r="U17" s="508"/>
      <c r="V17" s="487"/>
      <c r="W17" s="487"/>
      <c r="X17" s="487"/>
      <c r="Y17" s="438"/>
      <c r="Z17" s="1308"/>
      <c r="AA17" s="1309"/>
      <c r="AB17" s="1309"/>
      <c r="AC17" s="1309"/>
      <c r="AD17" s="1306"/>
      <c r="AE17" s="1308"/>
      <c r="AF17" s="1309"/>
      <c r="AG17" s="1309"/>
      <c r="AH17" s="1309"/>
      <c r="AI17" s="1306"/>
      <c r="AJ17" s="1308"/>
      <c r="AK17" s="1309"/>
      <c r="AL17" s="1309"/>
      <c r="AM17" s="1309"/>
      <c r="AN17" s="1306"/>
      <c r="AO17" s="1308"/>
      <c r="AP17" s="1309"/>
      <c r="AQ17" s="1309"/>
      <c r="AR17" s="1309"/>
      <c r="AS17" s="1306"/>
    </row>
    <row r="18" spans="1:45" x14ac:dyDescent="0.25">
      <c r="A18" s="1326" t="s">
        <v>1043</v>
      </c>
      <c r="B18" s="1313">
        <f>+'NEW Spring CHP by DISC'!B18/15</f>
        <v>5.2</v>
      </c>
      <c r="C18" s="1313">
        <f>+'NEW Spring CHP by DISC'!C18/15</f>
        <v>1.4</v>
      </c>
      <c r="D18" s="1313">
        <f>+'NEW Spring CHP by DISC'!D18/12</f>
        <v>0</v>
      </c>
      <c r="E18" s="326">
        <f>SUM(B18:D18)</f>
        <v>6.6</v>
      </c>
      <c r="F18" s="1313">
        <f>+'NEW Spring CHP by DISC'!F18/15</f>
        <v>13.2</v>
      </c>
      <c r="G18" s="1313">
        <f>+'NEW Spring CHP by DISC'!G18/15</f>
        <v>0</v>
      </c>
      <c r="H18" s="1313">
        <f>+'NEW Spring CHP by DISC'!H18/12</f>
        <v>0</v>
      </c>
      <c r="I18" s="490">
        <f>SUM(F18:H18)</f>
        <v>13.2</v>
      </c>
      <c r="J18" s="491">
        <f t="shared" ref="J18:J24" si="18">IF(E18&gt;0,(I18-E18)/E18,(IF(I18=0,"N/A",100%)))</f>
        <v>1</v>
      </c>
      <c r="K18" s="772">
        <f>+'NEW Spring CHP by DISC'!K18/15</f>
        <v>13</v>
      </c>
      <c r="L18" s="1313">
        <f>+'NEW Spring CHP by DISC'!L18/15</f>
        <v>0</v>
      </c>
      <c r="M18" s="1313">
        <f>+'NEW Spring CHP by DISC'!M18/12</f>
        <v>0</v>
      </c>
      <c r="N18" s="490">
        <f>SUM(K18:M18)</f>
        <v>13</v>
      </c>
      <c r="O18" s="1307">
        <f t="shared" ref="O18:O24" si="19">IF(I18&gt;0,(N18-I18)/I18,(IF(N18=0,"N/A",100%)))</f>
        <v>-1.5151515151515098E-2</v>
      </c>
      <c r="P18" s="772">
        <f>+'NEW Spring CHP by DISC'!P18/15</f>
        <v>14</v>
      </c>
      <c r="Q18" s="1313">
        <f>+'NEW Spring CHP by DISC'!Q18/15</f>
        <v>0</v>
      </c>
      <c r="R18" s="1313">
        <f>+'NEW Spring CHP by DISC'!R18/12</f>
        <v>0</v>
      </c>
      <c r="S18" s="490">
        <f>SUM(P18:R18)</f>
        <v>14</v>
      </c>
      <c r="T18" s="1307">
        <f t="shared" ref="T18:T24" si="20">IF(N18&gt;0,(S18-N18)/N18,(IF(S18=0,"N/A",100%)))</f>
        <v>7.6923076923076927E-2</v>
      </c>
      <c r="U18" s="1313">
        <f>+'NEW Spring CHP by DISC'!U18/15</f>
        <v>10.199999999999999</v>
      </c>
      <c r="V18" s="1313">
        <f>+'NEW Spring CHP by DISC'!V18/15</f>
        <v>0</v>
      </c>
      <c r="W18" s="1313">
        <f>+'NEW Spring CHP by DISC'!W18/12</f>
        <v>0</v>
      </c>
      <c r="X18" s="490">
        <f>SUM(U18:W18)</f>
        <v>10.199999999999999</v>
      </c>
      <c r="Y18" s="1307">
        <f t="shared" ref="Y18:Y24" si="21">IF(S18&gt;0,(X18-S18)/S18,(IF(X18=0,"N/A",100%)))</f>
        <v>-0.27142857142857146</v>
      </c>
      <c r="Z18" s="1312">
        <f>+'NEW Spring CHP by DISC'!Z18/15</f>
        <v>10.199999999999999</v>
      </c>
      <c r="AA18" s="1312">
        <f>+'NEW Spring CHP by DISC'!AA18/15</f>
        <v>0</v>
      </c>
      <c r="AB18" s="1312">
        <f>+'NEW Spring CHP by DISC'!AB18/12</f>
        <v>0</v>
      </c>
      <c r="AC18" s="973">
        <f>SUM(Z18:AB18)</f>
        <v>10.199999999999999</v>
      </c>
      <c r="AD18" s="1320">
        <f t="shared" ref="AD18:AD24" si="22">IF(X18&gt;0,(AC18-X18)/X18,(IF(AC18=0,"N/A",100%)))</f>
        <v>0</v>
      </c>
      <c r="AE18" s="1312">
        <f>+'NEW Spring CHP by DISC'!AE18/15</f>
        <v>15</v>
      </c>
      <c r="AF18" s="1312">
        <f>+'NEW Spring CHP by DISC'!AF18/15</f>
        <v>0</v>
      </c>
      <c r="AG18" s="1312">
        <f>+'NEW Spring CHP by DISC'!AG18/12</f>
        <v>0</v>
      </c>
      <c r="AH18" s="973">
        <f>SUM(AE18:AG18)</f>
        <v>15</v>
      </c>
      <c r="AI18" s="1320">
        <f t="shared" ref="AI18:AI24" si="23">IF(AC18&gt;0,(AH18-AC18)/AC18,(IF(AH18=0,"N/A",100%)))</f>
        <v>0.47058823529411775</v>
      </c>
      <c r="AJ18" s="1312">
        <f>+'NEW Spring CHP by DISC'!AJ18/15</f>
        <v>20</v>
      </c>
      <c r="AK18" s="1312">
        <f>+'NEW Spring CHP by DISC'!AK18/15</f>
        <v>0</v>
      </c>
      <c r="AL18" s="1312">
        <f>+'NEW Spring CHP by DISC'!AL18/12</f>
        <v>0</v>
      </c>
      <c r="AM18" s="973">
        <f>SUM(AJ18:AL18)</f>
        <v>20</v>
      </c>
      <c r="AN18" s="1320">
        <f t="shared" ref="AN18:AN24" si="24">IF(AH18&gt;0,(AM18-AH18)/AH18,(IF(AM18=0,"N/A",100%)))</f>
        <v>0.33333333333333331</v>
      </c>
      <c r="AO18" s="1312">
        <f>+'NEW Spring CHP by DISC'!AO18/15</f>
        <v>16</v>
      </c>
      <c r="AP18" s="1312">
        <f>+'NEW Spring CHP by DISC'!AP18/15</f>
        <v>0</v>
      </c>
      <c r="AQ18" s="1312">
        <f>+'NEW Spring CHP by DISC'!AQ18/12</f>
        <v>0</v>
      </c>
      <c r="AR18" s="973">
        <f>SUM(AO18:AQ18)</f>
        <v>16</v>
      </c>
      <c r="AS18" s="1320">
        <f t="shared" ref="AS18:AS24" si="25">IF(AM18&gt;0,(AR18-AM18)/AM18,(IF(AR18=0,"N/A",100%)))</f>
        <v>-0.2</v>
      </c>
    </row>
    <row r="19" spans="1:45" x14ac:dyDescent="0.25">
      <c r="A19" s="1326" t="s">
        <v>514</v>
      </c>
      <c r="B19" s="1313">
        <f>+'NEW Spring CHP by DISC'!B19/15</f>
        <v>0</v>
      </c>
      <c r="C19" s="1313">
        <f>+'NEW Spring CHP by DISC'!C19/15</f>
        <v>7.4</v>
      </c>
      <c r="D19" s="1313">
        <f>+'NEW Spring CHP by DISC'!D19/12</f>
        <v>0</v>
      </c>
      <c r="E19" s="326">
        <f>SUM(B19:D19)</f>
        <v>7.4</v>
      </c>
      <c r="F19" s="1313">
        <f>+'NEW Spring CHP by DISC'!F19/15</f>
        <v>0</v>
      </c>
      <c r="G19" s="1313">
        <f>+'NEW Spring CHP by DISC'!G19/15</f>
        <v>5</v>
      </c>
      <c r="H19" s="1313">
        <f>+'NEW Spring CHP by DISC'!H19/12</f>
        <v>0</v>
      </c>
      <c r="I19" s="490">
        <f>SUM(F19:H19)</f>
        <v>5</v>
      </c>
      <c r="J19" s="491">
        <f t="shared" si="18"/>
        <v>-0.32432432432432434</v>
      </c>
      <c r="K19" s="772">
        <f>+'NEW Spring CHP by DISC'!K19/15</f>
        <v>0</v>
      </c>
      <c r="L19" s="1313">
        <f>+'NEW Spring CHP by DISC'!L19/15</f>
        <v>4.4000000000000004</v>
      </c>
      <c r="M19" s="1313">
        <f>+'NEW Spring CHP by DISC'!M19/12</f>
        <v>0</v>
      </c>
      <c r="N19" s="490">
        <f>SUM(K19:M19)</f>
        <v>4.4000000000000004</v>
      </c>
      <c r="O19" s="1307">
        <f t="shared" si="19"/>
        <v>-0.11999999999999993</v>
      </c>
      <c r="P19" s="772">
        <f>+'NEW Spring CHP by DISC'!P19/15</f>
        <v>0</v>
      </c>
      <c r="Q19" s="1313">
        <f>+'NEW Spring CHP by DISC'!Q19/15</f>
        <v>3.2</v>
      </c>
      <c r="R19" s="1313">
        <f>+'NEW Spring CHP by DISC'!R19/12</f>
        <v>0</v>
      </c>
      <c r="S19" s="490">
        <f>SUM(P19:R19)</f>
        <v>3.2</v>
      </c>
      <c r="T19" s="1307">
        <f t="shared" si="20"/>
        <v>-0.27272727272727276</v>
      </c>
      <c r="U19" s="1313">
        <f>+'NEW Spring CHP by DISC'!U19/15</f>
        <v>0</v>
      </c>
      <c r="V19" s="1313">
        <f>+'NEW Spring CHP by DISC'!V19/15</f>
        <v>2</v>
      </c>
      <c r="W19" s="1313">
        <f>+'NEW Spring CHP by DISC'!W19/12</f>
        <v>0</v>
      </c>
      <c r="X19" s="490">
        <f>SUM(U19:W19)</f>
        <v>2</v>
      </c>
      <c r="Y19" s="1307">
        <f t="shared" si="21"/>
        <v>-0.37500000000000006</v>
      </c>
      <c r="Z19" s="1312">
        <f>+'NEW Spring CHP by DISC'!Z19/15</f>
        <v>0</v>
      </c>
      <c r="AA19" s="1312">
        <f>+'NEW Spring CHP by DISC'!AA19/15</f>
        <v>3.8</v>
      </c>
      <c r="AB19" s="1312">
        <f>+'NEW Spring CHP by DISC'!AB19/12</f>
        <v>0</v>
      </c>
      <c r="AC19" s="973">
        <f>SUM(Z19:AB19)</f>
        <v>3.8</v>
      </c>
      <c r="AD19" s="1320">
        <f t="shared" si="22"/>
        <v>0.89999999999999991</v>
      </c>
      <c r="AE19" s="1312">
        <f>+'NEW Spring CHP by DISC'!AE19/15</f>
        <v>0</v>
      </c>
      <c r="AF19" s="1312">
        <f>+'NEW Spring CHP by DISC'!AF19/15</f>
        <v>2.2000000000000002</v>
      </c>
      <c r="AG19" s="1312">
        <f>+'NEW Spring CHP by DISC'!AG19/12</f>
        <v>0</v>
      </c>
      <c r="AH19" s="973">
        <f>SUM(AE19:AG19)</f>
        <v>2.2000000000000002</v>
      </c>
      <c r="AI19" s="1320">
        <f t="shared" si="23"/>
        <v>-0.42105263157894729</v>
      </c>
      <c r="AJ19" s="1312">
        <f>+'NEW Spring CHP by DISC'!AJ19/15</f>
        <v>0</v>
      </c>
      <c r="AK19" s="1312">
        <f>+'NEW Spring CHP by DISC'!AK19/15</f>
        <v>0</v>
      </c>
      <c r="AL19" s="1312">
        <f>+'NEW Spring CHP by DISC'!AL19/12</f>
        <v>0</v>
      </c>
      <c r="AM19" s="973">
        <f>SUM(AJ19:AL19)</f>
        <v>0</v>
      </c>
      <c r="AN19" s="1320">
        <f t="shared" si="24"/>
        <v>-1</v>
      </c>
      <c r="AO19" s="1312">
        <f>+'NEW Spring CHP by DISC'!AO19/15</f>
        <v>0</v>
      </c>
      <c r="AP19" s="1312">
        <f>+'NEW Spring CHP by DISC'!AP19/15</f>
        <v>0</v>
      </c>
      <c r="AQ19" s="1312">
        <f>+'NEW Spring CHP by DISC'!AQ19/12</f>
        <v>0</v>
      </c>
      <c r="AR19" s="973">
        <f>SUM(AO19:AQ19)</f>
        <v>0</v>
      </c>
      <c r="AS19" s="1320" t="str">
        <f t="shared" si="25"/>
        <v>N/A</v>
      </c>
    </row>
    <row r="20" spans="1:45" x14ac:dyDescent="0.25">
      <c r="A20" s="1326" t="s">
        <v>1652</v>
      </c>
      <c r="B20" s="1313">
        <f>+'NEW Spring CHP by DISC'!B20/15</f>
        <v>0</v>
      </c>
      <c r="C20" s="1313">
        <f>+'NEW Spring CHP by DISC'!C20/15</f>
        <v>0</v>
      </c>
      <c r="D20" s="1313">
        <f>+'NEW Spring CHP by DISC'!D20/12</f>
        <v>0</v>
      </c>
      <c r="E20" s="326">
        <f>SUM(B20:D20)</f>
        <v>0</v>
      </c>
      <c r="F20" s="1313">
        <f>+'NEW Spring CHP by DISC'!F20/15</f>
        <v>0</v>
      </c>
      <c r="G20" s="1313">
        <f>+'NEW Spring CHP by DISC'!G20/15</f>
        <v>0</v>
      </c>
      <c r="H20" s="1313">
        <f>+'NEW Spring CHP by DISC'!H20/12</f>
        <v>0</v>
      </c>
      <c r="I20" s="490">
        <f>SUM(F20:H20)</f>
        <v>0</v>
      </c>
      <c r="J20" s="491" t="str">
        <f>IF(E20&gt;0,(I20-E20)/E20,(IF(I20=0,"N/A",100%)))</f>
        <v>N/A</v>
      </c>
      <c r="K20" s="772">
        <f>+'NEW Spring CHP by DISC'!K20/15</f>
        <v>0</v>
      </c>
      <c r="L20" s="1313">
        <f>+'NEW Spring CHP by DISC'!L20/15</f>
        <v>0</v>
      </c>
      <c r="M20" s="1313">
        <f>+'NEW Spring CHP by DISC'!M20/12</f>
        <v>0</v>
      </c>
      <c r="N20" s="490">
        <f>SUM(K20:M20)</f>
        <v>0</v>
      </c>
      <c r="O20" s="1307" t="str">
        <f>IF(I20&gt;0,(N20-I20)/I20,(IF(N20=0,"N/A",100%)))</f>
        <v>N/A</v>
      </c>
      <c r="P20" s="772">
        <f>+'NEW Spring CHP by DISC'!P20/15</f>
        <v>0</v>
      </c>
      <c r="Q20" s="1313">
        <f>+'NEW Spring CHP by DISC'!Q20/15</f>
        <v>0</v>
      </c>
      <c r="R20" s="1313">
        <f>+'NEW Spring CHP by DISC'!R20/12</f>
        <v>0</v>
      </c>
      <c r="S20" s="490">
        <f>SUM(P20:R20)</f>
        <v>0</v>
      </c>
      <c r="T20" s="1307" t="str">
        <f>IF(N20&gt;0,(S20-N20)/N20,(IF(S20=0,"N/A",100%)))</f>
        <v>N/A</v>
      </c>
      <c r="U20" s="1313">
        <f>+'NEW Spring CHP by DISC'!U20/15</f>
        <v>0</v>
      </c>
      <c r="V20" s="1313">
        <f>+'NEW Spring CHP by DISC'!V20/15</f>
        <v>0</v>
      </c>
      <c r="W20" s="1313">
        <f>+'NEW Spring CHP by DISC'!W20/12</f>
        <v>0</v>
      </c>
      <c r="X20" s="490">
        <f>SUM(U20:W20)</f>
        <v>0</v>
      </c>
      <c r="Y20" s="1307" t="str">
        <f>IF(S20&gt;0,(X20-S20)/S20,(IF(X20=0,"N/A",100%)))</f>
        <v>N/A</v>
      </c>
      <c r="Z20" s="1312">
        <f>+'NEW Spring CHP by DISC'!Z20/15</f>
        <v>0</v>
      </c>
      <c r="AA20" s="1312">
        <f>+'NEW Spring CHP by DISC'!AA20/15</f>
        <v>0</v>
      </c>
      <c r="AB20" s="1312">
        <f>+'NEW Spring CHP by DISC'!AB20/12</f>
        <v>0</v>
      </c>
      <c r="AC20" s="973">
        <f>SUM(Z20:AB20)</f>
        <v>0</v>
      </c>
      <c r="AD20" s="1320" t="str">
        <f>IF(X20&gt;0,(AC20-X20)/X20,(IF(AC20=0,"N/A",100%)))</f>
        <v>N/A</v>
      </c>
      <c r="AE20" s="1312">
        <f>+'NEW Spring CHP by DISC'!AE20/15</f>
        <v>0</v>
      </c>
      <c r="AF20" s="1312">
        <f>+'NEW Spring CHP by DISC'!AF20/15</f>
        <v>0</v>
      </c>
      <c r="AG20" s="1312">
        <f>+'NEW Spring CHP by DISC'!AG20/12</f>
        <v>0</v>
      </c>
      <c r="AH20" s="973">
        <f>SUM(AE20:AG20)</f>
        <v>0</v>
      </c>
      <c r="AI20" s="1320" t="str">
        <f>IF(AC20&gt;0,(AH20-AC20)/AC20,(IF(AH20=0,"N/A",100%)))</f>
        <v>N/A</v>
      </c>
      <c r="AJ20" s="1312">
        <f>+'NEW Spring CHP by DISC'!AJ20/15</f>
        <v>0</v>
      </c>
      <c r="AK20" s="1312">
        <f>+'NEW Spring CHP by DISC'!AK20/15</f>
        <v>0</v>
      </c>
      <c r="AL20" s="1312">
        <f>+'NEW Spring CHP by DISC'!AL20/12</f>
        <v>4.25</v>
      </c>
      <c r="AM20" s="973">
        <f>SUM(AJ20:AL20)</f>
        <v>4.25</v>
      </c>
      <c r="AN20" s="1320">
        <f>IF(AH20&gt;0,(AM20-AH20)/AH20,(IF(AM20=0,"N/A",100%)))</f>
        <v>1</v>
      </c>
      <c r="AO20" s="1312">
        <f>+'NEW Spring CHP by DISC'!AO20/15</f>
        <v>0</v>
      </c>
      <c r="AP20" s="1312">
        <f>+'NEW Spring CHP by DISC'!AP20/15</f>
        <v>0</v>
      </c>
      <c r="AQ20" s="1312">
        <f>+'NEW Spring CHP by DISC'!AQ20/12</f>
        <v>3.25</v>
      </c>
      <c r="AR20" s="973">
        <f>SUM(AO20:AQ20)</f>
        <v>3.25</v>
      </c>
      <c r="AS20" s="1320">
        <f t="shared" si="25"/>
        <v>-0.23529411764705882</v>
      </c>
    </row>
    <row r="21" spans="1:45" x14ac:dyDescent="0.25">
      <c r="A21" s="1326" t="s">
        <v>1042</v>
      </c>
      <c r="B21" s="1313">
        <f>+'NEW Spring CHP by DISC'!B21/15</f>
        <v>30.8</v>
      </c>
      <c r="C21" s="1313">
        <f>+'NEW Spring CHP by DISC'!C21/15</f>
        <v>37.799999999999997</v>
      </c>
      <c r="D21" s="1313">
        <f>+'NEW Spring CHP by DISC'!D21/12</f>
        <v>0</v>
      </c>
      <c r="E21" s="326">
        <f>SUM(B21:D21)</f>
        <v>68.599999999999994</v>
      </c>
      <c r="F21" s="1313">
        <f>+'NEW Spring CHP by DISC'!F21/15</f>
        <v>37</v>
      </c>
      <c r="G21" s="1313">
        <f>+'NEW Spring CHP by DISC'!G21/15</f>
        <v>33.06666666666667</v>
      </c>
      <c r="H21" s="1313">
        <f>+'NEW Spring CHP by DISC'!H21/12</f>
        <v>0</v>
      </c>
      <c r="I21" s="490">
        <f>SUM(F21:H21)</f>
        <v>70.066666666666663</v>
      </c>
      <c r="J21" s="491">
        <f t="shared" si="18"/>
        <v>2.1379980563654061E-2</v>
      </c>
      <c r="K21" s="772">
        <f>+'NEW Spring CHP by DISC'!K21/15</f>
        <v>51.2</v>
      </c>
      <c r="L21" s="1313">
        <f>+'NEW Spring CHP by DISC'!L21/15</f>
        <v>25.6</v>
      </c>
      <c r="M21" s="1313">
        <f>+'NEW Spring CHP by DISC'!M21/12</f>
        <v>0</v>
      </c>
      <c r="N21" s="490">
        <f>SUM(K21:M21)</f>
        <v>76.800000000000011</v>
      </c>
      <c r="O21" s="1307">
        <f t="shared" si="19"/>
        <v>9.6098953377735705E-2</v>
      </c>
      <c r="P21" s="772">
        <f>+'NEW Spring CHP by DISC'!P21/15</f>
        <v>45.2</v>
      </c>
      <c r="Q21" s="1313">
        <f>+'NEW Spring CHP by DISC'!Q21/15</f>
        <v>22.666666666666668</v>
      </c>
      <c r="R21" s="1313">
        <f>+'NEW Spring CHP by DISC'!R21/12</f>
        <v>0</v>
      </c>
      <c r="S21" s="490">
        <f>SUM(P21:R21)</f>
        <v>67.866666666666674</v>
      </c>
      <c r="T21" s="1307">
        <f t="shared" si="20"/>
        <v>-0.11631944444444448</v>
      </c>
      <c r="U21" s="1313">
        <f>+'NEW Spring CHP by DISC'!U21/15</f>
        <v>40.200000000000003</v>
      </c>
      <c r="V21" s="1313">
        <f>+'NEW Spring CHP by DISC'!V21/15</f>
        <v>19</v>
      </c>
      <c r="W21" s="1313">
        <f>+'NEW Spring CHP by DISC'!W21/12</f>
        <v>0</v>
      </c>
      <c r="X21" s="490">
        <f>SUM(U21:W21)</f>
        <v>59.2</v>
      </c>
      <c r="Y21" s="1307">
        <f t="shared" si="21"/>
        <v>-0.12770137524557962</v>
      </c>
      <c r="Z21" s="1312">
        <f>+'NEW Spring CHP by DISC'!Z21/15</f>
        <v>35</v>
      </c>
      <c r="AA21" s="1312">
        <f>+'NEW Spring CHP by DISC'!AA21/15</f>
        <v>16.933333333333334</v>
      </c>
      <c r="AB21" s="1312">
        <f>+'NEW Spring CHP by DISC'!AB21/12</f>
        <v>0</v>
      </c>
      <c r="AC21" s="973">
        <f>SUM(Z21:AB21)</f>
        <v>51.933333333333337</v>
      </c>
      <c r="AD21" s="1320">
        <f t="shared" si="22"/>
        <v>-0.12274774774774773</v>
      </c>
      <c r="AE21" s="1312">
        <f>+'NEW Spring CHP by DISC'!AE21/15</f>
        <v>36.6</v>
      </c>
      <c r="AF21" s="1312">
        <f>+'NEW Spring CHP by DISC'!AF21/15</f>
        <v>22.6</v>
      </c>
      <c r="AG21" s="1312">
        <f>+'NEW Spring CHP by DISC'!AG21/12</f>
        <v>0</v>
      </c>
      <c r="AH21" s="973">
        <f>SUM(AE21:AG21)</f>
        <v>59.2</v>
      </c>
      <c r="AI21" s="1320">
        <f t="shared" si="23"/>
        <v>0.13992297817715016</v>
      </c>
      <c r="AJ21" s="1312">
        <f>+'NEW Spring CHP by DISC'!AJ21/15</f>
        <v>42.8</v>
      </c>
      <c r="AK21" s="1312">
        <f>+'NEW Spring CHP by DISC'!AK21/15</f>
        <v>24.266666666666666</v>
      </c>
      <c r="AL21" s="1312">
        <f>+'NEW Spring CHP by DISC'!AL21/12</f>
        <v>0</v>
      </c>
      <c r="AM21" s="973">
        <f>SUM(AJ21:AL21)</f>
        <v>67.066666666666663</v>
      </c>
      <c r="AN21" s="1320">
        <f t="shared" si="24"/>
        <v>0.13288288288288277</v>
      </c>
      <c r="AO21" s="1312">
        <f>+'NEW Spring CHP by DISC'!AO21/15</f>
        <v>31.6</v>
      </c>
      <c r="AP21" s="1312">
        <f>+'NEW Spring CHP by DISC'!AP21/15</f>
        <v>23.466666666666665</v>
      </c>
      <c r="AQ21" s="1312">
        <f>+'NEW Spring CHP by DISC'!AQ21/12</f>
        <v>0</v>
      </c>
      <c r="AR21" s="973">
        <f>SUM(AO21:AQ21)</f>
        <v>55.066666666666663</v>
      </c>
      <c r="AS21" s="1320">
        <f t="shared" si="25"/>
        <v>-0.17892644135188868</v>
      </c>
    </row>
    <row r="22" spans="1:45" x14ac:dyDescent="0.25">
      <c r="A22" s="1326" t="s">
        <v>1014</v>
      </c>
      <c r="B22" s="1313">
        <f>+'NEW Spring CHP by DISC'!B22/15</f>
        <v>36.266666666666666</v>
      </c>
      <c r="C22" s="1313">
        <f>+'NEW Spring CHP by DISC'!C22/15</f>
        <v>37.6</v>
      </c>
      <c r="D22" s="1313">
        <f>+'NEW Spring CHP by DISC'!D22/12</f>
        <v>0</v>
      </c>
      <c r="E22" s="326">
        <f>SUM(B22:D22)</f>
        <v>73.866666666666674</v>
      </c>
      <c r="F22" s="1313">
        <f>+'NEW Spring CHP by DISC'!F22/15</f>
        <v>47</v>
      </c>
      <c r="G22" s="1313">
        <f>+'NEW Spring CHP by DISC'!G22/15</f>
        <v>49</v>
      </c>
      <c r="H22" s="1313">
        <f>+'NEW Spring CHP by DISC'!H22/12</f>
        <v>0</v>
      </c>
      <c r="I22" s="490">
        <f>SUM(F22:H22)</f>
        <v>96</v>
      </c>
      <c r="J22" s="491">
        <f t="shared" si="18"/>
        <v>0.29963898916967496</v>
      </c>
      <c r="K22" s="772">
        <f>+'NEW Spring CHP by DISC'!K22/15</f>
        <v>45.466666666666669</v>
      </c>
      <c r="L22" s="1313">
        <f>+'NEW Spring CHP by DISC'!L22/15</f>
        <v>39.6</v>
      </c>
      <c r="M22" s="1313">
        <f>+'NEW Spring CHP by DISC'!M22/12</f>
        <v>0</v>
      </c>
      <c r="N22" s="490">
        <f>SUM(K22:M22)</f>
        <v>85.066666666666663</v>
      </c>
      <c r="O22" s="1307">
        <f t="shared" si="19"/>
        <v>-0.11388888888888893</v>
      </c>
      <c r="P22" s="772">
        <f>+'NEW Spring CHP by DISC'!P22/15</f>
        <v>51.733333333333334</v>
      </c>
      <c r="Q22" s="1313">
        <f>+'NEW Spring CHP by DISC'!Q22/15</f>
        <v>37.200000000000003</v>
      </c>
      <c r="R22" s="1313">
        <f>+'NEW Spring CHP by DISC'!R22/12</f>
        <v>0</v>
      </c>
      <c r="S22" s="490">
        <f>SUM(P22:R22)</f>
        <v>88.933333333333337</v>
      </c>
      <c r="T22" s="1307">
        <f t="shared" si="20"/>
        <v>4.5454545454545546E-2</v>
      </c>
      <c r="U22" s="1313">
        <f>+'NEW Spring CHP by DISC'!U22/15</f>
        <v>49.8</v>
      </c>
      <c r="V22" s="1313">
        <f>+'NEW Spring CHP by DISC'!V22/15</f>
        <v>38.200000000000003</v>
      </c>
      <c r="W22" s="1313">
        <f>+'NEW Spring CHP by DISC'!W22/12</f>
        <v>0</v>
      </c>
      <c r="X22" s="490">
        <f>SUM(U22:W22)</f>
        <v>88</v>
      </c>
      <c r="Y22" s="1307">
        <f t="shared" si="21"/>
        <v>-1.0494752623688198E-2</v>
      </c>
      <c r="Z22" s="1312">
        <f>+'NEW Spring CHP by DISC'!Z22/15</f>
        <v>50.866666666666667</v>
      </c>
      <c r="AA22" s="1312">
        <f>+'NEW Spring CHP by DISC'!AA22/15</f>
        <v>29.4</v>
      </c>
      <c r="AB22" s="1312">
        <f>+'NEW Spring CHP by DISC'!AB22/12</f>
        <v>0</v>
      </c>
      <c r="AC22" s="973">
        <f>SUM(Z22:AB22)</f>
        <v>80.266666666666666</v>
      </c>
      <c r="AD22" s="1320">
        <f t="shared" si="22"/>
        <v>-8.787878787878789E-2</v>
      </c>
      <c r="AE22" s="1312">
        <f>+'NEW Spring CHP by DISC'!AE22/15</f>
        <v>32.799999999999997</v>
      </c>
      <c r="AF22" s="1312">
        <f>+'NEW Spring CHP by DISC'!AF22/15</f>
        <v>32</v>
      </c>
      <c r="AG22" s="1312">
        <f>+'NEW Spring CHP by DISC'!AG22/12</f>
        <v>0</v>
      </c>
      <c r="AH22" s="973">
        <f>SUM(AE22:AG22)</f>
        <v>64.8</v>
      </c>
      <c r="AI22" s="1320">
        <f t="shared" si="23"/>
        <v>-0.19269102990033224</v>
      </c>
      <c r="AJ22" s="1312">
        <f>+'NEW Spring CHP by DISC'!AJ22/15</f>
        <v>31.2</v>
      </c>
      <c r="AK22" s="1312">
        <f>+'NEW Spring CHP by DISC'!AK22/15</f>
        <v>28.866666666666667</v>
      </c>
      <c r="AL22" s="1312">
        <f>+'NEW Spring CHP by DISC'!AL22/12</f>
        <v>0</v>
      </c>
      <c r="AM22" s="973">
        <f>SUM(AJ22:AL22)</f>
        <v>60.066666666666663</v>
      </c>
      <c r="AN22" s="1320">
        <f t="shared" si="24"/>
        <v>-7.3045267489711949E-2</v>
      </c>
      <c r="AO22" s="1312">
        <f>+'NEW Spring CHP by DISC'!AO22/15</f>
        <v>12</v>
      </c>
      <c r="AP22" s="1312">
        <f>+'NEW Spring CHP by DISC'!AP22/15</f>
        <v>43.2</v>
      </c>
      <c r="AQ22" s="1312">
        <f>+'NEW Spring CHP by DISC'!AQ22/12</f>
        <v>0</v>
      </c>
      <c r="AR22" s="973">
        <f>SUM(AO22:AQ22)</f>
        <v>55.2</v>
      </c>
      <c r="AS22" s="1320">
        <f t="shared" si="25"/>
        <v>-8.1021087680355056E-2</v>
      </c>
    </row>
    <row r="23" spans="1:45" s="484" customFormat="1" ht="13.8" x14ac:dyDescent="0.25">
      <c r="A23" s="1327" t="s">
        <v>1015</v>
      </c>
      <c r="B23" s="494">
        <f t="shared" ref="B23:I23" si="26">SUM(B18:B22)</f>
        <v>72.266666666666666</v>
      </c>
      <c r="C23" s="494">
        <f t="shared" si="26"/>
        <v>84.199999999999989</v>
      </c>
      <c r="D23" s="494">
        <f t="shared" si="26"/>
        <v>0</v>
      </c>
      <c r="E23" s="495">
        <f t="shared" si="26"/>
        <v>156.46666666666667</v>
      </c>
      <c r="F23" s="493">
        <f t="shared" si="26"/>
        <v>97.2</v>
      </c>
      <c r="G23" s="494">
        <f t="shared" si="26"/>
        <v>87.066666666666663</v>
      </c>
      <c r="H23" s="494">
        <f t="shared" si="26"/>
        <v>0</v>
      </c>
      <c r="I23" s="494">
        <f t="shared" si="26"/>
        <v>184.26666666666665</v>
      </c>
      <c r="J23" s="496">
        <f t="shared" si="18"/>
        <v>0.17767362590541105</v>
      </c>
      <c r="K23" s="1025">
        <f>SUM(K18:K22)</f>
        <v>109.66666666666667</v>
      </c>
      <c r="L23" s="494">
        <f>SUM(L18:L22)</f>
        <v>69.599999999999994</v>
      </c>
      <c r="M23" s="494">
        <f>SUM(M18:M22)</f>
        <v>0</v>
      </c>
      <c r="N23" s="494">
        <f>SUM(N18:N22)</f>
        <v>179.26666666666668</v>
      </c>
      <c r="O23" s="1323">
        <f t="shared" si="19"/>
        <v>-2.7134587554269025E-2</v>
      </c>
      <c r="P23" s="1025">
        <f>SUM(P18:P22)</f>
        <v>110.93333333333334</v>
      </c>
      <c r="Q23" s="494">
        <f>SUM(Q18:Q22)</f>
        <v>63.06666666666667</v>
      </c>
      <c r="R23" s="494">
        <f>SUM(R18:R22)</f>
        <v>0</v>
      </c>
      <c r="S23" s="494">
        <f>SUM(S18:S22)</f>
        <v>174</v>
      </c>
      <c r="T23" s="1323">
        <f t="shared" si="20"/>
        <v>-2.9378951283004905E-2</v>
      </c>
      <c r="U23" s="493">
        <f>SUM(U18:U22)</f>
        <v>100.2</v>
      </c>
      <c r="V23" s="494">
        <f>SUM(V18:V22)</f>
        <v>59.2</v>
      </c>
      <c r="W23" s="494">
        <f>SUM(W18:W22)</f>
        <v>0</v>
      </c>
      <c r="X23" s="494">
        <f>SUM(X18:X22)</f>
        <v>159.4</v>
      </c>
      <c r="Y23" s="1323">
        <f t="shared" si="21"/>
        <v>-8.3908045977011458E-2</v>
      </c>
      <c r="Z23" s="1188">
        <f>SUM(Z18:Z22)</f>
        <v>96.066666666666663</v>
      </c>
      <c r="AA23" s="1189">
        <f>SUM(AA18:AA22)</f>
        <v>50.133333333333333</v>
      </c>
      <c r="AB23" s="1189">
        <f>SUM(AB18:AB22)</f>
        <v>0</v>
      </c>
      <c r="AC23" s="1189">
        <f>SUM(AC18:AC22)</f>
        <v>146.19999999999999</v>
      </c>
      <c r="AD23" s="1324">
        <f t="shared" si="22"/>
        <v>-8.2810539523212143E-2</v>
      </c>
      <c r="AE23" s="1188">
        <f>SUM(AE18:AE22)</f>
        <v>84.4</v>
      </c>
      <c r="AF23" s="1189">
        <f>SUM(AF18:AF22)</f>
        <v>56.8</v>
      </c>
      <c r="AG23" s="1189">
        <f>SUM(AG18:AG22)</f>
        <v>0</v>
      </c>
      <c r="AH23" s="1189">
        <f>SUM(AH18:AH22)</f>
        <v>141.19999999999999</v>
      </c>
      <c r="AI23" s="1324">
        <f t="shared" si="23"/>
        <v>-3.4199726402188782E-2</v>
      </c>
      <c r="AJ23" s="1188">
        <f>SUM(AJ18:AJ22)</f>
        <v>94</v>
      </c>
      <c r="AK23" s="1189">
        <f>SUM(AK18:AK22)</f>
        <v>53.133333333333333</v>
      </c>
      <c r="AL23" s="1189">
        <f>SUM(AL18:AL22)</f>
        <v>4.25</v>
      </c>
      <c r="AM23" s="1189">
        <f>SUM(AM18:AM22)</f>
        <v>151.38333333333333</v>
      </c>
      <c r="AN23" s="1324">
        <f t="shared" si="24"/>
        <v>7.2119924457034967E-2</v>
      </c>
      <c r="AO23" s="1188">
        <f>SUM(AO18:AO22)</f>
        <v>59.6</v>
      </c>
      <c r="AP23" s="1189">
        <f>SUM(AP18:AP22)</f>
        <v>66.666666666666671</v>
      </c>
      <c r="AQ23" s="1189">
        <f>SUM(AQ18:AQ22)</f>
        <v>3.25</v>
      </c>
      <c r="AR23" s="1189">
        <f>SUM(AR18:AR22)</f>
        <v>129.51666666666665</v>
      </c>
      <c r="AS23" s="1324">
        <f t="shared" si="25"/>
        <v>-0.14444566773092596</v>
      </c>
    </row>
    <row r="24" spans="1:45" s="502" customFormat="1" ht="16.2" thickBot="1" x14ac:dyDescent="0.35">
      <c r="A24" s="1328" t="s">
        <v>433</v>
      </c>
      <c r="B24" s="974">
        <f t="shared" ref="B24:I24" si="27">+B23+B16</f>
        <v>215.86666666666667</v>
      </c>
      <c r="C24" s="974">
        <f t="shared" si="27"/>
        <v>207.39999999999998</v>
      </c>
      <c r="D24" s="974">
        <f t="shared" si="27"/>
        <v>0</v>
      </c>
      <c r="E24" s="989">
        <f t="shared" si="27"/>
        <v>423.26666666666677</v>
      </c>
      <c r="F24" s="988">
        <f t="shared" si="27"/>
        <v>252.39999999999998</v>
      </c>
      <c r="G24" s="974">
        <f t="shared" si="27"/>
        <v>230.33333333333334</v>
      </c>
      <c r="H24" s="974">
        <f t="shared" si="27"/>
        <v>0</v>
      </c>
      <c r="I24" s="974">
        <f t="shared" si="27"/>
        <v>482.73333333333329</v>
      </c>
      <c r="J24" s="975">
        <f t="shared" si="18"/>
        <v>0.14049456607339703</v>
      </c>
      <c r="K24" s="1329">
        <f>+K23+K16</f>
        <v>280.4666666666667</v>
      </c>
      <c r="L24" s="974">
        <f>+L23+L16</f>
        <v>223.66666666666666</v>
      </c>
      <c r="M24" s="974">
        <f>+M23+M16</f>
        <v>0</v>
      </c>
      <c r="N24" s="974">
        <f>+N23+N16</f>
        <v>504.13333333333333</v>
      </c>
      <c r="O24" s="1330">
        <f t="shared" si="19"/>
        <v>4.4330893522994137E-2</v>
      </c>
      <c r="P24" s="1329">
        <f>+P23+P16</f>
        <v>286.26666666666665</v>
      </c>
      <c r="Q24" s="974">
        <f>+Q23+Q16</f>
        <v>221.13333333333335</v>
      </c>
      <c r="R24" s="974">
        <f>+R23+R16</f>
        <v>0</v>
      </c>
      <c r="S24" s="974">
        <f>+S23+S16</f>
        <v>507.40000000000003</v>
      </c>
      <c r="T24" s="1330">
        <f t="shared" si="20"/>
        <v>6.4797672573394111E-3</v>
      </c>
      <c r="U24" s="988">
        <f>+U23+U16</f>
        <v>286.33333333333331</v>
      </c>
      <c r="V24" s="974">
        <f>+V23+V16</f>
        <v>245.20000000000005</v>
      </c>
      <c r="W24" s="974">
        <f>+W23+W16</f>
        <v>0</v>
      </c>
      <c r="X24" s="974">
        <f>+X23+X16</f>
        <v>531.5333333333333</v>
      </c>
      <c r="Y24" s="1330">
        <f t="shared" si="21"/>
        <v>4.7562738142162532E-2</v>
      </c>
      <c r="Z24" s="1331">
        <f>+Z23+Z16</f>
        <v>261.79999999999995</v>
      </c>
      <c r="AA24" s="1332">
        <f>+AA23+AA16</f>
        <v>217.99999999999997</v>
      </c>
      <c r="AB24" s="1332">
        <f>+AB23+AB16</f>
        <v>0</v>
      </c>
      <c r="AC24" s="1332">
        <f>+AC23+AC16</f>
        <v>479.8</v>
      </c>
      <c r="AD24" s="1333">
        <f t="shared" si="22"/>
        <v>-9.7328483632258794E-2</v>
      </c>
      <c r="AE24" s="1331">
        <f>+AE23+AE16</f>
        <v>232.86666666666665</v>
      </c>
      <c r="AF24" s="1332">
        <f>+AF23+AF16</f>
        <v>224.33333333333331</v>
      </c>
      <c r="AG24" s="1332">
        <f>+AG23+AG16</f>
        <v>0</v>
      </c>
      <c r="AH24" s="1332">
        <f>+AH23+AH16</f>
        <v>457.2</v>
      </c>
      <c r="AI24" s="1333">
        <f t="shared" si="23"/>
        <v>-4.710295956648608E-2</v>
      </c>
      <c r="AJ24" s="1331">
        <f>+AJ23+AJ16</f>
        <v>231.8</v>
      </c>
      <c r="AK24" s="1332">
        <f>+AK23+AK16</f>
        <v>230.60000000000002</v>
      </c>
      <c r="AL24" s="1332">
        <f>+AL23+AL16</f>
        <v>4.25</v>
      </c>
      <c r="AM24" s="1332">
        <f>+AM23+AM16</f>
        <v>466.65</v>
      </c>
      <c r="AN24" s="1333">
        <f t="shared" si="24"/>
        <v>2.0669291338582654E-2</v>
      </c>
      <c r="AO24" s="1331">
        <f>+AO23+AO16</f>
        <v>109.46666666666667</v>
      </c>
      <c r="AP24" s="1332">
        <f>+AP23+AP16</f>
        <v>305.60000000000002</v>
      </c>
      <c r="AQ24" s="1332">
        <f>+AQ23+AQ16</f>
        <v>3.25</v>
      </c>
      <c r="AR24" s="1332">
        <f>+AR23+AR16</f>
        <v>418.31666666666666</v>
      </c>
      <c r="AS24" s="1333">
        <f t="shared" si="25"/>
        <v>-0.1035751276831315</v>
      </c>
    </row>
    <row r="25" spans="1:45" x14ac:dyDescent="0.25">
      <c r="A25" s="503"/>
      <c r="B25" s="286"/>
      <c r="C25" s="286"/>
      <c r="D25" s="286"/>
      <c r="E25" s="286"/>
      <c r="F25" s="286"/>
      <c r="G25" s="286"/>
      <c r="H25" s="286"/>
      <c r="I25" s="286"/>
      <c r="J25" s="504"/>
      <c r="K25" s="280"/>
      <c r="L25" s="280"/>
      <c r="M25" s="280"/>
      <c r="N25" s="280"/>
      <c r="O25" s="280"/>
      <c r="P25" s="280"/>
      <c r="Q25" s="280"/>
      <c r="R25" s="280"/>
      <c r="S25" s="280"/>
      <c r="T25" s="280"/>
      <c r="U25" s="280"/>
      <c r="V25" s="280"/>
      <c r="W25" s="280"/>
      <c r="X25" s="280"/>
      <c r="Y25" s="280"/>
      <c r="Z25" s="712"/>
      <c r="AA25" s="712"/>
      <c r="AB25" s="712"/>
      <c r="AC25" s="712"/>
      <c r="AD25" s="712"/>
      <c r="AE25" s="712"/>
      <c r="AF25" s="712"/>
      <c r="AG25" s="712"/>
      <c r="AH25" s="712"/>
      <c r="AI25" s="712"/>
      <c r="AJ25" s="712"/>
      <c r="AK25" s="712"/>
      <c r="AL25" s="712"/>
      <c r="AM25" s="712"/>
      <c r="AN25" s="712"/>
      <c r="AO25" s="712"/>
      <c r="AP25" s="712"/>
      <c r="AQ25" s="712"/>
      <c r="AR25" s="712"/>
      <c r="AS25" s="712"/>
    </row>
    <row r="26" spans="1:45" ht="13.8" thickBot="1" x14ac:dyDescent="0.3">
      <c r="A26" s="503"/>
      <c r="B26" s="286"/>
      <c r="C26" s="286"/>
      <c r="D26" s="286"/>
      <c r="E26" s="286"/>
      <c r="F26" s="286"/>
      <c r="G26" s="286"/>
      <c r="H26" s="286"/>
      <c r="I26" s="286"/>
      <c r="J26" s="504"/>
      <c r="K26" s="280"/>
      <c r="L26" s="280"/>
      <c r="M26" s="280"/>
      <c r="N26" s="280"/>
      <c r="O26" s="280"/>
      <c r="P26" s="280"/>
      <c r="Q26" s="280"/>
      <c r="R26" s="280"/>
      <c r="S26" s="280"/>
      <c r="T26" s="280"/>
      <c r="U26" s="280"/>
      <c r="V26" s="280"/>
      <c r="W26" s="280"/>
      <c r="X26" s="280"/>
      <c r="Y26" s="280"/>
      <c r="Z26" s="712"/>
      <c r="AA26" s="712"/>
      <c r="AB26" s="712"/>
      <c r="AC26" s="712"/>
      <c r="AD26" s="712"/>
      <c r="AE26" s="712"/>
      <c r="AF26" s="712"/>
      <c r="AG26" s="712"/>
      <c r="AH26" s="712"/>
      <c r="AI26" s="712"/>
      <c r="AJ26" s="712"/>
      <c r="AK26" s="712"/>
      <c r="AL26" s="712"/>
      <c r="AM26" s="712"/>
      <c r="AN26" s="712"/>
      <c r="AO26" s="712"/>
      <c r="AP26" s="712"/>
      <c r="AQ26" s="712"/>
      <c r="AR26" s="712"/>
      <c r="AS26" s="712"/>
    </row>
    <row r="27" spans="1:45" customFormat="1" ht="18" thickBot="1" x14ac:dyDescent="0.35">
      <c r="A27" s="2134" t="s">
        <v>424</v>
      </c>
      <c r="B27" s="2135"/>
      <c r="C27" s="2135"/>
      <c r="D27" s="2135"/>
      <c r="E27" s="2135"/>
      <c r="F27" s="2135"/>
      <c r="G27" s="2135"/>
      <c r="H27" s="2135"/>
      <c r="I27" s="2135"/>
      <c r="J27" s="2135"/>
      <c r="K27" s="2135"/>
      <c r="L27" s="2135"/>
      <c r="M27" s="2135"/>
      <c r="N27" s="2135"/>
      <c r="O27" s="2135"/>
      <c r="P27" s="2135"/>
      <c r="Q27" s="2135"/>
      <c r="R27" s="2135"/>
      <c r="S27" s="2135"/>
      <c r="T27" s="2135"/>
      <c r="U27" s="2135"/>
      <c r="V27" s="2135"/>
      <c r="W27" s="2135"/>
      <c r="X27" s="2135"/>
      <c r="Y27" s="2135"/>
      <c r="Z27" s="2135"/>
      <c r="AA27" s="2135"/>
      <c r="AB27" s="2135"/>
      <c r="AC27" s="2135"/>
      <c r="AD27" s="2135"/>
      <c r="AE27" s="2135"/>
      <c r="AF27" s="2135"/>
      <c r="AG27" s="2135"/>
      <c r="AH27" s="2135"/>
      <c r="AI27" s="2135"/>
      <c r="AJ27" s="2135"/>
      <c r="AK27" s="2135"/>
      <c r="AL27" s="2135"/>
      <c r="AM27" s="2135"/>
      <c r="AN27" s="2135"/>
      <c r="AO27" s="2135"/>
      <c r="AP27" s="2135"/>
      <c r="AQ27" s="2135"/>
      <c r="AR27" s="2135"/>
      <c r="AS27" s="2136"/>
    </row>
    <row r="28" spans="1:45" ht="40.200000000000003" customHeight="1" x14ac:dyDescent="0.25">
      <c r="A28" s="2142" t="s">
        <v>1006</v>
      </c>
      <c r="B28" s="1314" t="s">
        <v>1008</v>
      </c>
      <c r="C28" s="1314" t="s">
        <v>1009</v>
      </c>
      <c r="D28" s="1314" t="s">
        <v>1010</v>
      </c>
      <c r="E28" s="680" t="s">
        <v>1069</v>
      </c>
      <c r="F28" s="1314" t="s">
        <v>1008</v>
      </c>
      <c r="G28" s="1314" t="s">
        <v>1009</v>
      </c>
      <c r="H28" s="1314" t="s">
        <v>1010</v>
      </c>
      <c r="I28" s="682" t="s">
        <v>1069</v>
      </c>
      <c r="J28" s="1315" t="s">
        <v>1071</v>
      </c>
      <c r="K28" s="1038" t="s">
        <v>1008</v>
      </c>
      <c r="L28" s="1314" t="s">
        <v>1009</v>
      </c>
      <c r="M28" s="1314" t="s">
        <v>1010</v>
      </c>
      <c r="N28" s="682" t="s">
        <v>1069</v>
      </c>
      <c r="O28" s="1315" t="s">
        <v>1071</v>
      </c>
      <c r="P28" s="1038" t="s">
        <v>1008</v>
      </c>
      <c r="Q28" s="1314" t="s">
        <v>1009</v>
      </c>
      <c r="R28" s="1314" t="s">
        <v>1010</v>
      </c>
      <c r="S28" s="682" t="s">
        <v>1069</v>
      </c>
      <c r="T28" s="1315" t="s">
        <v>1071</v>
      </c>
      <c r="U28" s="1314" t="s">
        <v>1008</v>
      </c>
      <c r="V28" s="1314" t="s">
        <v>1009</v>
      </c>
      <c r="W28" s="1314" t="s">
        <v>1010</v>
      </c>
      <c r="X28" s="682" t="s">
        <v>1069</v>
      </c>
      <c r="Y28" s="1315" t="s">
        <v>1071</v>
      </c>
      <c r="Z28" s="1316" t="s">
        <v>1008</v>
      </c>
      <c r="AA28" s="1316" t="s">
        <v>1009</v>
      </c>
      <c r="AB28" s="1316" t="s">
        <v>1010</v>
      </c>
      <c r="AC28" s="1186" t="s">
        <v>1069</v>
      </c>
      <c r="AD28" s="1317" t="s">
        <v>1071</v>
      </c>
      <c r="AE28" s="1316" t="s">
        <v>1008</v>
      </c>
      <c r="AF28" s="1316" t="s">
        <v>1009</v>
      </c>
      <c r="AG28" s="1316" t="s">
        <v>1010</v>
      </c>
      <c r="AH28" s="1186" t="s">
        <v>1069</v>
      </c>
      <c r="AI28" s="1317" t="s">
        <v>1071</v>
      </c>
      <c r="AJ28" s="1316" t="s">
        <v>1008</v>
      </c>
      <c r="AK28" s="1316" t="s">
        <v>1009</v>
      </c>
      <c r="AL28" s="1316" t="s">
        <v>1010</v>
      </c>
      <c r="AM28" s="1186" t="s">
        <v>1069</v>
      </c>
      <c r="AN28" s="1317" t="s">
        <v>1071</v>
      </c>
      <c r="AO28" s="1316" t="s">
        <v>1008</v>
      </c>
      <c r="AP28" s="1316" t="s">
        <v>1009</v>
      </c>
      <c r="AQ28" s="1316" t="s">
        <v>1010</v>
      </c>
      <c r="AR28" s="1186" t="s">
        <v>1069</v>
      </c>
      <c r="AS28" s="1317" t="s">
        <v>1071</v>
      </c>
    </row>
    <row r="29" spans="1:45" ht="12.75" customHeight="1" x14ac:dyDescent="0.25">
      <c r="A29" s="2143"/>
      <c r="B29" s="2138" t="s">
        <v>1502</v>
      </c>
      <c r="C29" s="2139"/>
      <c r="D29" s="2139"/>
      <c r="E29" s="2153"/>
      <c r="F29" s="2139" t="s">
        <v>1501</v>
      </c>
      <c r="G29" s="2139"/>
      <c r="H29" s="2139"/>
      <c r="I29" s="2139"/>
      <c r="J29" s="2153"/>
      <c r="K29" s="2139" t="s">
        <v>1451</v>
      </c>
      <c r="L29" s="2139"/>
      <c r="M29" s="2139"/>
      <c r="N29" s="2139"/>
      <c r="O29" s="2153"/>
      <c r="P29" s="2139" t="s">
        <v>1452</v>
      </c>
      <c r="Q29" s="2139"/>
      <c r="R29" s="2139"/>
      <c r="S29" s="2139"/>
      <c r="T29" s="2153"/>
      <c r="U29" s="2139" t="s">
        <v>1453</v>
      </c>
      <c r="V29" s="2139"/>
      <c r="W29" s="2139"/>
      <c r="X29" s="2139"/>
      <c r="Y29" s="2153"/>
      <c r="Z29" s="2154" t="s">
        <v>1581</v>
      </c>
      <c r="AA29" s="2154"/>
      <c r="AB29" s="2154"/>
      <c r="AC29" s="2154"/>
      <c r="AD29" s="2155"/>
      <c r="AE29" s="2154" t="s">
        <v>1632</v>
      </c>
      <c r="AF29" s="2154"/>
      <c r="AG29" s="2154"/>
      <c r="AH29" s="2154"/>
      <c r="AI29" s="2155"/>
      <c r="AJ29" s="2154" t="str">
        <f>+AJ5</f>
        <v>Spring 2015</v>
      </c>
      <c r="AK29" s="2154"/>
      <c r="AL29" s="2154"/>
      <c r="AM29" s="2154"/>
      <c r="AN29" s="2155"/>
      <c r="AO29" s="2154" t="str">
        <f>+AO5</f>
        <v>Spring 2016</v>
      </c>
      <c r="AP29" s="2154"/>
      <c r="AQ29" s="2154"/>
      <c r="AR29" s="2154"/>
      <c r="AS29" s="2155"/>
    </row>
    <row r="30" spans="1:45" x14ac:dyDescent="0.25">
      <c r="A30" s="1325" t="s">
        <v>434</v>
      </c>
      <c r="B30" s="1308"/>
      <c r="C30" s="1309"/>
      <c r="D30" s="1309"/>
      <c r="E30" s="1306"/>
      <c r="F30" s="1308"/>
      <c r="G30" s="1309"/>
      <c r="H30" s="1309"/>
      <c r="I30" s="1309"/>
      <c r="J30" s="438"/>
      <c r="K30" s="1039"/>
      <c r="L30" s="1309"/>
      <c r="M30" s="1309"/>
      <c r="N30" s="1309"/>
      <c r="O30" s="438"/>
      <c r="P30" s="1039"/>
      <c r="Q30" s="1309"/>
      <c r="R30" s="1309"/>
      <c r="S30" s="1309"/>
      <c r="T30" s="438"/>
      <c r="U30" s="1308"/>
      <c r="V30" s="1309"/>
      <c r="W30" s="1309"/>
      <c r="X30" s="1309"/>
      <c r="Y30" s="438"/>
      <c r="Z30" s="1308"/>
      <c r="AA30" s="1309"/>
      <c r="AB30" s="1309"/>
      <c r="AC30" s="1309"/>
      <c r="AD30" s="1306"/>
      <c r="AE30" s="1308"/>
      <c r="AF30" s="1309"/>
      <c r="AG30" s="1309"/>
      <c r="AH30" s="1309"/>
      <c r="AI30" s="1306"/>
      <c r="AJ30" s="1308"/>
      <c r="AK30" s="1309"/>
      <c r="AL30" s="1309"/>
      <c r="AM30" s="1309"/>
      <c r="AN30" s="1306"/>
      <c r="AO30" s="1308"/>
      <c r="AP30" s="1309"/>
      <c r="AQ30" s="1309"/>
      <c r="AR30" s="1309"/>
      <c r="AS30" s="1306"/>
    </row>
    <row r="31" spans="1:45" x14ac:dyDescent="0.25">
      <c r="A31" s="1319" t="s">
        <v>1624</v>
      </c>
      <c r="B31" s="1313">
        <f>+'NEW Spring CHP by DISC'!B31/15</f>
        <v>0</v>
      </c>
      <c r="C31" s="1313">
        <f>+'NEW Spring CHP by DISC'!C31/15</f>
        <v>0</v>
      </c>
      <c r="D31" s="1313">
        <f>+'NEW Spring CHP by DISC'!D31/12</f>
        <v>0</v>
      </c>
      <c r="E31" s="1311">
        <f>SUM(B31:D31)</f>
        <v>0</v>
      </c>
      <c r="F31" s="1313">
        <f>+'NEW Spring CHP by DISC'!F31/15</f>
        <v>0</v>
      </c>
      <c r="G31" s="1313">
        <f>+'NEW Spring CHP by DISC'!G31/15</f>
        <v>0</v>
      </c>
      <c r="H31" s="1313">
        <f>+'NEW Spring CHP by DISC'!H31/12</f>
        <v>0</v>
      </c>
      <c r="I31" s="1313">
        <f>SUM(F31:H31)</f>
        <v>0</v>
      </c>
      <c r="J31" s="505" t="str">
        <f>IF(E31&gt;0,(I31-E31)/E31,(IF(I31=0,"N/A",100%)))</f>
        <v>N/A</v>
      </c>
      <c r="K31" s="772">
        <f>+'NEW Spring CHP by DISC'!K31/15</f>
        <v>0</v>
      </c>
      <c r="L31" s="1313">
        <f>+'NEW Spring CHP by DISC'!L31/15</f>
        <v>0</v>
      </c>
      <c r="M31" s="1313">
        <f>+'NEW Spring CHP by DISC'!M31/12</f>
        <v>0</v>
      </c>
      <c r="N31" s="1313">
        <f>SUM(K31:M31)</f>
        <v>0</v>
      </c>
      <c r="O31" s="1307" t="str">
        <f>IF(I31&gt;0,(N31-I31)/I31,(IF(N31=0,"N/A",100%)))</f>
        <v>N/A</v>
      </c>
      <c r="P31" s="772">
        <f>+'NEW Spring CHP by DISC'!P31/15</f>
        <v>0</v>
      </c>
      <c r="Q31" s="1313">
        <f>+'NEW Spring CHP by DISC'!Q31/15</f>
        <v>0</v>
      </c>
      <c r="R31" s="1313">
        <f>+'NEW Spring CHP by DISC'!R31/12</f>
        <v>0</v>
      </c>
      <c r="S31" s="1313">
        <f>SUM(P31:R31)</f>
        <v>0</v>
      </c>
      <c r="T31" s="1307" t="str">
        <f>IF(N31&gt;0,(S31-N31)/N31,(IF(S31=0,"N/A",100%)))</f>
        <v>N/A</v>
      </c>
      <c r="U31" s="1313">
        <f>+'NEW Spring CHP by DISC'!U31/15</f>
        <v>0</v>
      </c>
      <c r="V31" s="1313">
        <f>+'NEW Spring CHP by DISC'!V31/15</f>
        <v>0</v>
      </c>
      <c r="W31" s="1313">
        <f>+'NEW Spring CHP by DISC'!W31/12</f>
        <v>0</v>
      </c>
      <c r="X31" s="1313">
        <f>SUM(U31:W31)</f>
        <v>0</v>
      </c>
      <c r="Y31" s="1307" t="str">
        <f>IF(S31&gt;0,(X31-S31)/S31,(IF(X31=0,"N/A",100%)))</f>
        <v>N/A</v>
      </c>
      <c r="Z31" s="1312">
        <f>+'NEW Spring CHP by DISC'!Z31/15</f>
        <v>0</v>
      </c>
      <c r="AA31" s="1312">
        <f>+'NEW Spring CHP by DISC'!AA31/15</f>
        <v>0</v>
      </c>
      <c r="AB31" s="1312">
        <f>+'NEW Spring CHP by DISC'!AB31/12</f>
        <v>0</v>
      </c>
      <c r="AC31" s="1312">
        <f>SUM(Z31:AB31)</f>
        <v>0</v>
      </c>
      <c r="AD31" s="1320" t="str">
        <f>IF(X31&gt;0,(AC31-X31)/X31,(IF(AC31=0,"N/A",100%)))</f>
        <v>N/A</v>
      </c>
      <c r="AE31" s="1312">
        <f>+'NEW Spring CHP by DISC'!AE31/15</f>
        <v>0.4</v>
      </c>
      <c r="AF31" s="1312">
        <f>+'NEW Spring CHP by DISC'!AF31/15</f>
        <v>0</v>
      </c>
      <c r="AG31" s="1312">
        <f>+'NEW Spring CHP by DISC'!AG31/12</f>
        <v>0</v>
      </c>
      <c r="AH31" s="1312">
        <f t="shared" ref="AH31:AH39" si="28">SUM(AE31:AG31)</f>
        <v>0.4</v>
      </c>
      <c r="AI31" s="1320">
        <f t="shared" ref="AI31:AI40" si="29">IF(AC31&gt;0,(AH31-AC31)/AC31,(IF(AH31=0,"N/A",100%)))</f>
        <v>1</v>
      </c>
      <c r="AJ31" s="1312">
        <f>+'NEW Spring CHP by DISC'!AJ31/15</f>
        <v>0.66666666666666663</v>
      </c>
      <c r="AK31" s="1312">
        <f>+'NEW Spring CHP by DISC'!AK31/15</f>
        <v>0</v>
      </c>
      <c r="AL31" s="1312">
        <f>+'NEW Spring CHP by DISC'!AL31/12</f>
        <v>0</v>
      </c>
      <c r="AM31" s="1312">
        <f t="shared" ref="AM31:AM39" si="30">SUM(AJ31:AL31)</f>
        <v>0.66666666666666663</v>
      </c>
      <c r="AN31" s="1320">
        <f t="shared" ref="AN31:AN40" si="31">IF(AH31&gt;0,(AM31-AH31)/AH31,(IF(AM31=0,"N/A",100%)))</f>
        <v>0.66666666666666652</v>
      </c>
      <c r="AO31" s="1312">
        <f>+'NEW Spring CHP by DISC'!AO31/15</f>
        <v>0.13333333333333333</v>
      </c>
      <c r="AP31" s="1312">
        <f>+'NEW Spring CHP by DISC'!AP31/15</f>
        <v>0.26666666666666666</v>
      </c>
      <c r="AQ31" s="1312">
        <f>+'NEW Spring CHP by DISC'!AQ31/12</f>
        <v>0</v>
      </c>
      <c r="AR31" s="1312">
        <f t="shared" ref="AR31:AR39" si="32">SUM(AO31:AQ31)</f>
        <v>0.4</v>
      </c>
      <c r="AS31" s="1320">
        <f t="shared" ref="AS31:AS40" si="33">IF(AM31&gt;0,(AR31-AM31)/AM31,(IF(AR31=0,"N/A",100%)))</f>
        <v>-0.39999999999999991</v>
      </c>
    </row>
    <row r="32" spans="1:45" x14ac:dyDescent="0.25">
      <c r="A32" s="1319" t="s">
        <v>1025</v>
      </c>
      <c r="B32" s="1313">
        <f>+'NEW Spring CHP by DISC'!B32/15</f>
        <v>9</v>
      </c>
      <c r="C32" s="1313">
        <f>+'NEW Spring CHP by DISC'!C32/15</f>
        <v>20.666666666666668</v>
      </c>
      <c r="D32" s="1313">
        <f>+'NEW Spring CHP by DISC'!D32/12</f>
        <v>0</v>
      </c>
      <c r="E32" s="1311">
        <f t="shared" ref="E32:E39" si="34">SUM(B32:D32)</f>
        <v>29.666666666666668</v>
      </c>
      <c r="F32" s="1313">
        <f>+'NEW Spring CHP by DISC'!F32/15</f>
        <v>7.2</v>
      </c>
      <c r="G32" s="1313">
        <f>+'NEW Spring CHP by DISC'!G32/15</f>
        <v>22.733333333333334</v>
      </c>
      <c r="H32" s="1313">
        <f>+'NEW Spring CHP by DISC'!H32/12</f>
        <v>0</v>
      </c>
      <c r="I32" s="1313">
        <f t="shared" ref="I32:I39" si="35">SUM(F32:H32)</f>
        <v>29.933333333333334</v>
      </c>
      <c r="J32" s="505">
        <f t="shared" ref="J32:J40" si="36">IF(E32&gt;0,(I32-E32)/E32,(IF(I32=0,"N/A",100%)))</f>
        <v>8.9887640449437881E-3</v>
      </c>
      <c r="K32" s="772">
        <f>+'NEW Spring CHP by DISC'!K32/15</f>
        <v>9.6</v>
      </c>
      <c r="L32" s="1313">
        <f>+'NEW Spring CHP by DISC'!L32/15</f>
        <v>23.4</v>
      </c>
      <c r="M32" s="1313">
        <f>+'NEW Spring CHP by DISC'!M32/12</f>
        <v>0</v>
      </c>
      <c r="N32" s="1313">
        <f t="shared" ref="N32:N39" si="37">SUM(K32:M32)</f>
        <v>33</v>
      </c>
      <c r="O32" s="1307">
        <f t="shared" ref="O32:O40" si="38">IF(I32&gt;0,(N32-I32)/I32,(IF(N32=0,"N/A",100%)))</f>
        <v>0.10244988864142539</v>
      </c>
      <c r="P32" s="772">
        <f>+'NEW Spring CHP by DISC'!P32/15</f>
        <v>6.4</v>
      </c>
      <c r="Q32" s="1313">
        <f>+'NEW Spring CHP by DISC'!Q32/15</f>
        <v>17.733333333333334</v>
      </c>
      <c r="R32" s="1313">
        <f>+'NEW Spring CHP by DISC'!R32/12</f>
        <v>0</v>
      </c>
      <c r="S32" s="1313">
        <f t="shared" ref="S32:S39" si="39">SUM(P32:R32)</f>
        <v>24.133333333333333</v>
      </c>
      <c r="T32" s="1307">
        <f t="shared" ref="T32:T40" si="40">IF(N32&gt;0,(S32-N32)/N32,(IF(S32=0,"N/A",100%)))</f>
        <v>-0.2686868686868687</v>
      </c>
      <c r="U32" s="1313">
        <f>+'NEW Spring CHP by DISC'!U32/15</f>
        <v>7.6</v>
      </c>
      <c r="V32" s="1313">
        <f>+'NEW Spring CHP by DISC'!V32/15</f>
        <v>17.333333333333332</v>
      </c>
      <c r="W32" s="1313">
        <f>+'NEW Spring CHP by DISC'!W32/12</f>
        <v>0</v>
      </c>
      <c r="X32" s="1313">
        <f t="shared" ref="X32:X39" si="41">SUM(U32:W32)</f>
        <v>24.93333333333333</v>
      </c>
      <c r="Y32" s="1307">
        <f t="shared" ref="Y32:Y40" si="42">IF(S32&gt;0,(X32-S32)/S32,(IF(X32=0,"N/A",100%)))</f>
        <v>3.3149171270718113E-2</v>
      </c>
      <c r="Z32" s="1312">
        <f>+'NEW Spring CHP by DISC'!Z32/15</f>
        <v>6.2</v>
      </c>
      <c r="AA32" s="1312">
        <f>+'NEW Spring CHP by DISC'!AA32/15</f>
        <v>25.4</v>
      </c>
      <c r="AB32" s="1312">
        <f>+'NEW Spring CHP by DISC'!AB32/12</f>
        <v>0</v>
      </c>
      <c r="AC32" s="1312">
        <f t="shared" ref="AC32:AC39" si="43">SUM(Z32:AB32)</f>
        <v>31.599999999999998</v>
      </c>
      <c r="AD32" s="1320">
        <f t="shared" ref="AD32:AD40" si="44">IF(X32&gt;0,(AC32-X32)/X32,(IF(AC32=0,"N/A",100%)))</f>
        <v>0.2673796791443851</v>
      </c>
      <c r="AE32" s="1312">
        <f>+'NEW Spring CHP by DISC'!AE32/15</f>
        <v>11</v>
      </c>
      <c r="AF32" s="1312">
        <f>+'NEW Spring CHP by DISC'!AF32/15</f>
        <v>13.333333333333334</v>
      </c>
      <c r="AG32" s="1312">
        <f>+'NEW Spring CHP by DISC'!AG32/12</f>
        <v>0</v>
      </c>
      <c r="AH32" s="1312">
        <f t="shared" si="28"/>
        <v>24.333333333333336</v>
      </c>
      <c r="AI32" s="1320">
        <f t="shared" si="29"/>
        <v>-0.22995780590717288</v>
      </c>
      <c r="AJ32" s="1312">
        <f>+'NEW Spring CHP by DISC'!AJ32/15</f>
        <v>10.8</v>
      </c>
      <c r="AK32" s="1312">
        <f>+'NEW Spring CHP by DISC'!AK32/15</f>
        <v>23.733333333333334</v>
      </c>
      <c r="AL32" s="1312">
        <f>+'NEW Spring CHP by DISC'!AL32/12</f>
        <v>0</v>
      </c>
      <c r="AM32" s="1312">
        <f t="shared" si="30"/>
        <v>34.533333333333331</v>
      </c>
      <c r="AN32" s="1320">
        <f t="shared" si="31"/>
        <v>0.4191780821917806</v>
      </c>
      <c r="AO32" s="1312">
        <f>+'NEW Spring CHP by DISC'!AO32/15</f>
        <v>0</v>
      </c>
      <c r="AP32" s="1312">
        <f>+'NEW Spring CHP by DISC'!AP32/15</f>
        <v>37.133333333333333</v>
      </c>
      <c r="AQ32" s="1312">
        <f>+'NEW Spring CHP by DISC'!AQ32/12</f>
        <v>0</v>
      </c>
      <c r="AR32" s="1312">
        <f t="shared" si="32"/>
        <v>37.133333333333333</v>
      </c>
      <c r="AS32" s="1320">
        <f t="shared" si="33"/>
        <v>7.5289575289575333E-2</v>
      </c>
    </row>
    <row r="33" spans="1:139" x14ac:dyDescent="0.25">
      <c r="A33" s="1319" t="s">
        <v>1026</v>
      </c>
      <c r="B33" s="1313">
        <f>+'NEW Spring CHP by DISC'!B33/15</f>
        <v>52.93333333333333</v>
      </c>
      <c r="C33" s="1313">
        <f>+'NEW Spring CHP by DISC'!C33/15</f>
        <v>64.63333333333334</v>
      </c>
      <c r="D33" s="1313">
        <f>+'NEW Spring CHP by DISC'!D33/12</f>
        <v>9.75</v>
      </c>
      <c r="E33" s="1311">
        <f t="shared" si="34"/>
        <v>127.31666666666666</v>
      </c>
      <c r="F33" s="1313">
        <f>+'NEW Spring CHP by DISC'!F33/15</f>
        <v>55.466666666666669</v>
      </c>
      <c r="G33" s="1313">
        <f>+'NEW Spring CHP by DISC'!G33/15</f>
        <v>71.599999999999994</v>
      </c>
      <c r="H33" s="1313">
        <f>+'NEW Spring CHP by DISC'!H33/12</f>
        <v>19.25</v>
      </c>
      <c r="I33" s="1313">
        <f t="shared" si="35"/>
        <v>146.31666666666666</v>
      </c>
      <c r="J33" s="505">
        <f t="shared" si="36"/>
        <v>0.14923419295719337</v>
      </c>
      <c r="K33" s="772">
        <f>+'NEW Spring CHP by DISC'!K33/15</f>
        <v>67.7</v>
      </c>
      <c r="L33" s="1313">
        <f>+'NEW Spring CHP by DISC'!L33/15</f>
        <v>73.8</v>
      </c>
      <c r="M33" s="1313">
        <f>+'NEW Spring CHP by DISC'!M33/12</f>
        <v>10.25</v>
      </c>
      <c r="N33" s="1313">
        <f t="shared" si="37"/>
        <v>151.75</v>
      </c>
      <c r="O33" s="1307">
        <f t="shared" si="38"/>
        <v>3.7134069939628686E-2</v>
      </c>
      <c r="P33" s="772">
        <f>+'NEW Spring CHP by DISC'!P33/15</f>
        <v>51.866666666666667</v>
      </c>
      <c r="Q33" s="1313">
        <f>+'NEW Spring CHP by DISC'!Q33/15</f>
        <v>80.466666666666669</v>
      </c>
      <c r="R33" s="1313">
        <f>+'NEW Spring CHP by DISC'!R33/12</f>
        <v>19.25</v>
      </c>
      <c r="S33" s="1313">
        <f t="shared" si="39"/>
        <v>151.58333333333334</v>
      </c>
      <c r="T33" s="1307">
        <f t="shared" si="40"/>
        <v>-1.0982976386600144E-3</v>
      </c>
      <c r="U33" s="1313">
        <f>+'NEW Spring CHP by DISC'!U33/15</f>
        <v>53.533333333333331</v>
      </c>
      <c r="V33" s="1313">
        <f>+'NEW Spring CHP by DISC'!V33/15</f>
        <v>74.266666666666666</v>
      </c>
      <c r="W33" s="1313">
        <f>+'NEW Spring CHP by DISC'!W33/12</f>
        <v>12.75</v>
      </c>
      <c r="X33" s="1313">
        <f t="shared" si="41"/>
        <v>140.55000000000001</v>
      </c>
      <c r="Y33" s="1307">
        <f t="shared" si="42"/>
        <v>-7.278724573941725E-2</v>
      </c>
      <c r="Z33" s="1312">
        <f>+'NEW Spring CHP by DISC'!Z33/15</f>
        <v>53.033333333333331</v>
      </c>
      <c r="AA33" s="1312">
        <f>+'NEW Spring CHP by DISC'!AA33/15</f>
        <v>67.666666666666671</v>
      </c>
      <c r="AB33" s="1312">
        <f>+'NEW Spring CHP by DISC'!AB33/12</f>
        <v>21.5</v>
      </c>
      <c r="AC33" s="1312">
        <f t="shared" si="43"/>
        <v>142.19999999999999</v>
      </c>
      <c r="AD33" s="1320">
        <f t="shared" si="44"/>
        <v>1.173959445037337E-2</v>
      </c>
      <c r="AE33" s="1312">
        <f>+'NEW Spring CHP by DISC'!AE33/15</f>
        <v>54.3</v>
      </c>
      <c r="AF33" s="1312">
        <f>+'NEW Spring CHP by DISC'!AF33/15</f>
        <v>82.033333333333331</v>
      </c>
      <c r="AG33" s="1312">
        <f>+'NEW Spring CHP by DISC'!AG33/12</f>
        <v>21.5</v>
      </c>
      <c r="AH33" s="1312">
        <f t="shared" si="28"/>
        <v>157.83333333333331</v>
      </c>
      <c r="AI33" s="1320">
        <f t="shared" si="29"/>
        <v>0.10993905297702762</v>
      </c>
      <c r="AJ33" s="1312">
        <f>+'NEW Spring CHP by DISC'!AJ33/15</f>
        <v>63.966666666666669</v>
      </c>
      <c r="AK33" s="1312">
        <f>+'NEW Spring CHP by DISC'!AK33/15</f>
        <v>73.5</v>
      </c>
      <c r="AL33" s="1312">
        <f>+'NEW Spring CHP by DISC'!AL33/12</f>
        <v>18.75</v>
      </c>
      <c r="AM33" s="1312">
        <f t="shared" si="30"/>
        <v>156.21666666666667</v>
      </c>
      <c r="AN33" s="1320">
        <f t="shared" si="31"/>
        <v>-1.0242872228088571E-2</v>
      </c>
      <c r="AO33" s="1312">
        <f>+'NEW Spring CHP by DISC'!AO33/15</f>
        <v>1.2</v>
      </c>
      <c r="AP33" s="1312">
        <f>+'NEW Spring CHP by DISC'!AP33/15</f>
        <v>127.5</v>
      </c>
      <c r="AQ33" s="1312">
        <f>+'NEW Spring CHP by DISC'!AQ33/12</f>
        <v>11</v>
      </c>
      <c r="AR33" s="1312">
        <f t="shared" si="32"/>
        <v>139.69999999999999</v>
      </c>
      <c r="AS33" s="1320">
        <f t="shared" si="33"/>
        <v>-0.10572922223407669</v>
      </c>
    </row>
    <row r="34" spans="1:139" x14ac:dyDescent="0.25">
      <c r="A34" s="1319" t="s">
        <v>1027</v>
      </c>
      <c r="B34" s="1313">
        <f>+'NEW Spring CHP by DISC'!B34/15</f>
        <v>0</v>
      </c>
      <c r="C34" s="1313">
        <f>+'NEW Spring CHP by DISC'!C34/15</f>
        <v>0</v>
      </c>
      <c r="D34" s="1313">
        <f>+'NEW Spring CHP by DISC'!D34/12</f>
        <v>2.75</v>
      </c>
      <c r="E34" s="1311">
        <f t="shared" si="34"/>
        <v>2.75</v>
      </c>
      <c r="F34" s="1313">
        <f>+'NEW Spring CHP by DISC'!F34/15</f>
        <v>0</v>
      </c>
      <c r="G34" s="1313">
        <f>+'NEW Spring CHP by DISC'!G34/15</f>
        <v>0</v>
      </c>
      <c r="H34" s="1313">
        <f>+'NEW Spring CHP by DISC'!H34/12</f>
        <v>6.25</v>
      </c>
      <c r="I34" s="1313">
        <f t="shared" si="35"/>
        <v>6.25</v>
      </c>
      <c r="J34" s="505">
        <f t="shared" si="36"/>
        <v>1.2727272727272727</v>
      </c>
      <c r="K34" s="772">
        <f>+'NEW Spring CHP by DISC'!K34/15</f>
        <v>0</v>
      </c>
      <c r="L34" s="1313">
        <f>+'NEW Spring CHP by DISC'!L34/15</f>
        <v>0</v>
      </c>
      <c r="M34" s="1313">
        <f>+'NEW Spring CHP by DISC'!M34/12</f>
        <v>0</v>
      </c>
      <c r="N34" s="1313">
        <f t="shared" si="37"/>
        <v>0</v>
      </c>
      <c r="O34" s="1307">
        <f t="shared" si="38"/>
        <v>-1</v>
      </c>
      <c r="P34" s="772">
        <f>+'NEW Spring CHP by DISC'!P34/15</f>
        <v>0</v>
      </c>
      <c r="Q34" s="1313">
        <f>+'NEW Spring CHP by DISC'!Q34/15</f>
        <v>0</v>
      </c>
      <c r="R34" s="1313">
        <f>+'NEW Spring CHP by DISC'!R34/12</f>
        <v>0</v>
      </c>
      <c r="S34" s="1313">
        <f t="shared" si="39"/>
        <v>0</v>
      </c>
      <c r="T34" s="1307" t="str">
        <f t="shared" si="40"/>
        <v>N/A</v>
      </c>
      <c r="U34" s="1313">
        <f>+'NEW Spring CHP by DISC'!U34/15</f>
        <v>0</v>
      </c>
      <c r="V34" s="1313">
        <f>+'NEW Spring CHP by DISC'!V34/15</f>
        <v>0</v>
      </c>
      <c r="W34" s="1313">
        <f>+'NEW Spring CHP by DISC'!W34/12</f>
        <v>0</v>
      </c>
      <c r="X34" s="1313">
        <f t="shared" si="41"/>
        <v>0</v>
      </c>
      <c r="Y34" s="1307" t="str">
        <f t="shared" si="42"/>
        <v>N/A</v>
      </c>
      <c r="Z34" s="1312">
        <f>+'NEW Spring CHP by DISC'!Z34/15</f>
        <v>0</v>
      </c>
      <c r="AA34" s="1312">
        <f>+'NEW Spring CHP by DISC'!AA34/15</f>
        <v>0</v>
      </c>
      <c r="AB34" s="1312">
        <f>+'NEW Spring CHP by DISC'!AB34/12</f>
        <v>0</v>
      </c>
      <c r="AC34" s="1312">
        <f t="shared" si="43"/>
        <v>0</v>
      </c>
      <c r="AD34" s="1320" t="str">
        <f t="shared" si="44"/>
        <v>N/A</v>
      </c>
      <c r="AE34" s="1312">
        <f>+'NEW Spring CHP by DISC'!AE34/15</f>
        <v>0</v>
      </c>
      <c r="AF34" s="1312">
        <f>+'NEW Spring CHP by DISC'!AF34/15</f>
        <v>0</v>
      </c>
      <c r="AG34" s="1312">
        <f>+'NEW Spring CHP by DISC'!AG34/12</f>
        <v>0</v>
      </c>
      <c r="AH34" s="1312">
        <f t="shared" si="28"/>
        <v>0</v>
      </c>
      <c r="AI34" s="1320" t="str">
        <f t="shared" si="29"/>
        <v>N/A</v>
      </c>
      <c r="AJ34" s="1312">
        <f>+'NEW Spring CHP by DISC'!AJ34/15</f>
        <v>0</v>
      </c>
      <c r="AK34" s="1312">
        <f>+'NEW Spring CHP by DISC'!AK34/15</f>
        <v>0</v>
      </c>
      <c r="AL34" s="1312">
        <f>+'NEW Spring CHP by DISC'!AL34/12</f>
        <v>0</v>
      </c>
      <c r="AM34" s="1312">
        <f t="shared" si="30"/>
        <v>0</v>
      </c>
      <c r="AN34" s="1320" t="str">
        <f t="shared" si="31"/>
        <v>N/A</v>
      </c>
      <c r="AO34" s="1312">
        <f>+'NEW Spring CHP by DISC'!AO34/15</f>
        <v>0</v>
      </c>
      <c r="AP34" s="1312">
        <f>+'NEW Spring CHP by DISC'!AP34/15</f>
        <v>0</v>
      </c>
      <c r="AQ34" s="1312">
        <f>+'NEW Spring CHP by DISC'!AQ34/12</f>
        <v>0</v>
      </c>
      <c r="AR34" s="1312">
        <f t="shared" si="32"/>
        <v>0</v>
      </c>
      <c r="AS34" s="1320" t="str">
        <f t="shared" si="33"/>
        <v>N/A</v>
      </c>
    </row>
    <row r="35" spans="1:139" x14ac:dyDescent="0.25">
      <c r="A35" s="1334" t="s">
        <v>1463</v>
      </c>
      <c r="B35" s="1313">
        <f>+'NEW Spring CHP by DISC'!B35/15</f>
        <v>0</v>
      </c>
      <c r="C35" s="1313">
        <f>+'NEW Spring CHP by DISC'!C35/15</f>
        <v>0</v>
      </c>
      <c r="D35" s="1313">
        <f>+'NEW Spring CHP by DISC'!D35/12</f>
        <v>0</v>
      </c>
      <c r="E35" s="1311">
        <f>SUM(B35:D35)</f>
        <v>0</v>
      </c>
      <c r="F35" s="1313">
        <f>+'NEW Spring CHP by DISC'!F35/15</f>
        <v>0</v>
      </c>
      <c r="G35" s="1313">
        <f>+'NEW Spring CHP by DISC'!G35/15</f>
        <v>0</v>
      </c>
      <c r="H35" s="1313">
        <f>+'NEW Spring CHP by DISC'!H35/12</f>
        <v>0</v>
      </c>
      <c r="I35" s="1313">
        <f>SUM(F35:H35)</f>
        <v>0</v>
      </c>
      <c r="J35" s="505" t="str">
        <f>IF(E35&gt;0,(I35-E35)/E35,(IF(I35=0,"N/A",100%)))</f>
        <v>N/A</v>
      </c>
      <c r="K35" s="772">
        <f>+'NEW Spring CHP by DISC'!K35/15</f>
        <v>0</v>
      </c>
      <c r="L35" s="1313">
        <f>+'NEW Spring CHP by DISC'!L35/15</f>
        <v>0</v>
      </c>
      <c r="M35" s="1313">
        <f>+'NEW Spring CHP by DISC'!M35/12</f>
        <v>0</v>
      </c>
      <c r="N35" s="1313">
        <f>SUM(K35:M35)</f>
        <v>0</v>
      </c>
      <c r="O35" s="1307" t="str">
        <f>IF(I35&gt;0,(N35-I35)/I35,(IF(N35=0,"N/A",100%)))</f>
        <v>N/A</v>
      </c>
      <c r="P35" s="772">
        <f>+'NEW Spring CHP by DISC'!P35/15</f>
        <v>0</v>
      </c>
      <c r="Q35" s="1313">
        <f>+'NEW Spring CHP by DISC'!Q35/15</f>
        <v>0</v>
      </c>
      <c r="R35" s="1313">
        <f>+'NEW Spring CHP by DISC'!R35/12</f>
        <v>0</v>
      </c>
      <c r="S35" s="1313">
        <f t="shared" si="39"/>
        <v>0</v>
      </c>
      <c r="T35" s="1307" t="str">
        <f t="shared" si="40"/>
        <v>N/A</v>
      </c>
      <c r="U35" s="1313">
        <f>+'NEW Spring CHP by DISC'!U35/15</f>
        <v>0</v>
      </c>
      <c r="V35" s="1313">
        <f>+'NEW Spring CHP by DISC'!V35/15</f>
        <v>0</v>
      </c>
      <c r="W35" s="1313">
        <f>+'NEW Spring CHP by DISC'!W35/12</f>
        <v>0</v>
      </c>
      <c r="X35" s="1313">
        <f t="shared" si="41"/>
        <v>0</v>
      </c>
      <c r="Y35" s="1307" t="str">
        <f t="shared" si="42"/>
        <v>N/A</v>
      </c>
      <c r="Z35" s="1312">
        <f>+'NEW Spring CHP by DISC'!Z35/15</f>
        <v>0</v>
      </c>
      <c r="AA35" s="1312">
        <f>+'NEW Spring CHP by DISC'!AA35/15</f>
        <v>0</v>
      </c>
      <c r="AB35" s="1312">
        <f>+'NEW Spring CHP by DISC'!AB35/12</f>
        <v>0</v>
      </c>
      <c r="AC35" s="1312">
        <f t="shared" si="43"/>
        <v>0</v>
      </c>
      <c r="AD35" s="1320" t="str">
        <f t="shared" si="44"/>
        <v>N/A</v>
      </c>
      <c r="AE35" s="1312">
        <f>+'NEW Spring CHP by DISC'!AE35/15</f>
        <v>0</v>
      </c>
      <c r="AF35" s="1312">
        <f>+'NEW Spring CHP by DISC'!AF35/15</f>
        <v>0</v>
      </c>
      <c r="AG35" s="1312">
        <f>+'NEW Spring CHP by DISC'!AG35/12</f>
        <v>0</v>
      </c>
      <c r="AH35" s="1312">
        <f t="shared" si="28"/>
        <v>0</v>
      </c>
      <c r="AI35" s="1320" t="str">
        <f t="shared" si="29"/>
        <v>N/A</v>
      </c>
      <c r="AJ35" s="1312">
        <f>+'NEW Spring CHP by DISC'!AJ35/15</f>
        <v>0</v>
      </c>
      <c r="AK35" s="1312">
        <f>+'NEW Spring CHP by DISC'!AK35/15</f>
        <v>0</v>
      </c>
      <c r="AL35" s="1312">
        <f>+'NEW Spring CHP by DISC'!AL35/12</f>
        <v>0</v>
      </c>
      <c r="AM35" s="1312">
        <f t="shared" si="30"/>
        <v>0</v>
      </c>
      <c r="AN35" s="1320" t="str">
        <f t="shared" si="31"/>
        <v>N/A</v>
      </c>
      <c r="AO35" s="1312">
        <f>+'NEW Spring CHP by DISC'!AO35/15</f>
        <v>0</v>
      </c>
      <c r="AP35" s="1312">
        <f>+'NEW Spring CHP by DISC'!AP35/15</f>
        <v>0</v>
      </c>
      <c r="AQ35" s="1312">
        <f>+'NEW Spring CHP by DISC'!AQ35/12</f>
        <v>0</v>
      </c>
      <c r="AR35" s="1312">
        <f t="shared" si="32"/>
        <v>0</v>
      </c>
      <c r="AS35" s="1320" t="str">
        <f t="shared" si="33"/>
        <v>N/A</v>
      </c>
    </row>
    <row r="36" spans="1:139" x14ac:dyDescent="0.25">
      <c r="A36" s="1334" t="s">
        <v>1464</v>
      </c>
      <c r="B36" s="1313">
        <f>+'NEW Spring CHP by DISC'!B36/15</f>
        <v>0</v>
      </c>
      <c r="C36" s="1313">
        <f>+'NEW Spring CHP by DISC'!C36/15</f>
        <v>0</v>
      </c>
      <c r="D36" s="1313">
        <f>+'NEW Spring CHP by DISC'!D36/12</f>
        <v>0</v>
      </c>
      <c r="E36" s="1311">
        <f>SUM(B36:D36)</f>
        <v>0</v>
      </c>
      <c r="F36" s="1313">
        <f>+'NEW Spring CHP by DISC'!F36/15</f>
        <v>0</v>
      </c>
      <c r="G36" s="1313">
        <f>+'NEW Spring CHP by DISC'!G36/15</f>
        <v>0</v>
      </c>
      <c r="H36" s="1313">
        <f>+'NEW Spring CHP by DISC'!H36/12</f>
        <v>0</v>
      </c>
      <c r="I36" s="1313">
        <f>SUM(F36:H36)</f>
        <v>0</v>
      </c>
      <c r="J36" s="505" t="str">
        <f>IF(E36&gt;0,(I36-E36)/E36,(IF(I36=0,"N/A",100%)))</f>
        <v>N/A</v>
      </c>
      <c r="K36" s="772">
        <f>+'NEW Spring CHP by DISC'!K36/15</f>
        <v>0</v>
      </c>
      <c r="L36" s="1313">
        <f>+'NEW Spring CHP by DISC'!L36/15</f>
        <v>0</v>
      </c>
      <c r="M36" s="1313">
        <f>+'NEW Spring CHP by DISC'!M36/12</f>
        <v>0</v>
      </c>
      <c r="N36" s="1313">
        <f>SUM(K36:M36)</f>
        <v>0</v>
      </c>
      <c r="O36" s="1307" t="str">
        <f>IF(I36&gt;0,(N36-I36)/I36,(IF(N36=0,"N/A",100%)))</f>
        <v>N/A</v>
      </c>
      <c r="P36" s="772">
        <f>+'NEW Spring CHP by DISC'!P36/15</f>
        <v>0</v>
      </c>
      <c r="Q36" s="1313">
        <f>+'NEW Spring CHP by DISC'!Q36/15</f>
        <v>0</v>
      </c>
      <c r="R36" s="1313">
        <f>+'NEW Spring CHP by DISC'!R36/12</f>
        <v>0</v>
      </c>
      <c r="S36" s="1313">
        <f t="shared" si="39"/>
        <v>0</v>
      </c>
      <c r="T36" s="1307" t="str">
        <f t="shared" si="40"/>
        <v>N/A</v>
      </c>
      <c r="U36" s="1313">
        <f>+'NEW Spring CHP by DISC'!U36/15</f>
        <v>0</v>
      </c>
      <c r="V36" s="1313">
        <f>+'NEW Spring CHP by DISC'!V36/15</f>
        <v>0</v>
      </c>
      <c r="W36" s="1313">
        <f>+'NEW Spring CHP by DISC'!W36/12</f>
        <v>0</v>
      </c>
      <c r="X36" s="1313">
        <f t="shared" si="41"/>
        <v>0</v>
      </c>
      <c r="Y36" s="1307" t="str">
        <f t="shared" si="42"/>
        <v>N/A</v>
      </c>
      <c r="Z36" s="1312">
        <f>+'NEW Spring CHP by DISC'!Z36/15</f>
        <v>0</v>
      </c>
      <c r="AA36" s="1312">
        <f>+'NEW Spring CHP by DISC'!AA36/15</f>
        <v>0</v>
      </c>
      <c r="AB36" s="1312">
        <f>+'NEW Spring CHP by DISC'!AB36/12</f>
        <v>0</v>
      </c>
      <c r="AC36" s="1312">
        <f t="shared" si="43"/>
        <v>0</v>
      </c>
      <c r="AD36" s="1320" t="str">
        <f t="shared" si="44"/>
        <v>N/A</v>
      </c>
      <c r="AE36" s="1312">
        <f>+'NEW Spring CHP by DISC'!AE36/15</f>
        <v>0</v>
      </c>
      <c r="AF36" s="1312">
        <f>+'NEW Spring CHP by DISC'!AF36/15</f>
        <v>0</v>
      </c>
      <c r="AG36" s="1312">
        <f>+'NEW Spring CHP by DISC'!AG36/12</f>
        <v>0</v>
      </c>
      <c r="AH36" s="1312">
        <f t="shared" si="28"/>
        <v>0</v>
      </c>
      <c r="AI36" s="1320" t="str">
        <f t="shared" si="29"/>
        <v>N/A</v>
      </c>
      <c r="AJ36" s="1312">
        <f>+'NEW Spring CHP by DISC'!AJ36/15</f>
        <v>0</v>
      </c>
      <c r="AK36" s="1312">
        <f>+'NEW Spring CHP by DISC'!AK36/15</f>
        <v>0</v>
      </c>
      <c r="AL36" s="1312">
        <f>+'NEW Spring CHP by DISC'!AL36/12</f>
        <v>0</v>
      </c>
      <c r="AM36" s="1312">
        <f t="shared" si="30"/>
        <v>0</v>
      </c>
      <c r="AN36" s="1320" t="str">
        <f t="shared" si="31"/>
        <v>N/A</v>
      </c>
      <c r="AO36" s="1312">
        <f>+'NEW Spring CHP by DISC'!AO36/15</f>
        <v>0</v>
      </c>
      <c r="AP36" s="1312">
        <f>+'NEW Spring CHP by DISC'!AP36/15</f>
        <v>0</v>
      </c>
      <c r="AQ36" s="1312">
        <f>+'NEW Spring CHP by DISC'!AQ36/12</f>
        <v>0</v>
      </c>
      <c r="AR36" s="1312">
        <f t="shared" si="32"/>
        <v>0</v>
      </c>
      <c r="AS36" s="1320" t="str">
        <f t="shared" si="33"/>
        <v>N/A</v>
      </c>
    </row>
    <row r="37" spans="1:139" x14ac:dyDescent="0.25">
      <c r="A37" s="1319" t="s">
        <v>1149</v>
      </c>
      <c r="B37" s="1313">
        <f>+'NEW Spring CHP by DISC'!B37/15</f>
        <v>0</v>
      </c>
      <c r="C37" s="1313">
        <f>+'NEW Spring CHP by DISC'!C37/15</f>
        <v>3.4</v>
      </c>
      <c r="D37" s="1313">
        <f>+'NEW Spring CHP by DISC'!D37/12</f>
        <v>17.75</v>
      </c>
      <c r="E37" s="1311">
        <f t="shared" si="34"/>
        <v>21.15</v>
      </c>
      <c r="F37" s="1313">
        <f>+'NEW Spring CHP by DISC'!F37/15</f>
        <v>0</v>
      </c>
      <c r="G37" s="1313">
        <f>+'NEW Spring CHP by DISC'!G37/15</f>
        <v>5.8</v>
      </c>
      <c r="H37" s="1313">
        <f>+'NEW Spring CHP by DISC'!H37/12</f>
        <v>13.25</v>
      </c>
      <c r="I37" s="1313">
        <f t="shared" si="35"/>
        <v>19.05</v>
      </c>
      <c r="J37" s="505">
        <f>IF(E37&gt;0,(I37-E37)/E37,(IF(I37=0,"N/A",100%)))</f>
        <v>-9.9290780141843879E-2</v>
      </c>
      <c r="K37" s="772">
        <f>+'NEW Spring CHP by DISC'!K37/15</f>
        <v>0</v>
      </c>
      <c r="L37" s="1313">
        <f>+'NEW Spring CHP by DISC'!L37/15</f>
        <v>4</v>
      </c>
      <c r="M37" s="1313">
        <f>+'NEW Spring CHP by DISC'!M37/12</f>
        <v>16.75</v>
      </c>
      <c r="N37" s="1313">
        <f t="shared" si="37"/>
        <v>20.75</v>
      </c>
      <c r="O37" s="1307">
        <f>IF(I37&gt;0,(N37-I37)/I37,(IF(N37=0,"N/A",100%)))</f>
        <v>8.9238845144356913E-2</v>
      </c>
      <c r="P37" s="772">
        <f>+'NEW Spring CHP by DISC'!P37/15</f>
        <v>0</v>
      </c>
      <c r="Q37" s="1313">
        <f>+'NEW Spring CHP by DISC'!Q37/15</f>
        <v>3.8</v>
      </c>
      <c r="R37" s="1313">
        <f>+'NEW Spring CHP by DISC'!R37/12</f>
        <v>15.25</v>
      </c>
      <c r="S37" s="1313">
        <f t="shared" si="39"/>
        <v>19.05</v>
      </c>
      <c r="T37" s="1307">
        <f t="shared" si="40"/>
        <v>-8.1927710843373455E-2</v>
      </c>
      <c r="U37" s="1313">
        <f>+'NEW Spring CHP by DISC'!U37/15</f>
        <v>0</v>
      </c>
      <c r="V37" s="1313">
        <f>+'NEW Spring CHP by DISC'!V37/15</f>
        <v>4.2</v>
      </c>
      <c r="W37" s="1313">
        <f>+'NEW Spring CHP by DISC'!W37/12</f>
        <v>17.25</v>
      </c>
      <c r="X37" s="1313">
        <f t="shared" si="41"/>
        <v>21.45</v>
      </c>
      <c r="Y37" s="1307">
        <f t="shared" si="42"/>
        <v>0.12598425196850385</v>
      </c>
      <c r="Z37" s="1312">
        <f>+'NEW Spring CHP by DISC'!Z37/15</f>
        <v>0</v>
      </c>
      <c r="AA37" s="1312">
        <f>+'NEW Spring CHP by DISC'!AA37/15</f>
        <v>5.8</v>
      </c>
      <c r="AB37" s="1312">
        <f>+'NEW Spring CHP by DISC'!AB37/12</f>
        <v>15</v>
      </c>
      <c r="AC37" s="1312">
        <f t="shared" si="43"/>
        <v>20.8</v>
      </c>
      <c r="AD37" s="1320">
        <f t="shared" si="44"/>
        <v>-3.0303030303030238E-2</v>
      </c>
      <c r="AE37" s="1312">
        <f>+'NEW Spring CHP by DISC'!AE37/15</f>
        <v>0</v>
      </c>
      <c r="AF37" s="1312">
        <f>+'NEW Spring CHP by DISC'!AF37/15</f>
        <v>3.6</v>
      </c>
      <c r="AG37" s="1312">
        <f>+'NEW Spring CHP by DISC'!AG37/12</f>
        <v>20</v>
      </c>
      <c r="AH37" s="1312">
        <f t="shared" si="28"/>
        <v>23.6</v>
      </c>
      <c r="AI37" s="1320">
        <f t="shared" si="29"/>
        <v>0.13461538461538464</v>
      </c>
      <c r="AJ37" s="1312">
        <f>+'NEW Spring CHP by DISC'!AJ37/15</f>
        <v>0</v>
      </c>
      <c r="AK37" s="1312">
        <f>+'NEW Spring CHP by DISC'!AK37/15</f>
        <v>3.4</v>
      </c>
      <c r="AL37" s="1312">
        <f>+'NEW Spring CHP by DISC'!AL37/12</f>
        <v>7.5</v>
      </c>
      <c r="AM37" s="1312">
        <f t="shared" si="30"/>
        <v>10.9</v>
      </c>
      <c r="AN37" s="1320">
        <f t="shared" si="31"/>
        <v>-0.53813559322033899</v>
      </c>
      <c r="AO37" s="1312">
        <f>+'NEW Spring CHP by DISC'!AO37/15</f>
        <v>0</v>
      </c>
      <c r="AP37" s="1312">
        <f>+'NEW Spring CHP by DISC'!AP37/15</f>
        <v>4</v>
      </c>
      <c r="AQ37" s="1312">
        <f>+'NEW Spring CHP by DISC'!AQ37/12</f>
        <v>8.75</v>
      </c>
      <c r="AR37" s="1312">
        <f t="shared" si="32"/>
        <v>12.75</v>
      </c>
      <c r="AS37" s="1320">
        <f t="shared" si="33"/>
        <v>0.16972477064220179</v>
      </c>
    </row>
    <row r="38" spans="1:139" x14ac:dyDescent="0.25">
      <c r="A38" s="1319" t="s">
        <v>1028</v>
      </c>
      <c r="B38" s="1313">
        <f>+'NEW Spring CHP by DISC'!B38/15</f>
        <v>11.6</v>
      </c>
      <c r="C38" s="1313">
        <f>+'NEW Spring CHP by DISC'!C38/15</f>
        <v>11.666666666666666</v>
      </c>
      <c r="D38" s="1313">
        <f>+'NEW Spring CHP by DISC'!D38/12</f>
        <v>0</v>
      </c>
      <c r="E38" s="1311">
        <f t="shared" si="34"/>
        <v>23.266666666666666</v>
      </c>
      <c r="F38" s="1313">
        <f>+'NEW Spring CHP by DISC'!F38/15</f>
        <v>9.4</v>
      </c>
      <c r="G38" s="1313">
        <f>+'NEW Spring CHP by DISC'!G38/15</f>
        <v>3.2666666666666666</v>
      </c>
      <c r="H38" s="1313">
        <f>+'NEW Spring CHP by DISC'!H38/12</f>
        <v>0</v>
      </c>
      <c r="I38" s="1313">
        <f t="shared" si="35"/>
        <v>12.666666666666668</v>
      </c>
      <c r="J38" s="505">
        <f t="shared" si="36"/>
        <v>-0.45558739255014319</v>
      </c>
      <c r="K38" s="772">
        <f>+'NEW Spring CHP by DISC'!K38/15</f>
        <v>13</v>
      </c>
      <c r="L38" s="1313">
        <f>+'NEW Spring CHP by DISC'!L38/15</f>
        <v>7.0666666666666664</v>
      </c>
      <c r="M38" s="1313">
        <f>+'NEW Spring CHP by DISC'!M38/12</f>
        <v>0</v>
      </c>
      <c r="N38" s="1313">
        <f t="shared" si="37"/>
        <v>20.066666666666666</v>
      </c>
      <c r="O38" s="1307">
        <f t="shared" si="38"/>
        <v>0.58421052631578929</v>
      </c>
      <c r="P38" s="772">
        <f>+'NEW Spring CHP by DISC'!P38/15</f>
        <v>10.6</v>
      </c>
      <c r="Q38" s="1313">
        <f>+'NEW Spring CHP by DISC'!Q38/15</f>
        <v>7.8</v>
      </c>
      <c r="R38" s="1313">
        <f>+'NEW Spring CHP by DISC'!R38/12</f>
        <v>0</v>
      </c>
      <c r="S38" s="1313">
        <f t="shared" si="39"/>
        <v>18.399999999999999</v>
      </c>
      <c r="T38" s="1307">
        <f t="shared" si="40"/>
        <v>-8.3056478405315673E-2</v>
      </c>
      <c r="U38" s="1313">
        <f>+'NEW Spring CHP by DISC'!U38/15</f>
        <v>16.2</v>
      </c>
      <c r="V38" s="1313">
        <f>+'NEW Spring CHP by DISC'!V38/15</f>
        <v>9.9333333333333336</v>
      </c>
      <c r="W38" s="1313">
        <f>+'NEW Spring CHP by DISC'!W38/12</f>
        <v>0</v>
      </c>
      <c r="X38" s="1313">
        <f t="shared" si="41"/>
        <v>26.133333333333333</v>
      </c>
      <c r="Y38" s="1307">
        <f t="shared" si="42"/>
        <v>0.42028985507246386</v>
      </c>
      <c r="Z38" s="1312">
        <f>+'NEW Spring CHP by DISC'!Z38/15</f>
        <v>13.8</v>
      </c>
      <c r="AA38" s="1312">
        <f>+'NEW Spring CHP by DISC'!AA38/15</f>
        <v>6.8</v>
      </c>
      <c r="AB38" s="1312">
        <f>+'NEW Spring CHP by DISC'!AB38/12</f>
        <v>0</v>
      </c>
      <c r="AC38" s="1312">
        <f t="shared" si="43"/>
        <v>20.6</v>
      </c>
      <c r="AD38" s="1320">
        <f t="shared" si="44"/>
        <v>-0.21173469387755095</v>
      </c>
      <c r="AE38" s="1312">
        <f>+'NEW Spring CHP by DISC'!AE38/15</f>
        <v>14.8</v>
      </c>
      <c r="AF38" s="1312">
        <f>+'NEW Spring CHP by DISC'!AF38/15</f>
        <v>6.8666666666666663</v>
      </c>
      <c r="AG38" s="1312">
        <f>+'NEW Spring CHP by DISC'!AG38/12</f>
        <v>0</v>
      </c>
      <c r="AH38" s="1312">
        <f t="shared" si="28"/>
        <v>21.666666666666668</v>
      </c>
      <c r="AI38" s="1320">
        <f t="shared" si="29"/>
        <v>5.1779935275080888E-2</v>
      </c>
      <c r="AJ38" s="1312">
        <f>+'NEW Spring CHP by DISC'!AJ38/15</f>
        <v>15</v>
      </c>
      <c r="AK38" s="1312">
        <f>+'NEW Spring CHP by DISC'!AK38/15</f>
        <v>5.666666666666667</v>
      </c>
      <c r="AL38" s="1312">
        <f>+'NEW Spring CHP by DISC'!AL38/12</f>
        <v>0</v>
      </c>
      <c r="AM38" s="1312">
        <f t="shared" si="30"/>
        <v>20.666666666666668</v>
      </c>
      <c r="AN38" s="1320">
        <f t="shared" si="31"/>
        <v>-4.6153846153846149E-2</v>
      </c>
      <c r="AO38" s="1312">
        <f>+'NEW Spring CHP by DISC'!AO38/15</f>
        <v>0</v>
      </c>
      <c r="AP38" s="1312">
        <f>+'NEW Spring CHP by DISC'!AP38/15</f>
        <v>23.8</v>
      </c>
      <c r="AQ38" s="1312">
        <f>+'NEW Spring CHP by DISC'!AQ38/12</f>
        <v>0</v>
      </c>
      <c r="AR38" s="1312">
        <f t="shared" si="32"/>
        <v>23.8</v>
      </c>
      <c r="AS38" s="1320">
        <f t="shared" si="33"/>
        <v>0.15161290322580642</v>
      </c>
    </row>
    <row r="39" spans="1:139" x14ac:dyDescent="0.25">
      <c r="A39" s="1319" t="s">
        <v>1029</v>
      </c>
      <c r="B39" s="1313">
        <f>+'NEW Spring CHP by DISC'!B39/15</f>
        <v>0.6</v>
      </c>
      <c r="C39" s="1313">
        <f>+'NEW Spring CHP by DISC'!C39/15</f>
        <v>0</v>
      </c>
      <c r="D39" s="1313">
        <f>+'NEW Spring CHP by DISC'!D39/12</f>
        <v>0</v>
      </c>
      <c r="E39" s="1311">
        <f t="shared" si="34"/>
        <v>0.6</v>
      </c>
      <c r="F39" s="1313">
        <f>+'NEW Spring CHP by DISC'!F39/15</f>
        <v>1.2</v>
      </c>
      <c r="G39" s="1313">
        <f>+'NEW Spring CHP by DISC'!G39/15</f>
        <v>1.3333333333333333</v>
      </c>
      <c r="H39" s="1313">
        <f>+'NEW Spring CHP by DISC'!H39/12</f>
        <v>0</v>
      </c>
      <c r="I39" s="1313">
        <f t="shared" si="35"/>
        <v>2.5333333333333332</v>
      </c>
      <c r="J39" s="505">
        <f t="shared" si="36"/>
        <v>3.2222222222222219</v>
      </c>
      <c r="K39" s="772">
        <f>+'NEW Spring CHP by DISC'!K39/15</f>
        <v>0.66666666666666663</v>
      </c>
      <c r="L39" s="1313">
        <f>+'NEW Spring CHP by DISC'!L39/15</f>
        <v>0.93333333333333335</v>
      </c>
      <c r="M39" s="1313">
        <f>+'NEW Spring CHP by DISC'!M39/12</f>
        <v>0</v>
      </c>
      <c r="N39" s="1313">
        <f t="shared" si="37"/>
        <v>1.6</v>
      </c>
      <c r="O39" s="1307">
        <f t="shared" si="38"/>
        <v>-0.36842105263157887</v>
      </c>
      <c r="P39" s="772">
        <f>+'NEW Spring CHP by DISC'!P39/15</f>
        <v>1.0666666666666667</v>
      </c>
      <c r="Q39" s="1313">
        <f>+'NEW Spring CHP by DISC'!Q39/15</f>
        <v>1</v>
      </c>
      <c r="R39" s="1313">
        <f>+'NEW Spring CHP by DISC'!R39/12</f>
        <v>0</v>
      </c>
      <c r="S39" s="1313">
        <f t="shared" si="39"/>
        <v>2.0666666666666664</v>
      </c>
      <c r="T39" s="1307">
        <f t="shared" si="40"/>
        <v>0.29166666666666646</v>
      </c>
      <c r="U39" s="1313">
        <f>+'NEW Spring CHP by DISC'!U39/15</f>
        <v>1.4</v>
      </c>
      <c r="V39" s="1313">
        <f>+'NEW Spring CHP by DISC'!V39/15</f>
        <v>0.8</v>
      </c>
      <c r="W39" s="1313">
        <f>+'NEW Spring CHP by DISC'!W39/12</f>
        <v>0</v>
      </c>
      <c r="X39" s="1313">
        <f t="shared" si="41"/>
        <v>2.2000000000000002</v>
      </c>
      <c r="Y39" s="1307">
        <f t="shared" si="42"/>
        <v>6.4516129032258271E-2</v>
      </c>
      <c r="Z39" s="1312">
        <f>+'NEW Spring CHP by DISC'!Z39/15</f>
        <v>1.6</v>
      </c>
      <c r="AA39" s="1312">
        <f>+'NEW Spring CHP by DISC'!AA39/15</f>
        <v>1</v>
      </c>
      <c r="AB39" s="1312">
        <f>+'NEW Spring CHP by DISC'!AB39/12</f>
        <v>0</v>
      </c>
      <c r="AC39" s="1312">
        <f t="shared" si="43"/>
        <v>2.6</v>
      </c>
      <c r="AD39" s="1320">
        <f t="shared" si="44"/>
        <v>0.18181818181818177</v>
      </c>
      <c r="AE39" s="1312">
        <f>+'NEW Spring CHP by DISC'!AE39/15</f>
        <v>1.6</v>
      </c>
      <c r="AF39" s="1312">
        <f>+'NEW Spring CHP by DISC'!AF39/15</f>
        <v>1.1333333333333333</v>
      </c>
      <c r="AG39" s="1312">
        <f>+'NEW Spring CHP by DISC'!AG39/12</f>
        <v>0</v>
      </c>
      <c r="AH39" s="1312">
        <f t="shared" si="28"/>
        <v>2.7333333333333334</v>
      </c>
      <c r="AI39" s="1320">
        <f t="shared" si="29"/>
        <v>5.1282051282051266E-2</v>
      </c>
      <c r="AJ39" s="1312">
        <f>+'NEW Spring CHP by DISC'!AJ39/15</f>
        <v>1.9333333333333333</v>
      </c>
      <c r="AK39" s="1312">
        <f>+'NEW Spring CHP by DISC'!AK39/15</f>
        <v>1.4666666666666666</v>
      </c>
      <c r="AL39" s="1312">
        <f>+'NEW Spring CHP by DISC'!AL39/12</f>
        <v>0</v>
      </c>
      <c r="AM39" s="1312">
        <f t="shared" si="30"/>
        <v>3.4</v>
      </c>
      <c r="AN39" s="1320">
        <f t="shared" si="31"/>
        <v>0.24390243902439018</v>
      </c>
      <c r="AO39" s="1312">
        <f>+'NEW Spring CHP by DISC'!AO39/15</f>
        <v>1.2666666666666666</v>
      </c>
      <c r="AP39" s="1312">
        <f>+'NEW Spring CHP by DISC'!AP39/15</f>
        <v>2.5333333333333332</v>
      </c>
      <c r="AQ39" s="1312">
        <f>+'NEW Spring CHP by DISC'!AQ39/12</f>
        <v>0</v>
      </c>
      <c r="AR39" s="1312">
        <f t="shared" si="32"/>
        <v>3.8</v>
      </c>
      <c r="AS39" s="1320">
        <f t="shared" si="33"/>
        <v>0.11764705882352938</v>
      </c>
    </row>
    <row r="40" spans="1:139" s="484" customFormat="1" ht="13.8" x14ac:dyDescent="0.25">
      <c r="A40" s="1335" t="s">
        <v>1015</v>
      </c>
      <c r="B40" s="494">
        <f t="shared" ref="B40:I40" si="45">SUM(B31:B39)</f>
        <v>74.133333333333326</v>
      </c>
      <c r="C40" s="494">
        <f t="shared" si="45"/>
        <v>100.36666666666669</v>
      </c>
      <c r="D40" s="494">
        <f t="shared" si="45"/>
        <v>30.25</v>
      </c>
      <c r="E40" s="495">
        <f t="shared" si="45"/>
        <v>204.74999999999997</v>
      </c>
      <c r="F40" s="493">
        <f t="shared" si="45"/>
        <v>73.26666666666668</v>
      </c>
      <c r="G40" s="494">
        <f t="shared" si="45"/>
        <v>104.73333333333332</v>
      </c>
      <c r="H40" s="494">
        <f t="shared" si="45"/>
        <v>38.75</v>
      </c>
      <c r="I40" s="494">
        <f t="shared" si="45"/>
        <v>216.75</v>
      </c>
      <c r="J40" s="496">
        <f t="shared" si="36"/>
        <v>5.8608058608058754E-2</v>
      </c>
      <c r="K40" s="494">
        <f>SUM(K31:K39)</f>
        <v>90.966666666666669</v>
      </c>
      <c r="L40" s="494">
        <f>SUM(L31:L39)</f>
        <v>109.19999999999999</v>
      </c>
      <c r="M40" s="494">
        <f>SUM(M31:M39)</f>
        <v>27</v>
      </c>
      <c r="N40" s="494">
        <f>SUM(N31:N39)</f>
        <v>227.16666666666666</v>
      </c>
      <c r="O40" s="1323">
        <f t="shared" si="38"/>
        <v>4.8058439061899223E-2</v>
      </c>
      <c r="P40" s="494">
        <f>SUM(P31:P39)</f>
        <v>69.933333333333323</v>
      </c>
      <c r="Q40" s="494">
        <f>SUM(Q31:Q39)</f>
        <v>110.8</v>
      </c>
      <c r="R40" s="494">
        <f>SUM(R31:R39)</f>
        <v>34.5</v>
      </c>
      <c r="S40" s="494">
        <f>SUM(S31:S39)</f>
        <v>215.23333333333335</v>
      </c>
      <c r="T40" s="1323">
        <f t="shared" si="40"/>
        <v>-5.2531181217901582E-2</v>
      </c>
      <c r="U40" s="494">
        <f>SUM(U31:U39)</f>
        <v>78.733333333333334</v>
      </c>
      <c r="V40" s="494">
        <f>SUM(V31:V39)</f>
        <v>106.53333333333333</v>
      </c>
      <c r="W40" s="494">
        <f>SUM(W31:W39)</f>
        <v>30</v>
      </c>
      <c r="X40" s="494">
        <f>SUM(X31:X39)</f>
        <v>215.26666666666665</v>
      </c>
      <c r="Y40" s="1323">
        <f t="shared" si="42"/>
        <v>1.5487068297957108E-4</v>
      </c>
      <c r="Z40" s="494">
        <f>SUM(Z31:Z39)</f>
        <v>74.633333333333326</v>
      </c>
      <c r="AA40" s="494">
        <f>SUM(AA31:AA39)</f>
        <v>106.66666666666666</v>
      </c>
      <c r="AB40" s="494">
        <f>SUM(AB31:AB39)</f>
        <v>36.5</v>
      </c>
      <c r="AC40" s="494">
        <f>SUM(AC31:AC39)</f>
        <v>217.79999999999998</v>
      </c>
      <c r="AD40" s="1324">
        <f t="shared" si="44"/>
        <v>1.1768349334159175E-2</v>
      </c>
      <c r="AE40" s="494">
        <f>SUM(AE31:AE39)</f>
        <v>82.1</v>
      </c>
      <c r="AF40" s="494">
        <f>SUM(AF31:AF39)</f>
        <v>106.96666666666665</v>
      </c>
      <c r="AG40" s="494">
        <f>SUM(AG31:AG39)</f>
        <v>41.5</v>
      </c>
      <c r="AH40" s="494">
        <f>SUM(AH31:AH39)</f>
        <v>230.56666666666663</v>
      </c>
      <c r="AI40" s="1324">
        <f t="shared" si="29"/>
        <v>5.8616467707376732E-2</v>
      </c>
      <c r="AJ40" s="494">
        <f>SUM(AJ31:AJ39)</f>
        <v>92.366666666666674</v>
      </c>
      <c r="AK40" s="494">
        <f>SUM(AK31:AK39)</f>
        <v>107.76666666666668</v>
      </c>
      <c r="AL40" s="494">
        <f>SUM(AL31:AL39)</f>
        <v>26.25</v>
      </c>
      <c r="AM40" s="494">
        <f>SUM(AM31:AM39)</f>
        <v>226.38333333333333</v>
      </c>
      <c r="AN40" s="1324">
        <f t="shared" si="31"/>
        <v>-1.8143703917883371E-2</v>
      </c>
      <c r="AO40" s="494">
        <f>SUM(AO31:AO39)</f>
        <v>2.5999999999999996</v>
      </c>
      <c r="AP40" s="494">
        <f>SUM(AP31:AP39)</f>
        <v>195.23333333333335</v>
      </c>
      <c r="AQ40" s="494">
        <f>SUM(AQ31:AQ39)</f>
        <v>19.75</v>
      </c>
      <c r="AR40" s="494">
        <f>SUM(AR31:AR39)</f>
        <v>217.58333333333334</v>
      </c>
      <c r="AS40" s="1324">
        <f t="shared" si="33"/>
        <v>-3.8872119561216154E-2</v>
      </c>
    </row>
    <row r="41" spans="1:139" x14ac:dyDescent="0.25">
      <c r="A41" s="1325" t="s">
        <v>435</v>
      </c>
      <c r="B41" s="486"/>
      <c r="C41" s="487"/>
      <c r="D41" s="487"/>
      <c r="E41" s="438"/>
      <c r="F41" s="508"/>
      <c r="G41" s="487"/>
      <c r="H41" s="487"/>
      <c r="I41" s="487"/>
      <c r="J41" s="438"/>
      <c r="K41" s="1041"/>
      <c r="L41" s="487"/>
      <c r="M41" s="487"/>
      <c r="N41" s="487"/>
      <c r="O41" s="438"/>
      <c r="P41" s="1041"/>
      <c r="Q41" s="487"/>
      <c r="R41" s="487"/>
      <c r="S41" s="487"/>
      <c r="T41" s="438"/>
      <c r="U41" s="508"/>
      <c r="V41" s="487"/>
      <c r="W41" s="487"/>
      <c r="X41" s="487"/>
      <c r="Y41" s="438"/>
      <c r="Z41" s="508"/>
      <c r="AA41" s="487"/>
      <c r="AB41" s="487"/>
      <c r="AC41" s="487"/>
      <c r="AD41" s="438"/>
      <c r="AE41" s="508"/>
      <c r="AF41" s="487"/>
      <c r="AG41" s="487"/>
      <c r="AH41" s="487"/>
      <c r="AI41" s="438"/>
      <c r="AJ41" s="508"/>
      <c r="AK41" s="487"/>
      <c r="AL41" s="487"/>
      <c r="AM41" s="487"/>
      <c r="AN41" s="438"/>
      <c r="AO41" s="508"/>
      <c r="AP41" s="487"/>
      <c r="AQ41" s="487"/>
      <c r="AR41" s="487"/>
      <c r="AS41" s="438"/>
    </row>
    <row r="42" spans="1:139" x14ac:dyDescent="0.25">
      <c r="A42" s="1336" t="s">
        <v>1059</v>
      </c>
      <c r="B42" s="1313">
        <f>+'NEW Spring CHP by DISC'!B42/15</f>
        <v>117.06666666666666</v>
      </c>
      <c r="C42" s="1313">
        <f>+'NEW Spring CHP by DISC'!C42/15</f>
        <v>48.333333333333336</v>
      </c>
      <c r="D42" s="1313">
        <f>+'NEW Spring CHP by DISC'!D42/12</f>
        <v>0</v>
      </c>
      <c r="E42" s="326">
        <f>SUM(B42:D42)</f>
        <v>165.4</v>
      </c>
      <c r="F42" s="1313">
        <f>+'NEW Spring CHP by DISC'!F42/15</f>
        <v>133.26666666666668</v>
      </c>
      <c r="G42" s="1313">
        <f>+'NEW Spring CHP by DISC'!G42/15</f>
        <v>56.733333333333334</v>
      </c>
      <c r="H42" s="1313">
        <f>+'NEW Spring CHP by DISC'!H42/12</f>
        <v>0</v>
      </c>
      <c r="I42" s="490">
        <f>SUM(F42:H42)</f>
        <v>190</v>
      </c>
      <c r="J42" s="491">
        <f>IF(E42&gt;0,(I42-E42)/E42,(IF(I42=0,"N/A",100%)))</f>
        <v>0.14873035066505438</v>
      </c>
      <c r="K42" s="772">
        <f>+'NEW Spring CHP by DISC'!K42/15</f>
        <v>126.26666666666667</v>
      </c>
      <c r="L42" s="1313">
        <f>+'NEW Spring CHP by DISC'!L42/15</f>
        <v>62.6</v>
      </c>
      <c r="M42" s="1313">
        <f>+'NEW Spring CHP by DISC'!M42/12</f>
        <v>0</v>
      </c>
      <c r="N42" s="490">
        <f>SUM(K42:M42)</f>
        <v>188.86666666666667</v>
      </c>
      <c r="O42" s="1307">
        <f>IF(I42&gt;0,(N42-I42)/I42,(IF(N42=0,"N/A",100%)))</f>
        <v>-5.9649122807017146E-3</v>
      </c>
      <c r="P42" s="772">
        <f>+'NEW Spring CHP by DISC'!P42/15</f>
        <v>140.73333333333332</v>
      </c>
      <c r="Q42" s="1313">
        <f>+'NEW Spring CHP by DISC'!Q42/15</f>
        <v>74.666666666666671</v>
      </c>
      <c r="R42" s="1313">
        <f>+'NEW Spring CHP by DISC'!R42/12</f>
        <v>0</v>
      </c>
      <c r="S42" s="490">
        <f>SUM(P42:R42)</f>
        <v>215.39999999999998</v>
      </c>
      <c r="T42" s="1307">
        <f>IF(N42&gt;0,(S42-N42)/N42,(IF(S42=0,"N/A",100%)))</f>
        <v>0.1404871161313094</v>
      </c>
      <c r="U42" s="1313">
        <f>+'NEW Spring CHP by DISC'!U42/15</f>
        <v>127.46666666666667</v>
      </c>
      <c r="V42" s="1313">
        <f>+'NEW Spring CHP by DISC'!V42/15</f>
        <v>69.400000000000006</v>
      </c>
      <c r="W42" s="1313">
        <f>+'NEW Spring CHP by DISC'!W42/12</f>
        <v>0.25</v>
      </c>
      <c r="X42" s="490">
        <f>SUM(U42:W42)</f>
        <v>197.11666666666667</v>
      </c>
      <c r="Y42" s="1307">
        <f>IF(S42&gt;0,(X42-S42)/S42,(IF(X42=0,"N/A",100%)))</f>
        <v>-8.4880841844630017E-2</v>
      </c>
      <c r="Z42" s="1312">
        <f>+'NEW Spring CHP by DISC'!Z42/15</f>
        <v>132.46666666666667</v>
      </c>
      <c r="AA42" s="1312">
        <f>+'NEW Spring CHP by DISC'!AA42/15</f>
        <v>72.13333333333334</v>
      </c>
      <c r="AB42" s="1312">
        <f>+'NEW Spring CHP by DISC'!AB42/12</f>
        <v>0.5</v>
      </c>
      <c r="AC42" s="973">
        <f>SUM(Z42:AB42)</f>
        <v>205.10000000000002</v>
      </c>
      <c r="AD42" s="1320">
        <f>IF(X42&gt;0,(AC42-X42)/X42,(IF(AC42=0,"N/A",100%)))</f>
        <v>4.0500549589921442E-2</v>
      </c>
      <c r="AE42" s="1312">
        <f>+'NEW Spring CHP by DISC'!AE42/15</f>
        <v>124.53333333333333</v>
      </c>
      <c r="AF42" s="1312">
        <f>+'NEW Spring CHP by DISC'!AF42/15</f>
        <v>73.533333333333331</v>
      </c>
      <c r="AG42" s="1312">
        <f>+'NEW Spring CHP by DISC'!AG42/12</f>
        <v>0.5</v>
      </c>
      <c r="AH42" s="973">
        <f>SUM(AE42:AG42)</f>
        <v>198.56666666666666</v>
      </c>
      <c r="AI42" s="1320">
        <f>IF(AC42&gt;0,(AH42-AC42)/AC42,(IF(AH42=0,"N/A",100%)))</f>
        <v>-3.1854379977247001E-2</v>
      </c>
      <c r="AJ42" s="1312">
        <f>+'NEW Spring CHP by DISC'!AJ42/15</f>
        <v>121.06666666666666</v>
      </c>
      <c r="AK42" s="1312">
        <f>+'NEW Spring CHP by DISC'!AK42/15</f>
        <v>75.333333333333329</v>
      </c>
      <c r="AL42" s="1312">
        <f>+'NEW Spring CHP by DISC'!AL42/12</f>
        <v>0</v>
      </c>
      <c r="AM42" s="973">
        <f>SUM(AJ42:AL42)</f>
        <v>196.39999999999998</v>
      </c>
      <c r="AN42" s="1320">
        <f>IF(AH42&gt;0,(AM42-AH42)/AH42,(IF(AM42=0,"N/A",100%)))</f>
        <v>-1.0911532650663181E-2</v>
      </c>
      <c r="AO42" s="1312">
        <f>+'NEW Spring CHP by DISC'!AO42/15</f>
        <v>86.733333333333334</v>
      </c>
      <c r="AP42" s="1312">
        <f>+'NEW Spring CHP by DISC'!AP42/15</f>
        <v>98.4</v>
      </c>
      <c r="AQ42" s="1312">
        <f>+'NEW Spring CHP by DISC'!AQ42/12</f>
        <v>0</v>
      </c>
      <c r="AR42" s="973">
        <f>SUM(AO42:AQ42)</f>
        <v>185.13333333333333</v>
      </c>
      <c r="AS42" s="1320">
        <f>IF(AM42&gt;0,(AR42-AM42)/AM42,(IF(AR42=0,"N/A",100%)))</f>
        <v>-5.736591989137807E-2</v>
      </c>
    </row>
    <row r="43" spans="1:139" x14ac:dyDescent="0.25">
      <c r="A43" s="1325" t="s">
        <v>426</v>
      </c>
      <c r="B43" s="486"/>
      <c r="C43" s="487"/>
      <c r="D43" s="487"/>
      <c r="E43" s="438"/>
      <c r="F43" s="508"/>
      <c r="G43" s="487"/>
      <c r="H43" s="487"/>
      <c r="I43" s="487"/>
      <c r="J43" s="438"/>
      <c r="K43" s="1041"/>
      <c r="L43" s="487"/>
      <c r="M43" s="487"/>
      <c r="N43" s="487"/>
      <c r="O43" s="438"/>
      <c r="P43" s="1041"/>
      <c r="Q43" s="487"/>
      <c r="R43" s="487"/>
      <c r="S43" s="487"/>
      <c r="T43" s="438"/>
      <c r="U43" s="508"/>
      <c r="V43" s="487"/>
      <c r="W43" s="487"/>
      <c r="X43" s="487"/>
      <c r="Y43" s="438"/>
      <c r="Z43" s="508"/>
      <c r="AA43" s="487"/>
      <c r="AB43" s="487"/>
      <c r="AC43" s="487"/>
      <c r="AD43" s="438"/>
      <c r="AE43" s="508"/>
      <c r="AF43" s="487"/>
      <c r="AG43" s="487"/>
      <c r="AH43" s="487"/>
      <c r="AI43" s="438"/>
      <c r="AJ43" s="508"/>
      <c r="AK43" s="487"/>
      <c r="AL43" s="487"/>
      <c r="AM43" s="487"/>
      <c r="AN43" s="438"/>
      <c r="AO43" s="508"/>
      <c r="AP43" s="487"/>
      <c r="AQ43" s="487"/>
      <c r="AR43" s="487"/>
      <c r="AS43" s="438"/>
    </row>
    <row r="44" spans="1:139" x14ac:dyDescent="0.25">
      <c r="A44" s="1319" t="s">
        <v>1013</v>
      </c>
      <c r="B44" s="1313">
        <f>+'NEW Spring CHP by DISC'!B44/15</f>
        <v>59.466666666666669</v>
      </c>
      <c r="C44" s="1313">
        <f>+'NEW Spring CHP by DISC'!C44/15</f>
        <v>47.4</v>
      </c>
      <c r="D44" s="1313">
        <f>+'NEW Spring CHP by DISC'!D44/12</f>
        <v>0</v>
      </c>
      <c r="E44" s="326">
        <f>SUM(B44:D44)</f>
        <v>106.86666666666667</v>
      </c>
      <c r="F44" s="1313">
        <f>+'NEW Spring CHP by DISC'!F44/15</f>
        <v>45.4</v>
      </c>
      <c r="G44" s="1313">
        <f>+'NEW Spring CHP by DISC'!G44/15</f>
        <v>47.2</v>
      </c>
      <c r="H44" s="1313">
        <f>+'NEW Spring CHP by DISC'!H44/12</f>
        <v>0</v>
      </c>
      <c r="I44" s="490">
        <f>SUM(F44:H44)</f>
        <v>92.6</v>
      </c>
      <c r="J44" s="491">
        <f>IF(E44&gt;0,(I44-E44)/E44,(IF(I44=0,"N/A",100%)))</f>
        <v>-0.13349968808484103</v>
      </c>
      <c r="K44" s="772">
        <f>+'NEW Spring CHP by DISC'!K44/15</f>
        <v>55.8</v>
      </c>
      <c r="L44" s="1313">
        <f>+'NEW Spring CHP by DISC'!L44/15</f>
        <v>53.333333333333336</v>
      </c>
      <c r="M44" s="1313">
        <f>+'NEW Spring CHP by DISC'!M44/12</f>
        <v>0</v>
      </c>
      <c r="N44" s="490">
        <f>SUM(K44:M44)</f>
        <v>109.13333333333333</v>
      </c>
      <c r="O44" s="1307">
        <f>IF(I44&gt;0,(N44-I44)/I44,(IF(N44=0,"N/A",100%)))</f>
        <v>0.17854571634269256</v>
      </c>
      <c r="P44" s="772">
        <f>+'NEW Spring CHP by DISC'!P44/15</f>
        <v>80.8</v>
      </c>
      <c r="Q44" s="1313">
        <f>+'NEW Spring CHP by DISC'!Q44/15</f>
        <v>46.8</v>
      </c>
      <c r="R44" s="1313">
        <f>+'NEW Spring CHP by DISC'!R44/12</f>
        <v>0</v>
      </c>
      <c r="S44" s="490">
        <f>SUM(P44:R44)</f>
        <v>127.6</v>
      </c>
      <c r="T44" s="1307">
        <f>IF(N44&gt;0,(S44-N44)/N44,(IF(S44=0,"N/A",100%)))</f>
        <v>0.16921197312156386</v>
      </c>
      <c r="U44" s="1313">
        <f>+'NEW Spring CHP by DISC'!U44/15</f>
        <v>87.533333333333331</v>
      </c>
      <c r="V44" s="1313">
        <f>+'NEW Spring CHP by DISC'!V44/15</f>
        <v>41.2</v>
      </c>
      <c r="W44" s="1313">
        <f>+'NEW Spring CHP by DISC'!W44/12</f>
        <v>0</v>
      </c>
      <c r="X44" s="490">
        <f>SUM(U44:W44)</f>
        <v>128.73333333333335</v>
      </c>
      <c r="Y44" s="1307">
        <f>IF(S44&gt;0,(X44-S44)/S44,(IF(X44=0,"N/A",100%)))</f>
        <v>8.881922675026287E-3</v>
      </c>
      <c r="Z44" s="1312">
        <f>+'NEW Spring CHP by DISC'!Z44/15</f>
        <v>73.066666666666663</v>
      </c>
      <c r="AA44" s="1312">
        <f>+'NEW Spring CHP by DISC'!AA44/15</f>
        <v>53.266666666666666</v>
      </c>
      <c r="AB44" s="1312">
        <f>+'NEW Spring CHP by DISC'!AB44/12</f>
        <v>0</v>
      </c>
      <c r="AC44" s="973">
        <f>SUM(Z44:AB44)</f>
        <v>126.33333333333333</v>
      </c>
      <c r="AD44" s="1320">
        <f>IF(X44&gt;0,(AC44-X44)/X44,(IF(AC44=0,"N/A",100%)))</f>
        <v>-1.8643190056965454E-2</v>
      </c>
      <c r="AE44" s="1312">
        <f>+'NEW Spring CHP by DISC'!AE44/15</f>
        <v>62</v>
      </c>
      <c r="AF44" s="1312">
        <f>+'NEW Spring CHP by DISC'!AF44/15</f>
        <v>62.133333333333333</v>
      </c>
      <c r="AG44" s="1312">
        <f>+'NEW Spring CHP by DISC'!AG44/12</f>
        <v>0</v>
      </c>
      <c r="AH44" s="973">
        <f>SUM(AE44:AG44)</f>
        <v>124.13333333333333</v>
      </c>
      <c r="AI44" s="1320">
        <f>IF(AC44&gt;0,(AH44-AC44)/AC44,(IF(AH44=0,"N/A",100%)))</f>
        <v>-1.7414248021108202E-2</v>
      </c>
      <c r="AJ44" s="1312">
        <f>+'NEW Spring CHP by DISC'!AJ44/15</f>
        <v>62</v>
      </c>
      <c r="AK44" s="1312">
        <f>+'NEW Spring CHP by DISC'!AK44/15</f>
        <v>56.6</v>
      </c>
      <c r="AL44" s="1312">
        <f>+'NEW Spring CHP by DISC'!AL44/12</f>
        <v>0</v>
      </c>
      <c r="AM44" s="973">
        <f>SUM(AJ44:AL44)</f>
        <v>118.6</v>
      </c>
      <c r="AN44" s="1320">
        <f>IF(AH44&gt;0,(AM44-AH44)/AH44,(IF(AM44=0,"N/A",100%)))</f>
        <v>-4.4575725026852836E-2</v>
      </c>
      <c r="AO44" s="1312">
        <f>+'NEW Spring CHP by DISC'!AO44/15</f>
        <v>43.06666666666667</v>
      </c>
      <c r="AP44" s="1312">
        <f>+'NEW Spring CHP by DISC'!AP44/15</f>
        <v>74.2</v>
      </c>
      <c r="AQ44" s="1312">
        <f>+'NEW Spring CHP by DISC'!AQ44/12</f>
        <v>0</v>
      </c>
      <c r="AR44" s="973">
        <f>SUM(AO44:AQ44)</f>
        <v>117.26666666666668</v>
      </c>
      <c r="AS44" s="1320">
        <f>IF(AM44&gt;0,(AR44-AM44)/AM44,(IF(AR44=0,"N/A",100%)))</f>
        <v>-1.1242270938729464E-2</v>
      </c>
    </row>
    <row r="45" spans="1:139" s="502" customFormat="1" ht="16.2" thickBot="1" x14ac:dyDescent="0.35">
      <c r="A45" s="1328" t="s">
        <v>427</v>
      </c>
      <c r="B45" s="988">
        <f t="shared" ref="B45:I45" si="46">B44+B42+B40</f>
        <v>250.66666666666666</v>
      </c>
      <c r="C45" s="988">
        <f t="shared" si="46"/>
        <v>196.10000000000002</v>
      </c>
      <c r="D45" s="988">
        <f t="shared" si="46"/>
        <v>30.25</v>
      </c>
      <c r="E45" s="1337">
        <f t="shared" si="46"/>
        <v>477.01666666666665</v>
      </c>
      <c r="F45" s="988">
        <f t="shared" si="46"/>
        <v>251.93333333333337</v>
      </c>
      <c r="G45" s="988">
        <f t="shared" si="46"/>
        <v>208.66666666666666</v>
      </c>
      <c r="H45" s="988">
        <f t="shared" si="46"/>
        <v>38.75</v>
      </c>
      <c r="I45" s="988">
        <f t="shared" si="46"/>
        <v>499.35</v>
      </c>
      <c r="J45" s="975">
        <f>IF(E45&gt;0,(I45-E45)/E45,(IF(I45=0,"N/A",100%)))</f>
        <v>4.6818769435030307E-2</v>
      </c>
      <c r="K45" s="1329">
        <f>K44+K42+K40</f>
        <v>273.0333333333333</v>
      </c>
      <c r="L45" s="988">
        <f>L44+L42+L40</f>
        <v>225.13333333333333</v>
      </c>
      <c r="M45" s="988">
        <f>M44+M42+M40</f>
        <v>27</v>
      </c>
      <c r="N45" s="988">
        <f>N44+N42+N40</f>
        <v>525.16666666666663</v>
      </c>
      <c r="O45" s="1330">
        <f>IF(I45&gt;0,(N45-I45)/I45,(IF(N45=0,"N/A",100%)))</f>
        <v>5.1700544040585973E-2</v>
      </c>
      <c r="P45" s="1329">
        <f>P44+P42+P40</f>
        <v>291.46666666666664</v>
      </c>
      <c r="Q45" s="988">
        <f>Q44+Q42+Q40</f>
        <v>232.26666666666665</v>
      </c>
      <c r="R45" s="988">
        <f>R44+R42+R40</f>
        <v>34.5</v>
      </c>
      <c r="S45" s="988">
        <f>S44+S42+S40</f>
        <v>558.23333333333335</v>
      </c>
      <c r="T45" s="1330">
        <f>IF(N45&gt;0,(S45-N45)/N45,(IF(S45=0,"N/A",100%)))</f>
        <v>6.2964138368771919E-2</v>
      </c>
      <c r="U45" s="988">
        <f>U44+U42+U40</f>
        <v>293.73333333333335</v>
      </c>
      <c r="V45" s="988">
        <f>V44+V42+V40</f>
        <v>217.13333333333333</v>
      </c>
      <c r="W45" s="988">
        <f>W44+W42+W40</f>
        <v>30.25</v>
      </c>
      <c r="X45" s="988">
        <f>X44+X42+X40</f>
        <v>541.11666666666667</v>
      </c>
      <c r="Y45" s="1330">
        <f>IF(S45&gt;0,(X45-S45)/S45,(IF(X45=0,"N/A",100%)))</f>
        <v>-3.0662208156684793E-2</v>
      </c>
      <c r="Z45" s="1331">
        <f>Z44+Z42+Z40</f>
        <v>280.16666666666663</v>
      </c>
      <c r="AA45" s="1331">
        <f>AA44+AA42+AA40</f>
        <v>232.06666666666666</v>
      </c>
      <c r="AB45" s="1331">
        <f>AB44+AB42+AB40</f>
        <v>37</v>
      </c>
      <c r="AC45" s="1331">
        <f>AC44+AC42+AC40</f>
        <v>549.23333333333335</v>
      </c>
      <c r="AD45" s="1333">
        <f>IF(X45&gt;0,(AC45-X45)/X45,(IF(AC45=0,"N/A",100%)))</f>
        <v>1.4999845997474372E-2</v>
      </c>
      <c r="AE45" s="1331">
        <f>AE44+AE42+AE40</f>
        <v>268.63333333333333</v>
      </c>
      <c r="AF45" s="1331">
        <f>AF44+AF42+AF40</f>
        <v>242.63333333333333</v>
      </c>
      <c r="AG45" s="1331">
        <f>AG44+AG42+AG40</f>
        <v>42</v>
      </c>
      <c r="AH45" s="1331">
        <f>AH44+AH42+AH40</f>
        <v>553.26666666666665</v>
      </c>
      <c r="AI45" s="1333">
        <f>IF(AC45&gt;0,(AH45-AC45)/AC45,(IF(AH45=0,"N/A",100%)))</f>
        <v>7.3435698246039384E-3</v>
      </c>
      <c r="AJ45" s="1331">
        <f>AJ44+AJ42+AJ40</f>
        <v>275.43333333333334</v>
      </c>
      <c r="AK45" s="1331">
        <f>AK44+AK42+AK40</f>
        <v>239.70000000000002</v>
      </c>
      <c r="AL45" s="1331">
        <f>AL44+AL42+AL40</f>
        <v>26.25</v>
      </c>
      <c r="AM45" s="1331">
        <f>AM44+AM42+AM40</f>
        <v>541.38333333333333</v>
      </c>
      <c r="AN45" s="1333">
        <f>IF(AH45&gt;0,(AM45-AH45)/AH45,(IF(AM45=0,"N/A",100%)))</f>
        <v>-2.1478491384504143E-2</v>
      </c>
      <c r="AO45" s="1331">
        <f>AO44+AO42+AO40</f>
        <v>132.4</v>
      </c>
      <c r="AP45" s="1331">
        <f>AP44+AP42+AP40</f>
        <v>367.83333333333337</v>
      </c>
      <c r="AQ45" s="1331">
        <f>AQ44+AQ42+AQ40</f>
        <v>19.75</v>
      </c>
      <c r="AR45" s="1331">
        <f>AR44+AR42+AR40</f>
        <v>519.98333333333335</v>
      </c>
      <c r="AS45" s="1333">
        <f>IF(AM45&gt;0,(AR45-AM45)/AM45,(IF(AR45=0,"N/A",100%)))</f>
        <v>-3.9528368685158348E-2</v>
      </c>
    </row>
    <row r="46" spans="1:139" ht="14.25" customHeight="1" x14ac:dyDescent="0.25">
      <c r="A46" s="507"/>
      <c r="B46" s="286"/>
      <c r="C46" s="286"/>
      <c r="D46" s="286"/>
      <c r="E46" s="286"/>
      <c r="F46" s="286"/>
      <c r="G46" s="286"/>
      <c r="H46" s="286"/>
      <c r="I46" s="286"/>
      <c r="J46" s="280"/>
      <c r="K46" s="280"/>
      <c r="L46" s="280"/>
      <c r="M46" s="280"/>
      <c r="N46" s="280"/>
      <c r="O46" s="280"/>
      <c r="P46" s="280"/>
      <c r="Q46" s="280"/>
      <c r="R46" s="280"/>
      <c r="S46" s="280"/>
      <c r="T46" s="280"/>
      <c r="U46" s="280"/>
      <c r="V46" s="280"/>
      <c r="W46" s="280"/>
      <c r="X46" s="280"/>
      <c r="Y46" s="280"/>
      <c r="Z46" s="712"/>
      <c r="AA46" s="712"/>
      <c r="AB46" s="712"/>
      <c r="AC46" s="712"/>
      <c r="AD46" s="712"/>
      <c r="AE46" s="712"/>
      <c r="AF46" s="712"/>
      <c r="AG46" s="712"/>
      <c r="AH46" s="712"/>
      <c r="AI46" s="712"/>
      <c r="AJ46" s="712"/>
      <c r="AK46" s="712"/>
      <c r="AL46" s="712"/>
      <c r="AM46" s="712"/>
      <c r="AN46" s="712"/>
      <c r="AO46" s="712"/>
      <c r="AP46" s="712"/>
      <c r="AQ46" s="712"/>
      <c r="AR46" s="712"/>
      <c r="AS46" s="712"/>
      <c r="CV46" s="280"/>
      <c r="CW46" s="280"/>
      <c r="CX46" s="280"/>
      <c r="CY46" s="280"/>
      <c r="CZ46" s="280"/>
      <c r="DA46" s="280"/>
      <c r="DB46" s="280"/>
      <c r="DC46" s="280"/>
      <c r="DD46" s="280"/>
      <c r="DE46" s="280"/>
      <c r="DF46" s="280"/>
      <c r="DG46" s="280"/>
      <c r="DH46" s="280"/>
      <c r="DI46" s="280"/>
      <c r="DJ46" s="280"/>
      <c r="DK46" s="280"/>
      <c r="DL46" s="280"/>
      <c r="DM46" s="280"/>
      <c r="DN46" s="280"/>
      <c r="DO46" s="280"/>
      <c r="DP46" s="280"/>
      <c r="DQ46" s="280"/>
      <c r="DR46" s="280"/>
      <c r="DS46" s="280"/>
      <c r="DT46" s="280"/>
      <c r="DU46" s="280"/>
      <c r="DV46" s="280"/>
      <c r="DW46" s="280"/>
      <c r="DX46" s="280"/>
      <c r="DY46" s="280"/>
      <c r="DZ46" s="280"/>
      <c r="EA46" s="280"/>
      <c r="EB46" s="280"/>
      <c r="EC46" s="280"/>
      <c r="ED46" s="280"/>
      <c r="EE46" s="280"/>
      <c r="EF46" s="280"/>
      <c r="EG46" s="280"/>
      <c r="EH46" s="280"/>
      <c r="EI46" s="280"/>
    </row>
    <row r="47" spans="1:139" ht="14.25" customHeight="1" thickBot="1" x14ac:dyDescent="0.3">
      <c r="A47" s="507"/>
      <c r="B47" s="286"/>
      <c r="C47" s="286"/>
      <c r="D47" s="286"/>
      <c r="E47" s="286"/>
      <c r="F47" s="286"/>
      <c r="G47" s="286"/>
      <c r="H47" s="286"/>
      <c r="I47" s="286"/>
      <c r="J47" s="280"/>
      <c r="K47" s="280"/>
      <c r="L47" s="280"/>
      <c r="M47" s="280"/>
      <c r="N47" s="280"/>
      <c r="O47" s="280"/>
      <c r="P47" s="280"/>
      <c r="Q47" s="280"/>
      <c r="R47" s="280"/>
      <c r="S47" s="280"/>
      <c r="T47" s="280"/>
      <c r="U47" s="280"/>
      <c r="V47" s="280"/>
      <c r="W47" s="280"/>
      <c r="X47" s="280"/>
      <c r="Y47" s="280"/>
      <c r="Z47" s="712"/>
      <c r="AA47" s="712"/>
      <c r="AB47" s="712"/>
      <c r="AC47" s="712"/>
      <c r="AD47" s="712"/>
      <c r="AE47" s="712"/>
      <c r="AF47" s="712"/>
      <c r="AG47" s="712"/>
      <c r="AH47" s="712"/>
      <c r="AI47" s="712"/>
      <c r="AJ47" s="712"/>
      <c r="AK47" s="712"/>
      <c r="AL47" s="712"/>
      <c r="AM47" s="712"/>
      <c r="AN47" s="712"/>
      <c r="AO47" s="712"/>
      <c r="AP47" s="712"/>
      <c r="AQ47" s="712"/>
      <c r="AR47" s="712"/>
      <c r="AS47" s="712"/>
      <c r="AT47" s="280"/>
      <c r="AU47" s="280"/>
      <c r="AV47" s="280"/>
      <c r="AW47" s="280"/>
      <c r="AX47" s="280"/>
      <c r="AY47" s="280"/>
      <c r="AZ47" s="280"/>
      <c r="BA47" s="280"/>
      <c r="BB47" s="280"/>
      <c r="BC47" s="280"/>
      <c r="BD47" s="280"/>
      <c r="BE47" s="280"/>
      <c r="BF47" s="280"/>
      <c r="BG47" s="280"/>
      <c r="BH47" s="280"/>
      <c r="BI47" s="280"/>
      <c r="BJ47" s="280"/>
      <c r="BK47" s="280"/>
      <c r="BL47" s="280"/>
      <c r="BM47" s="280"/>
      <c r="BN47" s="280"/>
      <c r="BO47" s="280"/>
      <c r="BP47" s="280"/>
      <c r="BQ47" s="280"/>
      <c r="BR47" s="280"/>
      <c r="BS47" s="280"/>
      <c r="BT47" s="280"/>
      <c r="BU47" s="280"/>
      <c r="BV47" s="280"/>
      <c r="BW47" s="280"/>
      <c r="BX47" s="280"/>
      <c r="BY47" s="280"/>
      <c r="BZ47" s="280"/>
      <c r="CA47" s="280"/>
      <c r="CB47" s="280"/>
      <c r="CC47" s="280"/>
      <c r="CD47" s="280"/>
      <c r="CE47" s="280"/>
      <c r="CF47" s="280"/>
      <c r="CG47" s="280"/>
      <c r="CH47" s="280"/>
      <c r="CI47" s="280"/>
      <c r="CJ47" s="280"/>
      <c r="CK47" s="280"/>
      <c r="CL47" s="280"/>
      <c r="CM47" s="280"/>
      <c r="CN47" s="280"/>
      <c r="CO47" s="280"/>
      <c r="CP47" s="280"/>
      <c r="CQ47" s="280"/>
      <c r="CR47" s="280"/>
      <c r="CS47" s="280"/>
      <c r="CT47" s="280"/>
      <c r="CU47" s="280"/>
      <c r="CV47" s="280"/>
      <c r="CW47" s="280"/>
      <c r="CX47" s="280"/>
      <c r="CY47" s="280"/>
      <c r="CZ47" s="280"/>
      <c r="DA47" s="280"/>
      <c r="DB47" s="280"/>
      <c r="DC47" s="280"/>
      <c r="DD47" s="280"/>
      <c r="DE47" s="280"/>
      <c r="DF47" s="280"/>
      <c r="DG47" s="280"/>
      <c r="DH47" s="280"/>
      <c r="DI47" s="280"/>
      <c r="DJ47" s="280"/>
      <c r="DK47" s="280"/>
      <c r="DL47" s="280"/>
      <c r="DM47" s="280"/>
      <c r="DN47" s="280"/>
      <c r="DO47" s="280"/>
      <c r="DP47" s="280"/>
      <c r="DQ47" s="280"/>
      <c r="DR47" s="280"/>
      <c r="DS47" s="280"/>
      <c r="DT47" s="280"/>
      <c r="DU47" s="280"/>
      <c r="DV47" s="280"/>
      <c r="DW47" s="280"/>
      <c r="DX47" s="280"/>
      <c r="DY47" s="280"/>
      <c r="DZ47" s="280"/>
      <c r="EA47" s="280"/>
      <c r="EB47" s="280"/>
      <c r="EC47" s="280"/>
      <c r="ED47" s="280"/>
      <c r="EE47" s="280"/>
      <c r="EF47" s="280"/>
      <c r="EG47" s="280"/>
      <c r="EH47" s="280"/>
      <c r="EI47" s="280"/>
    </row>
    <row r="48" spans="1:139" customFormat="1" ht="18" thickBot="1" x14ac:dyDescent="0.35">
      <c r="A48" s="2134" t="s">
        <v>416</v>
      </c>
      <c r="B48" s="2135"/>
      <c r="C48" s="2135"/>
      <c r="D48" s="2135"/>
      <c r="E48" s="2135"/>
      <c r="F48" s="2135"/>
      <c r="G48" s="2135"/>
      <c r="H48" s="2135"/>
      <c r="I48" s="2135"/>
      <c r="J48" s="2135"/>
      <c r="K48" s="2135"/>
      <c r="L48" s="2135"/>
      <c r="M48" s="2135"/>
      <c r="N48" s="2135"/>
      <c r="O48" s="2135"/>
      <c r="P48" s="2135"/>
      <c r="Q48" s="2135"/>
      <c r="R48" s="2135"/>
      <c r="S48" s="2135"/>
      <c r="T48" s="2135"/>
      <c r="U48" s="2135"/>
      <c r="V48" s="2135"/>
      <c r="W48" s="2135"/>
      <c r="X48" s="2135"/>
      <c r="Y48" s="2135"/>
      <c r="Z48" s="2135"/>
      <c r="AA48" s="2135"/>
      <c r="AB48" s="2135"/>
      <c r="AC48" s="2135"/>
      <c r="AD48" s="2135"/>
      <c r="AE48" s="2135"/>
      <c r="AF48" s="2135"/>
      <c r="AG48" s="2135"/>
      <c r="AH48" s="2135"/>
      <c r="AI48" s="2135"/>
      <c r="AJ48" s="2135"/>
      <c r="AK48" s="2135"/>
      <c r="AL48" s="2135"/>
      <c r="AM48" s="2135"/>
      <c r="AN48" s="2135"/>
      <c r="AO48" s="2135"/>
      <c r="AP48" s="2135"/>
      <c r="AQ48" s="2135"/>
      <c r="AR48" s="2135"/>
      <c r="AS48" s="2136"/>
      <c r="CV48" s="280"/>
      <c r="CW48" s="280"/>
      <c r="CX48" s="280"/>
      <c r="CY48" s="280"/>
      <c r="CZ48" s="280"/>
      <c r="DA48" s="280"/>
      <c r="DB48" s="280"/>
      <c r="DC48" s="280"/>
      <c r="DD48" s="280"/>
      <c r="DE48" s="280"/>
      <c r="DF48" s="280"/>
      <c r="DG48" s="280"/>
      <c r="DH48" s="280"/>
      <c r="DI48" s="280"/>
      <c r="DJ48" s="280"/>
      <c r="DK48" s="280"/>
      <c r="DL48" s="280"/>
      <c r="DM48" s="280"/>
      <c r="DN48" s="280"/>
      <c r="DO48" s="280"/>
      <c r="DP48" s="280"/>
      <c r="DQ48" s="280"/>
      <c r="DR48" s="280"/>
      <c r="DS48" s="280"/>
      <c r="DT48" s="280"/>
      <c r="DU48" s="280"/>
      <c r="DV48" s="280"/>
      <c r="DW48" s="280"/>
      <c r="DX48" s="280"/>
      <c r="DY48" s="280"/>
      <c r="DZ48" s="280"/>
      <c r="EA48" s="280"/>
      <c r="EB48" s="280"/>
      <c r="EC48" s="280"/>
      <c r="ED48" s="280"/>
      <c r="EE48" s="280"/>
      <c r="EF48" s="280"/>
      <c r="EG48" s="280"/>
      <c r="EH48" s="280"/>
      <c r="EI48" s="280"/>
    </row>
    <row r="49" spans="1:2427" ht="39.6" customHeight="1" x14ac:dyDescent="0.25">
      <c r="A49" s="2142" t="s">
        <v>1006</v>
      </c>
      <c r="B49" s="1314" t="s">
        <v>1008</v>
      </c>
      <c r="C49" s="1314" t="s">
        <v>1009</v>
      </c>
      <c r="D49" s="1314" t="s">
        <v>1010</v>
      </c>
      <c r="E49" s="680" t="s">
        <v>1069</v>
      </c>
      <c r="F49" s="1314" t="s">
        <v>1008</v>
      </c>
      <c r="G49" s="1314" t="s">
        <v>1009</v>
      </c>
      <c r="H49" s="1314" t="s">
        <v>1010</v>
      </c>
      <c r="I49" s="682" t="s">
        <v>1069</v>
      </c>
      <c r="J49" s="1315" t="s">
        <v>1071</v>
      </c>
      <c r="K49" s="1038" t="s">
        <v>1008</v>
      </c>
      <c r="L49" s="1314" t="s">
        <v>1009</v>
      </c>
      <c r="M49" s="1314" t="s">
        <v>1010</v>
      </c>
      <c r="N49" s="682" t="s">
        <v>1069</v>
      </c>
      <c r="O49" s="1338" t="s">
        <v>1071</v>
      </c>
      <c r="P49" s="1038" t="s">
        <v>1008</v>
      </c>
      <c r="Q49" s="1314" t="s">
        <v>1009</v>
      </c>
      <c r="R49" s="1314" t="s">
        <v>1010</v>
      </c>
      <c r="S49" s="682" t="s">
        <v>1069</v>
      </c>
      <c r="T49" s="1315" t="s">
        <v>1071</v>
      </c>
      <c r="U49" s="1314" t="s">
        <v>1008</v>
      </c>
      <c r="V49" s="1314" t="s">
        <v>1009</v>
      </c>
      <c r="W49" s="1314" t="s">
        <v>1010</v>
      </c>
      <c r="X49" s="682" t="s">
        <v>1069</v>
      </c>
      <c r="Y49" s="1315" t="s">
        <v>1071</v>
      </c>
      <c r="Z49" s="1316" t="s">
        <v>1008</v>
      </c>
      <c r="AA49" s="1316" t="s">
        <v>1009</v>
      </c>
      <c r="AB49" s="1316" t="s">
        <v>1010</v>
      </c>
      <c r="AC49" s="1186" t="s">
        <v>1069</v>
      </c>
      <c r="AD49" s="1317" t="s">
        <v>1071</v>
      </c>
      <c r="AE49" s="1316" t="s">
        <v>1008</v>
      </c>
      <c r="AF49" s="1316" t="s">
        <v>1009</v>
      </c>
      <c r="AG49" s="1316" t="s">
        <v>1010</v>
      </c>
      <c r="AH49" s="1186" t="s">
        <v>1069</v>
      </c>
      <c r="AI49" s="1317" t="s">
        <v>1071</v>
      </c>
      <c r="AJ49" s="1316" t="s">
        <v>1008</v>
      </c>
      <c r="AK49" s="1316" t="s">
        <v>1009</v>
      </c>
      <c r="AL49" s="1316" t="s">
        <v>1010</v>
      </c>
      <c r="AM49" s="1186" t="s">
        <v>1069</v>
      </c>
      <c r="AN49" s="1317" t="s">
        <v>1071</v>
      </c>
      <c r="AO49" s="1316" t="s">
        <v>1008</v>
      </c>
      <c r="AP49" s="1316" t="s">
        <v>1009</v>
      </c>
      <c r="AQ49" s="1316" t="s">
        <v>1010</v>
      </c>
      <c r="AR49" s="1186" t="s">
        <v>1069</v>
      </c>
      <c r="AS49" s="1317" t="s">
        <v>1071</v>
      </c>
      <c r="AT49" s="280"/>
      <c r="AU49" s="280"/>
      <c r="AV49" s="280"/>
      <c r="AW49" s="280"/>
      <c r="AX49" s="280"/>
      <c r="AY49" s="280"/>
      <c r="AZ49" s="280"/>
      <c r="BA49" s="280"/>
      <c r="BB49" s="280"/>
      <c r="BC49" s="280"/>
      <c r="BD49" s="280"/>
      <c r="BE49" s="280"/>
      <c r="BF49" s="280"/>
      <c r="BG49" s="280"/>
      <c r="BH49" s="280"/>
      <c r="BI49" s="280"/>
      <c r="BJ49" s="280"/>
      <c r="BK49" s="280"/>
      <c r="BL49" s="280"/>
      <c r="BM49" s="280"/>
      <c r="BN49" s="280"/>
      <c r="BO49" s="280"/>
      <c r="BP49" s="280"/>
      <c r="BQ49" s="280"/>
      <c r="BR49" s="280"/>
      <c r="BS49" s="280"/>
      <c r="BT49" s="280"/>
      <c r="BU49" s="280"/>
      <c r="BV49" s="280"/>
      <c r="BW49" s="280"/>
      <c r="BX49" s="280"/>
      <c r="BY49" s="280"/>
      <c r="BZ49" s="280"/>
      <c r="CA49" s="280"/>
      <c r="CB49" s="280"/>
      <c r="CC49" s="280"/>
      <c r="CD49" s="280"/>
      <c r="CE49" s="280"/>
      <c r="CF49" s="280"/>
      <c r="CG49" s="280"/>
      <c r="CH49" s="280"/>
      <c r="CI49" s="280"/>
      <c r="CJ49" s="280"/>
      <c r="CK49" s="280"/>
      <c r="CL49" s="280"/>
      <c r="CM49" s="280"/>
      <c r="CN49" s="280"/>
      <c r="CO49" s="280"/>
      <c r="CP49" s="280"/>
      <c r="CQ49" s="280"/>
      <c r="CR49" s="280"/>
      <c r="CS49" s="280"/>
      <c r="CT49" s="280"/>
      <c r="CU49" s="280"/>
      <c r="CV49" s="280"/>
      <c r="CW49" s="280"/>
      <c r="CX49" s="280"/>
      <c r="CY49" s="280"/>
      <c r="CZ49" s="280"/>
      <c r="DA49" s="280"/>
      <c r="DB49" s="280"/>
      <c r="DC49" s="280"/>
      <c r="DD49" s="280"/>
      <c r="DE49" s="280"/>
      <c r="DF49" s="280"/>
      <c r="DG49" s="280"/>
      <c r="DH49" s="280"/>
      <c r="DI49" s="280"/>
      <c r="DJ49" s="280"/>
      <c r="DK49" s="280"/>
      <c r="DL49" s="280"/>
      <c r="DM49" s="280"/>
      <c r="DN49" s="280"/>
      <c r="DO49" s="280"/>
      <c r="DP49" s="280"/>
      <c r="DQ49" s="280"/>
      <c r="DR49" s="280"/>
      <c r="DS49" s="280"/>
      <c r="DT49" s="280"/>
      <c r="DU49" s="280"/>
      <c r="DV49" s="280"/>
      <c r="DW49" s="280"/>
      <c r="DX49" s="280"/>
      <c r="DY49" s="280"/>
      <c r="DZ49" s="280"/>
      <c r="EA49" s="280"/>
      <c r="EB49" s="280"/>
      <c r="EC49" s="280"/>
      <c r="ED49" s="280"/>
      <c r="EE49" s="280"/>
      <c r="EF49" s="280"/>
      <c r="EG49" s="280"/>
      <c r="EH49" s="280"/>
      <c r="EI49" s="280"/>
      <c r="EJ49" s="280"/>
      <c r="EK49" s="280"/>
      <c r="EL49" s="280"/>
      <c r="EM49" s="280"/>
      <c r="EN49" s="280"/>
      <c r="EO49" s="280"/>
      <c r="EP49" s="280"/>
      <c r="EQ49" s="280"/>
      <c r="ER49" s="280"/>
      <c r="ES49" s="280"/>
      <c r="ET49" s="280"/>
      <c r="EU49" s="280"/>
      <c r="EV49" s="280"/>
      <c r="EW49" s="280"/>
      <c r="EX49" s="280"/>
      <c r="EY49" s="280"/>
      <c r="EZ49" s="280"/>
      <c r="FA49" s="280"/>
      <c r="FB49" s="280"/>
      <c r="FC49" s="280"/>
      <c r="FD49" s="280"/>
      <c r="FE49" s="280"/>
      <c r="FF49" s="280"/>
      <c r="FG49" s="280"/>
      <c r="FH49" s="280"/>
      <c r="FI49" s="280"/>
      <c r="FJ49" s="280"/>
      <c r="FK49" s="280"/>
      <c r="FL49" s="280"/>
      <c r="FM49" s="280"/>
      <c r="FN49" s="280"/>
      <c r="FO49" s="280"/>
      <c r="FP49" s="280"/>
      <c r="FQ49" s="280"/>
      <c r="FR49" s="280"/>
      <c r="FS49" s="280"/>
      <c r="FT49" s="280"/>
      <c r="FU49" s="280"/>
      <c r="FV49" s="280"/>
      <c r="FW49" s="280"/>
      <c r="FX49" s="280"/>
      <c r="FY49" s="280"/>
      <c r="FZ49" s="280"/>
      <c r="GA49" s="280"/>
      <c r="GB49" s="280"/>
      <c r="GC49" s="280"/>
      <c r="GD49" s="280"/>
      <c r="GE49" s="280"/>
      <c r="GF49" s="280"/>
      <c r="GG49" s="280"/>
      <c r="GH49" s="280"/>
      <c r="GI49" s="280"/>
      <c r="GJ49" s="280"/>
      <c r="GK49" s="280"/>
      <c r="GL49" s="280"/>
      <c r="GM49" s="280"/>
      <c r="GN49" s="280"/>
      <c r="GO49" s="280"/>
      <c r="GP49" s="280"/>
      <c r="GQ49" s="280"/>
      <c r="GR49" s="280"/>
      <c r="GS49" s="280"/>
      <c r="GT49" s="280"/>
      <c r="GU49" s="280"/>
      <c r="GV49" s="280"/>
      <c r="GW49" s="280"/>
      <c r="GX49" s="280"/>
      <c r="GY49" s="280"/>
      <c r="GZ49" s="280"/>
      <c r="HA49" s="280"/>
      <c r="HB49" s="280"/>
      <c r="HC49" s="280"/>
      <c r="HD49" s="280"/>
      <c r="HE49" s="280"/>
      <c r="HF49" s="280"/>
      <c r="HG49" s="280"/>
      <c r="HH49" s="280"/>
      <c r="HI49" s="280"/>
      <c r="HJ49" s="280"/>
      <c r="HK49" s="280"/>
      <c r="HL49" s="280"/>
      <c r="HM49" s="280"/>
      <c r="HN49" s="280"/>
      <c r="HO49" s="280"/>
      <c r="HP49" s="280"/>
      <c r="HQ49" s="280"/>
      <c r="HR49" s="280"/>
      <c r="HS49" s="280"/>
      <c r="HT49" s="280"/>
      <c r="HU49" s="280"/>
      <c r="HV49" s="280"/>
      <c r="HW49" s="280"/>
      <c r="HX49" s="280"/>
      <c r="HY49" s="280"/>
      <c r="HZ49" s="280"/>
      <c r="IA49" s="280"/>
      <c r="IB49" s="280"/>
      <c r="IC49" s="280"/>
      <c r="ID49" s="280"/>
      <c r="IE49" s="280"/>
      <c r="IF49" s="280"/>
      <c r="IG49" s="280"/>
      <c r="IH49" s="280"/>
      <c r="II49" s="280"/>
      <c r="IJ49" s="280"/>
      <c r="IK49" s="280"/>
      <c r="IL49" s="280"/>
      <c r="IM49" s="280"/>
      <c r="IN49" s="280"/>
      <c r="IO49" s="280"/>
      <c r="IP49" s="280"/>
      <c r="IQ49" s="280"/>
      <c r="IR49" s="280"/>
      <c r="IS49" s="280"/>
      <c r="IT49" s="280"/>
      <c r="IU49" s="280"/>
      <c r="IV49" s="280"/>
      <c r="IW49" s="280"/>
      <c r="IX49" s="280"/>
      <c r="IY49" s="280"/>
      <c r="IZ49" s="280"/>
      <c r="JA49" s="280"/>
      <c r="JB49" s="280"/>
      <c r="JC49" s="280"/>
      <c r="JD49" s="280"/>
      <c r="JE49" s="280"/>
      <c r="JF49" s="280"/>
      <c r="JG49" s="280"/>
      <c r="JH49" s="280"/>
      <c r="JI49" s="280"/>
      <c r="JJ49" s="280"/>
      <c r="JK49" s="280"/>
      <c r="JL49" s="280"/>
      <c r="JM49" s="280"/>
      <c r="JN49" s="280"/>
      <c r="JO49" s="280"/>
      <c r="JP49" s="280"/>
      <c r="JQ49" s="280"/>
      <c r="JR49" s="280"/>
      <c r="JS49" s="280"/>
      <c r="JT49" s="280"/>
      <c r="JU49" s="280"/>
      <c r="JV49" s="280"/>
      <c r="JW49" s="280"/>
      <c r="JX49" s="280"/>
      <c r="JY49" s="280"/>
      <c r="JZ49" s="280"/>
      <c r="KA49" s="280"/>
      <c r="KB49" s="280"/>
      <c r="KC49" s="280"/>
      <c r="KD49" s="280"/>
      <c r="KE49" s="280"/>
      <c r="KF49" s="280"/>
      <c r="KG49" s="280"/>
      <c r="KH49" s="280"/>
      <c r="KI49" s="280"/>
      <c r="KJ49" s="280"/>
      <c r="KK49" s="280"/>
      <c r="KL49" s="280"/>
      <c r="KM49" s="280"/>
      <c r="KN49" s="280"/>
      <c r="KO49" s="280"/>
      <c r="KP49" s="280"/>
      <c r="KQ49" s="280"/>
      <c r="KR49" s="280"/>
      <c r="KS49" s="280"/>
      <c r="KT49" s="280"/>
      <c r="KU49" s="280"/>
      <c r="KV49" s="280"/>
      <c r="KW49" s="280"/>
      <c r="KX49" s="280"/>
      <c r="KY49" s="280"/>
      <c r="KZ49" s="280"/>
      <c r="LA49" s="280"/>
      <c r="LB49" s="280"/>
      <c r="LC49" s="280"/>
      <c r="LD49" s="280"/>
      <c r="LE49" s="280"/>
      <c r="LF49" s="280"/>
      <c r="LG49" s="280"/>
      <c r="LH49" s="280"/>
      <c r="LI49" s="280"/>
      <c r="LJ49" s="280"/>
      <c r="LK49" s="280"/>
      <c r="LL49" s="280"/>
      <c r="LM49" s="280"/>
      <c r="LN49" s="280"/>
      <c r="LO49" s="280"/>
      <c r="LP49" s="280"/>
      <c r="LQ49" s="280"/>
      <c r="LR49" s="280"/>
      <c r="LS49" s="280"/>
      <c r="LT49" s="280"/>
      <c r="LU49" s="280"/>
      <c r="LV49" s="280"/>
      <c r="LW49" s="280"/>
      <c r="LX49" s="280"/>
      <c r="LY49" s="280"/>
      <c r="LZ49" s="280"/>
      <c r="MA49" s="280"/>
      <c r="MB49" s="280"/>
      <c r="MC49" s="280"/>
      <c r="MD49" s="280"/>
      <c r="ME49" s="280"/>
      <c r="MF49" s="280"/>
      <c r="MG49" s="280"/>
      <c r="MH49" s="280"/>
      <c r="MI49" s="280"/>
      <c r="MJ49" s="280"/>
      <c r="MK49" s="280"/>
      <c r="ML49" s="280"/>
      <c r="MM49" s="280"/>
      <c r="MN49" s="280"/>
      <c r="MO49" s="280"/>
      <c r="MP49" s="280"/>
      <c r="MQ49" s="280"/>
      <c r="MR49" s="280"/>
      <c r="MS49" s="280"/>
      <c r="MT49" s="280"/>
      <c r="MU49" s="280"/>
      <c r="MV49" s="280"/>
      <c r="MW49" s="280"/>
      <c r="MX49" s="280"/>
      <c r="MY49" s="280"/>
      <c r="MZ49" s="280"/>
      <c r="NA49" s="280"/>
      <c r="NB49" s="280"/>
      <c r="NC49" s="280"/>
      <c r="ND49" s="280"/>
      <c r="NE49" s="280"/>
      <c r="NF49" s="280"/>
      <c r="NG49" s="280"/>
      <c r="NH49" s="280"/>
      <c r="NI49" s="280"/>
      <c r="NJ49" s="280"/>
      <c r="NK49" s="280"/>
      <c r="NL49" s="280"/>
      <c r="NM49" s="280"/>
      <c r="NN49" s="280"/>
      <c r="NO49" s="280"/>
      <c r="NP49" s="280"/>
      <c r="NQ49" s="280"/>
      <c r="NR49" s="280"/>
      <c r="NS49" s="280"/>
      <c r="NT49" s="280"/>
      <c r="NU49" s="280"/>
      <c r="NV49" s="280"/>
      <c r="NW49" s="280"/>
      <c r="NX49" s="280"/>
      <c r="NY49" s="280"/>
      <c r="NZ49" s="280"/>
      <c r="OA49" s="280"/>
      <c r="OB49" s="280"/>
      <c r="OC49" s="280"/>
      <c r="OD49" s="280"/>
      <c r="OE49" s="280"/>
      <c r="OF49" s="280"/>
      <c r="OG49" s="280"/>
      <c r="OH49" s="280"/>
      <c r="OI49" s="280"/>
      <c r="OJ49" s="280"/>
      <c r="OK49" s="280"/>
      <c r="OL49" s="280"/>
      <c r="OM49" s="280"/>
      <c r="ON49" s="280"/>
      <c r="OO49" s="280"/>
      <c r="OP49" s="280"/>
      <c r="OQ49" s="280"/>
      <c r="OR49" s="280"/>
      <c r="OS49" s="280"/>
      <c r="OT49" s="280"/>
      <c r="OU49" s="280"/>
      <c r="OV49" s="280"/>
      <c r="OW49" s="280"/>
      <c r="OX49" s="280"/>
      <c r="OY49" s="280"/>
      <c r="OZ49" s="280"/>
      <c r="PA49" s="280"/>
      <c r="PB49" s="280"/>
      <c r="PC49" s="280"/>
      <c r="PD49" s="280"/>
      <c r="PE49" s="280"/>
      <c r="PF49" s="280"/>
      <c r="PG49" s="280"/>
      <c r="PH49" s="280"/>
      <c r="PI49" s="280"/>
      <c r="PJ49" s="280"/>
      <c r="PK49" s="280"/>
      <c r="PL49" s="280"/>
      <c r="PM49" s="280"/>
      <c r="PN49" s="280"/>
      <c r="PO49" s="280"/>
      <c r="PP49" s="280"/>
      <c r="PQ49" s="280"/>
      <c r="PR49" s="280"/>
      <c r="PS49" s="280"/>
      <c r="PT49" s="280"/>
      <c r="PU49" s="280"/>
      <c r="PV49" s="280"/>
      <c r="PW49" s="280"/>
      <c r="PX49" s="280"/>
      <c r="PY49" s="280"/>
      <c r="PZ49" s="280"/>
      <c r="QA49" s="280"/>
      <c r="QB49" s="280"/>
      <c r="QC49" s="280"/>
      <c r="QD49" s="280"/>
      <c r="QE49" s="280"/>
      <c r="QF49" s="280"/>
      <c r="QG49" s="280"/>
      <c r="QH49" s="280"/>
      <c r="QI49" s="280"/>
      <c r="QJ49" s="280"/>
      <c r="QK49" s="280"/>
      <c r="QL49" s="280"/>
      <c r="QM49" s="280"/>
      <c r="QN49" s="280"/>
      <c r="QO49" s="280"/>
      <c r="QP49" s="280"/>
      <c r="QQ49" s="280"/>
      <c r="QR49" s="280"/>
      <c r="QS49" s="280"/>
      <c r="QT49" s="280"/>
      <c r="QU49" s="280"/>
      <c r="QV49" s="280"/>
      <c r="QW49" s="280"/>
      <c r="QX49" s="280"/>
      <c r="QY49" s="280"/>
      <c r="QZ49" s="280"/>
      <c r="RA49" s="280"/>
      <c r="RB49" s="280"/>
      <c r="RC49" s="280"/>
      <c r="RD49" s="280"/>
      <c r="RE49" s="280"/>
      <c r="RF49" s="280"/>
      <c r="RG49" s="280"/>
      <c r="RH49" s="280"/>
      <c r="RI49" s="280"/>
      <c r="RJ49" s="280"/>
      <c r="RK49" s="280"/>
      <c r="RL49" s="280"/>
      <c r="RM49" s="280"/>
      <c r="RN49" s="280"/>
      <c r="RO49" s="280"/>
      <c r="RP49" s="280"/>
      <c r="RQ49" s="280"/>
      <c r="RR49" s="280"/>
      <c r="RS49" s="280"/>
      <c r="RT49" s="280"/>
      <c r="RU49" s="280"/>
      <c r="RV49" s="280"/>
      <c r="RW49" s="280"/>
      <c r="RX49" s="280"/>
      <c r="RY49" s="280"/>
      <c r="RZ49" s="280"/>
      <c r="SA49" s="280"/>
      <c r="SB49" s="280"/>
      <c r="SC49" s="280"/>
      <c r="SD49" s="280"/>
      <c r="SE49" s="280"/>
      <c r="SF49" s="280"/>
      <c r="SG49" s="280"/>
      <c r="SH49" s="280"/>
      <c r="SI49" s="280"/>
      <c r="SJ49" s="280"/>
      <c r="SK49" s="280"/>
      <c r="SL49" s="280"/>
      <c r="SM49" s="280"/>
      <c r="SN49" s="280"/>
      <c r="SO49" s="280"/>
      <c r="SP49" s="280"/>
      <c r="SQ49" s="280"/>
      <c r="SR49" s="280"/>
      <c r="SS49" s="280"/>
      <c r="ST49" s="280"/>
      <c r="SU49" s="280"/>
      <c r="SV49" s="280"/>
      <c r="SW49" s="280"/>
      <c r="SX49" s="280"/>
      <c r="SY49" s="280"/>
      <c r="SZ49" s="280"/>
      <c r="TA49" s="280"/>
      <c r="TB49" s="280"/>
      <c r="TC49" s="280"/>
      <c r="TD49" s="280"/>
      <c r="TE49" s="280"/>
      <c r="TF49" s="280"/>
      <c r="TG49" s="280"/>
      <c r="TH49" s="280"/>
      <c r="TI49" s="280"/>
      <c r="TJ49" s="280"/>
      <c r="TK49" s="280"/>
      <c r="TL49" s="280"/>
      <c r="TM49" s="280"/>
      <c r="TN49" s="280"/>
      <c r="TO49" s="280"/>
      <c r="TP49" s="280"/>
      <c r="TQ49" s="280"/>
      <c r="TR49" s="280"/>
      <c r="TS49" s="280"/>
      <c r="TT49" s="280"/>
      <c r="TU49" s="280"/>
      <c r="TV49" s="280"/>
      <c r="TW49" s="280"/>
      <c r="TX49" s="280"/>
      <c r="TY49" s="280"/>
      <c r="TZ49" s="280"/>
      <c r="UA49" s="280"/>
      <c r="UB49" s="280"/>
      <c r="UC49" s="280"/>
      <c r="UD49" s="280"/>
      <c r="UE49" s="280"/>
      <c r="UF49" s="280"/>
      <c r="UG49" s="280"/>
      <c r="UH49" s="280"/>
      <c r="UI49" s="280"/>
      <c r="UJ49" s="280"/>
      <c r="UK49" s="280"/>
      <c r="UL49" s="280"/>
      <c r="UM49" s="280"/>
      <c r="UN49" s="280"/>
      <c r="UO49" s="280"/>
      <c r="UP49" s="280"/>
      <c r="UQ49" s="280"/>
      <c r="UR49" s="280"/>
      <c r="US49" s="280"/>
      <c r="UT49" s="280"/>
      <c r="UU49" s="280"/>
      <c r="UV49" s="280"/>
      <c r="UW49" s="280"/>
      <c r="UX49" s="280"/>
      <c r="UY49" s="280"/>
      <c r="UZ49" s="280"/>
      <c r="VA49" s="280"/>
      <c r="VB49" s="280"/>
      <c r="VC49" s="280"/>
      <c r="VD49" s="280"/>
      <c r="VE49" s="280"/>
      <c r="VF49" s="280"/>
      <c r="VG49" s="280"/>
      <c r="VH49" s="280"/>
      <c r="VI49" s="280"/>
      <c r="VJ49" s="280"/>
      <c r="VK49" s="280"/>
      <c r="VL49" s="280"/>
      <c r="VM49" s="280"/>
      <c r="VN49" s="280"/>
      <c r="VO49" s="280"/>
      <c r="VP49" s="280"/>
      <c r="VQ49" s="280"/>
      <c r="VR49" s="280"/>
      <c r="VS49" s="280"/>
      <c r="VT49" s="280"/>
      <c r="VU49" s="280"/>
      <c r="VV49" s="280"/>
      <c r="VW49" s="280"/>
      <c r="VX49" s="280"/>
      <c r="VY49" s="280"/>
      <c r="VZ49" s="280"/>
      <c r="WA49" s="280"/>
      <c r="WB49" s="280"/>
      <c r="WC49" s="280"/>
      <c r="WD49" s="280"/>
      <c r="WE49" s="280"/>
      <c r="WF49" s="280"/>
      <c r="WG49" s="280"/>
      <c r="WH49" s="280"/>
      <c r="WI49" s="280"/>
      <c r="WJ49" s="280"/>
      <c r="WK49" s="280"/>
      <c r="WL49" s="280"/>
      <c r="WM49" s="280"/>
      <c r="WN49" s="280"/>
      <c r="WO49" s="280"/>
      <c r="WP49" s="280"/>
      <c r="WQ49" s="280"/>
      <c r="WR49" s="280"/>
      <c r="WS49" s="280"/>
      <c r="WT49" s="280"/>
      <c r="WU49" s="280"/>
      <c r="WV49" s="280"/>
      <c r="WW49" s="280"/>
      <c r="WX49" s="280"/>
      <c r="WY49" s="280"/>
      <c r="WZ49" s="280"/>
      <c r="XA49" s="280"/>
      <c r="XB49" s="280"/>
      <c r="XC49" s="280"/>
      <c r="XD49" s="280"/>
      <c r="XE49" s="280"/>
      <c r="XF49" s="280"/>
      <c r="XG49" s="280"/>
      <c r="XH49" s="280"/>
      <c r="XI49" s="280"/>
      <c r="XJ49" s="280"/>
      <c r="XK49" s="280"/>
      <c r="XL49" s="280"/>
      <c r="XM49" s="280"/>
      <c r="XN49" s="280"/>
      <c r="XO49" s="280"/>
      <c r="XP49" s="280"/>
      <c r="XQ49" s="280"/>
      <c r="XR49" s="280"/>
      <c r="XS49" s="280"/>
      <c r="XT49" s="280"/>
      <c r="XU49" s="280"/>
      <c r="XV49" s="280"/>
      <c r="XW49" s="280"/>
      <c r="XX49" s="280"/>
      <c r="XY49" s="280"/>
      <c r="XZ49" s="280"/>
      <c r="YA49" s="280"/>
      <c r="YB49" s="280"/>
      <c r="YC49" s="280"/>
      <c r="YD49" s="280"/>
      <c r="YE49" s="280"/>
      <c r="YF49" s="280"/>
      <c r="YG49" s="280"/>
      <c r="YH49" s="280"/>
      <c r="YI49" s="280"/>
      <c r="YJ49" s="280"/>
      <c r="YK49" s="280"/>
      <c r="YL49" s="280"/>
      <c r="YM49" s="280"/>
      <c r="YN49" s="280"/>
      <c r="YO49" s="280"/>
      <c r="YP49" s="280"/>
      <c r="YQ49" s="280"/>
      <c r="YR49" s="280"/>
      <c r="YS49" s="280"/>
      <c r="YT49" s="280"/>
      <c r="YU49" s="280"/>
      <c r="YV49" s="280"/>
      <c r="YW49" s="280"/>
      <c r="YX49" s="280"/>
      <c r="YY49" s="280"/>
      <c r="YZ49" s="280"/>
      <c r="ZA49" s="280"/>
      <c r="ZB49" s="280"/>
      <c r="ZC49" s="280"/>
      <c r="ZD49" s="280"/>
      <c r="ZE49" s="280"/>
      <c r="ZF49" s="280"/>
      <c r="ZG49" s="280"/>
      <c r="ZH49" s="280"/>
      <c r="ZI49" s="280"/>
      <c r="ZJ49" s="280"/>
      <c r="ZK49" s="280"/>
      <c r="ZL49" s="280"/>
      <c r="ZM49" s="280"/>
      <c r="ZN49" s="280"/>
      <c r="ZO49" s="280"/>
      <c r="ZP49" s="280"/>
      <c r="ZQ49" s="280"/>
      <c r="ZR49" s="280"/>
      <c r="ZS49" s="280"/>
      <c r="ZT49" s="280"/>
      <c r="ZU49" s="280"/>
      <c r="ZV49" s="280"/>
      <c r="ZW49" s="280"/>
      <c r="ZX49" s="280"/>
      <c r="ZY49" s="280"/>
      <c r="ZZ49" s="280"/>
      <c r="AAA49" s="280"/>
      <c r="AAB49" s="280"/>
      <c r="AAC49" s="280"/>
      <c r="AAD49" s="280"/>
      <c r="AAE49" s="280"/>
      <c r="AAF49" s="280"/>
      <c r="AAG49" s="280"/>
      <c r="AAH49" s="280"/>
      <c r="AAI49" s="280"/>
      <c r="AAJ49" s="280"/>
      <c r="AAK49" s="280"/>
      <c r="AAL49" s="280"/>
      <c r="AAM49" s="280"/>
      <c r="AAN49" s="280"/>
      <c r="AAO49" s="280"/>
      <c r="AAP49" s="280"/>
      <c r="AAQ49" s="280"/>
      <c r="AAR49" s="280"/>
      <c r="AAS49" s="280"/>
      <c r="AAT49" s="280"/>
      <c r="AAU49" s="280"/>
      <c r="AAV49" s="280"/>
      <c r="AAW49" s="280"/>
      <c r="AAX49" s="280"/>
      <c r="AAY49" s="280"/>
      <c r="AAZ49" s="280"/>
      <c r="ABA49" s="280"/>
      <c r="ABB49" s="280"/>
      <c r="ABC49" s="280"/>
      <c r="ABD49" s="280"/>
      <c r="ABE49" s="280"/>
      <c r="ABF49" s="280"/>
      <c r="ABG49" s="280"/>
      <c r="ABH49" s="280"/>
      <c r="ABI49" s="280"/>
      <c r="ABJ49" s="280"/>
      <c r="ABK49" s="280"/>
      <c r="ABL49" s="280"/>
      <c r="ABM49" s="280"/>
      <c r="ABN49" s="280"/>
      <c r="ABO49" s="280"/>
      <c r="ABP49" s="280"/>
      <c r="ABQ49" s="280"/>
      <c r="ABR49" s="280"/>
      <c r="ABS49" s="280"/>
      <c r="ABT49" s="280"/>
      <c r="ABU49" s="280"/>
      <c r="ABV49" s="280"/>
      <c r="ABW49" s="280"/>
      <c r="ABX49" s="280"/>
      <c r="ABY49" s="280"/>
      <c r="ABZ49" s="280"/>
      <c r="ACA49" s="280"/>
      <c r="ACB49" s="280"/>
      <c r="ACC49" s="280"/>
      <c r="ACD49" s="280"/>
      <c r="ACE49" s="280"/>
      <c r="ACF49" s="280"/>
      <c r="ACG49" s="280"/>
      <c r="ACH49" s="280"/>
      <c r="ACI49" s="280"/>
      <c r="ACJ49" s="280"/>
      <c r="ACK49" s="280"/>
      <c r="ACL49" s="280"/>
      <c r="ACM49" s="280"/>
      <c r="ACN49" s="280"/>
      <c r="ACO49" s="280"/>
      <c r="ACP49" s="280"/>
      <c r="ACQ49" s="280"/>
      <c r="ACR49" s="280"/>
      <c r="ACS49" s="280"/>
      <c r="ACT49" s="280"/>
      <c r="ACU49" s="280"/>
      <c r="ACV49" s="280"/>
      <c r="ACW49" s="280"/>
      <c r="ACX49" s="280"/>
      <c r="ACY49" s="280"/>
      <c r="ACZ49" s="280"/>
      <c r="ADA49" s="280"/>
      <c r="ADB49" s="280"/>
      <c r="ADC49" s="280"/>
      <c r="ADD49" s="280"/>
      <c r="ADE49" s="280"/>
      <c r="ADF49" s="280"/>
      <c r="ADG49" s="280"/>
      <c r="ADH49" s="280"/>
      <c r="ADI49" s="280"/>
      <c r="ADJ49" s="280"/>
      <c r="ADK49" s="280"/>
      <c r="ADL49" s="280"/>
      <c r="ADM49" s="280"/>
      <c r="ADN49" s="280"/>
      <c r="ADO49" s="280"/>
      <c r="ADP49" s="280"/>
      <c r="ADQ49" s="280"/>
      <c r="ADR49" s="280"/>
      <c r="ADS49" s="280"/>
      <c r="ADT49" s="280"/>
      <c r="ADU49" s="280"/>
      <c r="ADV49" s="280"/>
      <c r="ADW49" s="280"/>
      <c r="ADX49" s="280"/>
      <c r="ADY49" s="280"/>
      <c r="ADZ49" s="280"/>
      <c r="AEA49" s="280"/>
      <c r="AEB49" s="280"/>
      <c r="AEC49" s="280"/>
      <c r="AED49" s="280"/>
      <c r="AEE49" s="280"/>
      <c r="AEF49" s="280"/>
      <c r="AEG49" s="280"/>
      <c r="AEH49" s="280"/>
      <c r="AEI49" s="280"/>
      <c r="AEJ49" s="280"/>
      <c r="AEK49" s="280"/>
      <c r="AEL49" s="280"/>
      <c r="AEM49" s="280"/>
      <c r="AEN49" s="280"/>
      <c r="AEO49" s="280"/>
      <c r="AEP49" s="280"/>
      <c r="AEQ49" s="280"/>
      <c r="AER49" s="280"/>
      <c r="AES49" s="280"/>
      <c r="AET49" s="280"/>
      <c r="AEU49" s="280"/>
      <c r="AEV49" s="280"/>
      <c r="AEW49" s="280"/>
      <c r="AEX49" s="280"/>
      <c r="AEY49" s="280"/>
      <c r="AEZ49" s="280"/>
      <c r="AFA49" s="280"/>
      <c r="AFB49" s="280"/>
      <c r="AFC49" s="280"/>
      <c r="AFD49" s="280"/>
      <c r="AFE49" s="280"/>
      <c r="AFF49" s="280"/>
      <c r="AFG49" s="280"/>
      <c r="AFH49" s="280"/>
      <c r="AFI49" s="280"/>
      <c r="AFJ49" s="280"/>
      <c r="AFK49" s="280"/>
      <c r="AFL49" s="280"/>
      <c r="AFM49" s="280"/>
      <c r="AFN49" s="280"/>
      <c r="AFO49" s="280"/>
      <c r="AFP49" s="280"/>
      <c r="AFQ49" s="280"/>
      <c r="AFR49" s="280"/>
      <c r="AFS49" s="280"/>
      <c r="AFT49" s="280"/>
      <c r="AFU49" s="280"/>
      <c r="AFV49" s="280"/>
      <c r="AFW49" s="280"/>
      <c r="AFX49" s="280"/>
      <c r="AFY49" s="280"/>
      <c r="AFZ49" s="280"/>
      <c r="AGA49" s="280"/>
      <c r="AGB49" s="280"/>
      <c r="AGC49" s="280"/>
      <c r="AGD49" s="280"/>
      <c r="AGE49" s="280"/>
      <c r="AGF49" s="280"/>
      <c r="AGG49" s="280"/>
      <c r="AGH49" s="280"/>
      <c r="AGI49" s="280"/>
      <c r="AGJ49" s="280"/>
      <c r="AGK49" s="280"/>
      <c r="AGL49" s="280"/>
      <c r="AGM49" s="280"/>
      <c r="AGN49" s="280"/>
      <c r="AGO49" s="280"/>
      <c r="AGP49" s="280"/>
      <c r="AGQ49" s="280"/>
      <c r="AGR49" s="280"/>
      <c r="AGS49" s="280"/>
      <c r="AGT49" s="280"/>
      <c r="AGU49" s="280"/>
      <c r="AGV49" s="280"/>
      <c r="AGW49" s="280"/>
      <c r="AGX49" s="280"/>
      <c r="AGY49" s="280"/>
      <c r="AGZ49" s="280"/>
      <c r="AHA49" s="280"/>
      <c r="AHB49" s="280"/>
      <c r="AHC49" s="280"/>
      <c r="AHD49" s="280"/>
      <c r="AHE49" s="280"/>
      <c r="AHF49" s="280"/>
      <c r="AHG49" s="280"/>
      <c r="AHH49" s="280"/>
      <c r="AHI49" s="280"/>
      <c r="AHJ49" s="280"/>
      <c r="AHK49" s="280"/>
      <c r="AHL49" s="280"/>
      <c r="AHM49" s="280"/>
      <c r="AHN49" s="280"/>
      <c r="AHO49" s="280"/>
      <c r="AHP49" s="280"/>
      <c r="AHQ49" s="280"/>
      <c r="AHR49" s="280"/>
      <c r="AHS49" s="280"/>
      <c r="AHT49" s="280"/>
      <c r="AHU49" s="280"/>
      <c r="AHV49" s="280"/>
      <c r="AHW49" s="280"/>
      <c r="AHX49" s="280"/>
      <c r="AHY49" s="280"/>
      <c r="AHZ49" s="280"/>
      <c r="AIA49" s="280"/>
      <c r="AIB49" s="280"/>
      <c r="AIC49" s="280"/>
      <c r="AID49" s="280"/>
      <c r="AIE49" s="280"/>
      <c r="AIF49" s="280"/>
      <c r="AIG49" s="280"/>
      <c r="AIH49" s="280"/>
      <c r="AII49" s="280"/>
      <c r="AIJ49" s="280"/>
      <c r="AIK49" s="280"/>
      <c r="AIL49" s="280"/>
      <c r="AIM49" s="280"/>
      <c r="AIN49" s="280"/>
      <c r="AIO49" s="280"/>
      <c r="AIP49" s="280"/>
      <c r="AIQ49" s="280"/>
      <c r="AIR49" s="280"/>
      <c r="AIS49" s="280"/>
      <c r="AIT49" s="280"/>
      <c r="AIU49" s="280"/>
      <c r="AIV49" s="280"/>
      <c r="AIW49" s="280"/>
      <c r="AIX49" s="280"/>
      <c r="AIY49" s="280"/>
      <c r="AIZ49" s="280"/>
      <c r="AJA49" s="280"/>
      <c r="AJB49" s="280"/>
      <c r="AJC49" s="280"/>
      <c r="AJD49" s="280"/>
      <c r="AJE49" s="280"/>
      <c r="AJF49" s="280"/>
      <c r="AJG49" s="280"/>
      <c r="AJH49" s="280"/>
      <c r="AJI49" s="280"/>
      <c r="AJJ49" s="280"/>
      <c r="AJK49" s="280"/>
      <c r="AJL49" s="280"/>
      <c r="AJM49" s="280"/>
      <c r="AJN49" s="280"/>
      <c r="AJO49" s="280"/>
      <c r="AJP49" s="280"/>
      <c r="AJQ49" s="280"/>
      <c r="AJR49" s="280"/>
      <c r="AJS49" s="280"/>
      <c r="AJT49" s="280"/>
      <c r="AJU49" s="280"/>
      <c r="AJV49" s="280"/>
      <c r="AJW49" s="280"/>
      <c r="AJX49" s="280"/>
      <c r="AJY49" s="280"/>
      <c r="AJZ49" s="280"/>
      <c r="AKA49" s="280"/>
      <c r="AKB49" s="280"/>
      <c r="AKC49" s="280"/>
      <c r="AKD49" s="280"/>
      <c r="AKE49" s="280"/>
      <c r="AKF49" s="280"/>
      <c r="AKG49" s="280"/>
      <c r="AKH49" s="280"/>
      <c r="AKI49" s="280"/>
      <c r="AKJ49" s="280"/>
      <c r="AKK49" s="280"/>
      <c r="AKL49" s="280"/>
      <c r="AKM49" s="280"/>
      <c r="AKN49" s="280"/>
      <c r="AKO49" s="280"/>
      <c r="AKP49" s="280"/>
      <c r="AKQ49" s="280"/>
      <c r="AKR49" s="280"/>
      <c r="AKS49" s="280"/>
      <c r="AKT49" s="280"/>
      <c r="AKU49" s="280"/>
      <c r="AKV49" s="280"/>
      <c r="AKW49" s="280"/>
      <c r="AKX49" s="280"/>
      <c r="AKY49" s="280"/>
      <c r="AKZ49" s="280"/>
      <c r="ALA49" s="280"/>
      <c r="ALB49" s="280"/>
      <c r="ALC49" s="280"/>
      <c r="ALD49" s="280"/>
      <c r="ALE49" s="280"/>
      <c r="ALF49" s="280"/>
      <c r="ALG49" s="280"/>
      <c r="ALH49" s="280"/>
      <c r="ALI49" s="280"/>
      <c r="ALJ49" s="280"/>
      <c r="ALK49" s="280"/>
      <c r="ALL49" s="280"/>
      <c r="ALM49" s="280"/>
      <c r="ALN49" s="280"/>
      <c r="ALO49" s="280"/>
      <c r="ALP49" s="280"/>
      <c r="ALQ49" s="280"/>
      <c r="ALR49" s="280"/>
      <c r="ALS49" s="280"/>
      <c r="ALT49" s="280"/>
      <c r="ALU49" s="280"/>
      <c r="ALV49" s="280"/>
      <c r="ALW49" s="280"/>
      <c r="ALX49" s="280"/>
      <c r="ALY49" s="280"/>
      <c r="ALZ49" s="280"/>
      <c r="AMA49" s="280"/>
      <c r="AMB49" s="280"/>
      <c r="AMC49" s="280"/>
      <c r="AMD49" s="280"/>
      <c r="AME49" s="280"/>
      <c r="AMF49" s="280"/>
      <c r="AMG49" s="280"/>
      <c r="AMH49" s="280"/>
      <c r="AMI49" s="280"/>
      <c r="AMJ49" s="280"/>
      <c r="AMK49" s="280"/>
      <c r="AML49" s="280"/>
      <c r="AMM49" s="280"/>
      <c r="AMN49" s="280"/>
      <c r="AMO49" s="280"/>
      <c r="AMP49" s="280"/>
      <c r="AMQ49" s="280"/>
      <c r="AMR49" s="280"/>
      <c r="AMS49" s="280"/>
      <c r="AMT49" s="280"/>
      <c r="AMU49" s="280"/>
      <c r="AMV49" s="280"/>
      <c r="AMW49" s="280"/>
      <c r="AMX49" s="280"/>
      <c r="AMY49" s="280"/>
      <c r="AMZ49" s="280"/>
      <c r="ANA49" s="280"/>
      <c r="ANB49" s="280"/>
      <c r="ANC49" s="280"/>
      <c r="AND49" s="280"/>
      <c r="ANE49" s="280"/>
      <c r="ANF49" s="280"/>
      <c r="ANG49" s="280"/>
      <c r="ANH49" s="280"/>
      <c r="ANI49" s="280"/>
      <c r="ANJ49" s="280"/>
      <c r="ANK49" s="280"/>
      <c r="ANL49" s="280"/>
      <c r="ANM49" s="280"/>
      <c r="ANN49" s="280"/>
      <c r="ANO49" s="280"/>
      <c r="ANP49" s="280"/>
      <c r="ANQ49" s="280"/>
      <c r="ANR49" s="280"/>
      <c r="ANS49" s="280"/>
      <c r="ANT49" s="280"/>
      <c r="ANU49" s="280"/>
      <c r="ANV49" s="280"/>
      <c r="ANW49" s="280"/>
      <c r="ANX49" s="280"/>
      <c r="ANY49" s="280"/>
      <c r="ANZ49" s="280"/>
      <c r="AOA49" s="280"/>
      <c r="AOB49" s="280"/>
      <c r="AOC49" s="280"/>
      <c r="AOD49" s="280"/>
      <c r="AOE49" s="280"/>
      <c r="AOF49" s="280"/>
      <c r="AOG49" s="280"/>
      <c r="AOH49" s="280"/>
      <c r="AOI49" s="280"/>
      <c r="AOJ49" s="280"/>
      <c r="AOK49" s="280"/>
      <c r="AOL49" s="280"/>
      <c r="AOM49" s="280"/>
      <c r="AON49" s="280"/>
      <c r="AOO49" s="280"/>
      <c r="AOP49" s="280"/>
      <c r="AOQ49" s="280"/>
      <c r="AOR49" s="280"/>
      <c r="AOS49" s="280"/>
      <c r="AOT49" s="280"/>
      <c r="AOU49" s="280"/>
      <c r="AOV49" s="280"/>
      <c r="AOW49" s="280"/>
      <c r="AOX49" s="280"/>
      <c r="AOY49" s="280"/>
      <c r="AOZ49" s="280"/>
      <c r="APA49" s="280"/>
      <c r="APB49" s="280"/>
      <c r="APC49" s="280"/>
      <c r="APD49" s="280"/>
      <c r="APE49" s="280"/>
      <c r="APF49" s="280"/>
      <c r="APG49" s="280"/>
      <c r="APH49" s="280"/>
      <c r="API49" s="280"/>
      <c r="APJ49" s="280"/>
      <c r="APK49" s="280"/>
      <c r="APL49" s="280"/>
      <c r="APM49" s="280"/>
      <c r="APN49" s="280"/>
      <c r="APO49" s="280"/>
      <c r="APP49" s="280"/>
      <c r="APQ49" s="280"/>
      <c r="APR49" s="280"/>
      <c r="APS49" s="280"/>
      <c r="APT49" s="280"/>
      <c r="APU49" s="280"/>
      <c r="APV49" s="280"/>
      <c r="APW49" s="280"/>
      <c r="APX49" s="280"/>
      <c r="APY49" s="280"/>
      <c r="APZ49" s="280"/>
      <c r="AQA49" s="280"/>
      <c r="AQB49" s="280"/>
      <c r="AQC49" s="280"/>
      <c r="AQD49" s="280"/>
      <c r="AQE49" s="280"/>
      <c r="AQF49" s="280"/>
      <c r="AQG49" s="280"/>
      <c r="AQH49" s="280"/>
      <c r="AQI49" s="280"/>
      <c r="AQJ49" s="280"/>
      <c r="AQK49" s="280"/>
      <c r="AQL49" s="280"/>
      <c r="AQM49" s="280"/>
      <c r="AQN49" s="280"/>
      <c r="AQO49" s="280"/>
      <c r="AQP49" s="280"/>
      <c r="AQQ49" s="280"/>
      <c r="AQR49" s="280"/>
      <c r="AQS49" s="280"/>
      <c r="AQT49" s="280"/>
      <c r="AQU49" s="280"/>
      <c r="AQV49" s="280"/>
      <c r="AQW49" s="280"/>
      <c r="AQX49" s="280"/>
      <c r="AQY49" s="280"/>
      <c r="AQZ49" s="280"/>
      <c r="ARA49" s="280"/>
      <c r="ARB49" s="280"/>
      <c r="ARC49" s="280"/>
      <c r="ARD49" s="280"/>
      <c r="ARE49" s="280"/>
      <c r="ARF49" s="280"/>
      <c r="ARG49" s="280"/>
      <c r="ARH49" s="280"/>
      <c r="ARI49" s="280"/>
      <c r="ARJ49" s="280"/>
      <c r="ARK49" s="280"/>
      <c r="ARL49" s="280"/>
      <c r="ARM49" s="280"/>
      <c r="ARN49" s="280"/>
      <c r="ARO49" s="280"/>
      <c r="ARP49" s="280"/>
      <c r="ARQ49" s="280"/>
      <c r="ARR49" s="280"/>
      <c r="ARS49" s="280"/>
      <c r="ART49" s="280"/>
      <c r="ARU49" s="280"/>
      <c r="ARV49" s="280"/>
      <c r="ARW49" s="280"/>
      <c r="ARX49" s="280"/>
      <c r="ARY49" s="280"/>
      <c r="ARZ49" s="280"/>
      <c r="ASA49" s="280"/>
      <c r="ASB49" s="280"/>
      <c r="ASC49" s="280"/>
      <c r="ASD49" s="280"/>
      <c r="ASE49" s="280"/>
      <c r="ASF49" s="280"/>
      <c r="ASG49" s="280"/>
      <c r="ASH49" s="280"/>
      <c r="ASI49" s="280"/>
      <c r="ASJ49" s="280"/>
      <c r="ASK49" s="280"/>
      <c r="ASL49" s="280"/>
      <c r="ASM49" s="280"/>
      <c r="ASN49" s="280"/>
      <c r="ASO49" s="280"/>
      <c r="ASP49" s="280"/>
      <c r="ASQ49" s="280"/>
      <c r="ASR49" s="280"/>
      <c r="ASS49" s="280"/>
      <c r="AST49" s="280"/>
      <c r="ASU49" s="280"/>
      <c r="ASV49" s="280"/>
      <c r="ASW49" s="280"/>
      <c r="ASX49" s="280"/>
      <c r="ASY49" s="280"/>
      <c r="ASZ49" s="280"/>
      <c r="ATA49" s="280"/>
      <c r="ATB49" s="280"/>
      <c r="ATC49" s="280"/>
      <c r="ATD49" s="280"/>
      <c r="ATE49" s="280"/>
      <c r="ATF49" s="280"/>
      <c r="ATG49" s="280"/>
      <c r="ATH49" s="280"/>
      <c r="ATI49" s="280"/>
      <c r="ATJ49" s="280"/>
      <c r="ATK49" s="280"/>
      <c r="ATL49" s="280"/>
      <c r="ATM49" s="280"/>
      <c r="ATN49" s="280"/>
      <c r="ATO49" s="280"/>
      <c r="ATP49" s="280"/>
      <c r="ATQ49" s="280"/>
      <c r="ATR49" s="280"/>
      <c r="ATS49" s="280"/>
      <c r="ATT49" s="280"/>
      <c r="ATU49" s="280"/>
      <c r="ATV49" s="280"/>
      <c r="ATW49" s="280"/>
      <c r="ATX49" s="280"/>
      <c r="ATY49" s="280"/>
      <c r="ATZ49" s="280"/>
      <c r="AUA49" s="280"/>
      <c r="AUB49" s="280"/>
      <c r="AUC49" s="280"/>
      <c r="AUD49" s="280"/>
      <c r="AUE49" s="280"/>
      <c r="AUF49" s="280"/>
      <c r="AUG49" s="280"/>
      <c r="AUH49" s="280"/>
      <c r="AUI49" s="280"/>
      <c r="AUJ49" s="280"/>
      <c r="AUK49" s="280"/>
      <c r="AUL49" s="280"/>
      <c r="AUM49" s="280"/>
      <c r="AUN49" s="280"/>
      <c r="AUO49" s="280"/>
      <c r="AUP49" s="280"/>
      <c r="AUQ49" s="280"/>
      <c r="AUR49" s="280"/>
      <c r="AUS49" s="280"/>
      <c r="AUT49" s="280"/>
      <c r="AUU49" s="280"/>
      <c r="AUV49" s="280"/>
      <c r="AUW49" s="280"/>
      <c r="AUX49" s="280"/>
      <c r="AUY49" s="280"/>
      <c r="AUZ49" s="280"/>
      <c r="AVA49" s="280"/>
      <c r="AVB49" s="280"/>
      <c r="AVC49" s="280"/>
      <c r="AVD49" s="280"/>
      <c r="AVE49" s="280"/>
      <c r="AVF49" s="280"/>
      <c r="AVG49" s="280"/>
      <c r="AVH49" s="280"/>
      <c r="AVI49" s="280"/>
      <c r="AVJ49" s="280"/>
      <c r="AVK49" s="280"/>
      <c r="AVL49" s="280"/>
      <c r="AVM49" s="280"/>
      <c r="AVN49" s="280"/>
      <c r="AVO49" s="280"/>
      <c r="AVP49" s="280"/>
      <c r="AVQ49" s="280"/>
      <c r="AVR49" s="280"/>
      <c r="AVS49" s="280"/>
      <c r="AVT49" s="280"/>
      <c r="AVU49" s="280"/>
      <c r="AVV49" s="280"/>
      <c r="AVW49" s="280"/>
      <c r="AVX49" s="280"/>
      <c r="AVY49" s="280"/>
      <c r="AVZ49" s="280"/>
      <c r="AWA49" s="280"/>
      <c r="AWB49" s="280"/>
      <c r="AWC49" s="280"/>
      <c r="AWD49" s="280"/>
      <c r="AWE49" s="280"/>
      <c r="AWF49" s="280"/>
      <c r="AWG49" s="280"/>
      <c r="AWH49" s="280"/>
      <c r="AWI49" s="280"/>
      <c r="AWJ49" s="280"/>
      <c r="AWK49" s="280"/>
      <c r="AWL49" s="280"/>
      <c r="AWM49" s="280"/>
      <c r="AWN49" s="280"/>
      <c r="AWO49" s="280"/>
      <c r="AWP49" s="280"/>
      <c r="AWQ49" s="280"/>
      <c r="AWR49" s="280"/>
      <c r="AWS49" s="280"/>
      <c r="AWT49" s="280"/>
      <c r="AWU49" s="280"/>
      <c r="AWV49" s="280"/>
      <c r="AWW49" s="280"/>
      <c r="AWX49" s="280"/>
      <c r="AWY49" s="280"/>
      <c r="AWZ49" s="280"/>
      <c r="AXA49" s="280"/>
      <c r="AXB49" s="280"/>
      <c r="AXC49" s="280"/>
      <c r="AXD49" s="280"/>
      <c r="AXE49" s="280"/>
      <c r="AXF49" s="280"/>
      <c r="AXG49" s="280"/>
      <c r="AXH49" s="280"/>
      <c r="AXI49" s="280"/>
      <c r="AXJ49" s="280"/>
      <c r="AXK49" s="280"/>
      <c r="AXL49" s="280"/>
      <c r="AXM49" s="280"/>
      <c r="AXN49" s="280"/>
      <c r="AXO49" s="280"/>
      <c r="AXP49" s="280"/>
      <c r="AXQ49" s="280"/>
      <c r="AXR49" s="280"/>
      <c r="AXS49" s="280"/>
      <c r="AXT49" s="280"/>
      <c r="AXU49" s="280"/>
      <c r="AXV49" s="280"/>
      <c r="AXW49" s="280"/>
      <c r="AXX49" s="280"/>
      <c r="AXY49" s="280"/>
      <c r="AXZ49" s="280"/>
      <c r="AYA49" s="280"/>
      <c r="AYB49" s="280"/>
      <c r="AYC49" s="280"/>
      <c r="AYD49" s="280"/>
      <c r="AYE49" s="280"/>
      <c r="AYF49" s="280"/>
      <c r="AYG49" s="280"/>
      <c r="AYH49" s="280"/>
      <c r="AYI49" s="280"/>
      <c r="AYJ49" s="280"/>
      <c r="AYK49" s="280"/>
      <c r="AYL49" s="280"/>
      <c r="AYM49" s="280"/>
      <c r="AYN49" s="280"/>
      <c r="AYO49" s="280"/>
      <c r="AYP49" s="280"/>
      <c r="AYQ49" s="280"/>
      <c r="AYR49" s="280"/>
      <c r="AYS49" s="280"/>
      <c r="AYT49" s="280"/>
      <c r="AYU49" s="280"/>
      <c r="AYV49" s="280"/>
      <c r="AYW49" s="280"/>
      <c r="AYX49" s="280"/>
      <c r="AYY49" s="280"/>
      <c r="AYZ49" s="280"/>
      <c r="AZA49" s="280"/>
      <c r="AZB49" s="280"/>
      <c r="AZC49" s="280"/>
      <c r="AZD49" s="280"/>
      <c r="AZE49" s="280"/>
      <c r="AZF49" s="280"/>
      <c r="AZG49" s="280"/>
      <c r="AZH49" s="280"/>
      <c r="AZI49" s="280"/>
      <c r="AZJ49" s="280"/>
      <c r="AZK49" s="280"/>
      <c r="AZL49" s="280"/>
      <c r="AZM49" s="280"/>
      <c r="AZN49" s="280"/>
      <c r="AZO49" s="280"/>
      <c r="AZP49" s="280"/>
      <c r="AZQ49" s="280"/>
      <c r="AZR49" s="280"/>
      <c r="AZS49" s="280"/>
      <c r="AZT49" s="280"/>
      <c r="AZU49" s="280"/>
      <c r="AZV49" s="280"/>
      <c r="AZW49" s="280"/>
      <c r="AZX49" s="280"/>
      <c r="AZY49" s="280"/>
      <c r="AZZ49" s="280"/>
      <c r="BAA49" s="280"/>
      <c r="BAB49" s="280"/>
      <c r="BAC49" s="280"/>
      <c r="BAD49" s="280"/>
      <c r="BAE49" s="280"/>
      <c r="BAF49" s="280"/>
      <c r="BAG49" s="280"/>
      <c r="BAH49" s="280"/>
      <c r="BAI49" s="280"/>
      <c r="BAJ49" s="280"/>
      <c r="BAK49" s="280"/>
      <c r="BAL49" s="280"/>
      <c r="BAM49" s="280"/>
      <c r="BAN49" s="280"/>
      <c r="BAO49" s="280"/>
      <c r="BAP49" s="280"/>
      <c r="BAQ49" s="280"/>
      <c r="BAR49" s="280"/>
      <c r="BAS49" s="280"/>
      <c r="BAT49" s="280"/>
      <c r="BAU49" s="280"/>
      <c r="BAV49" s="280"/>
      <c r="BAW49" s="280"/>
      <c r="BAX49" s="280"/>
      <c r="BAY49" s="280"/>
      <c r="BAZ49" s="280"/>
      <c r="BBA49" s="280"/>
      <c r="BBB49" s="280"/>
      <c r="BBC49" s="280"/>
      <c r="BBD49" s="280"/>
      <c r="BBE49" s="280"/>
      <c r="BBF49" s="280"/>
      <c r="BBG49" s="280"/>
      <c r="BBH49" s="280"/>
      <c r="BBI49" s="280"/>
      <c r="BBJ49" s="280"/>
      <c r="BBK49" s="280"/>
      <c r="BBL49" s="280"/>
      <c r="BBM49" s="280"/>
      <c r="BBN49" s="280"/>
      <c r="BBO49" s="280"/>
      <c r="BBP49" s="280"/>
      <c r="BBQ49" s="280"/>
      <c r="BBR49" s="280"/>
      <c r="BBS49" s="280"/>
      <c r="BBT49" s="280"/>
      <c r="BBU49" s="280"/>
      <c r="BBV49" s="280"/>
      <c r="BBW49" s="280"/>
      <c r="BBX49" s="280"/>
      <c r="BBY49" s="280"/>
      <c r="BBZ49" s="280"/>
      <c r="BCA49" s="280"/>
      <c r="BCB49" s="280"/>
      <c r="BCC49" s="280"/>
      <c r="BCD49" s="280"/>
      <c r="BCE49" s="280"/>
      <c r="BCF49" s="280"/>
      <c r="BCG49" s="280"/>
      <c r="BCH49" s="280"/>
      <c r="BCI49" s="280"/>
      <c r="BCJ49" s="280"/>
      <c r="BCK49" s="280"/>
      <c r="BCL49" s="280"/>
      <c r="BCM49" s="280"/>
      <c r="BCN49" s="280"/>
      <c r="BCO49" s="280"/>
      <c r="BCP49" s="280"/>
      <c r="BCQ49" s="280"/>
      <c r="BCR49" s="280"/>
      <c r="BCS49" s="280"/>
      <c r="BCT49" s="280"/>
      <c r="BCU49" s="280"/>
      <c r="BCV49" s="280"/>
      <c r="BCW49" s="280"/>
      <c r="BCX49" s="280"/>
      <c r="BCY49" s="280"/>
      <c r="BCZ49" s="280"/>
      <c r="BDA49" s="280"/>
      <c r="BDB49" s="280"/>
      <c r="BDC49" s="280"/>
      <c r="BDD49" s="280"/>
      <c r="BDE49" s="280"/>
      <c r="BDF49" s="280"/>
      <c r="BDG49" s="280"/>
      <c r="BDH49" s="280"/>
      <c r="BDI49" s="280"/>
      <c r="BDJ49" s="280"/>
      <c r="BDK49" s="280"/>
      <c r="BDL49" s="280"/>
      <c r="BDM49" s="280"/>
      <c r="BDN49" s="280"/>
      <c r="BDO49" s="280"/>
      <c r="BDP49" s="280"/>
      <c r="BDQ49" s="280"/>
      <c r="BDR49" s="280"/>
      <c r="BDS49" s="280"/>
      <c r="BDT49" s="280"/>
      <c r="BDU49" s="280"/>
      <c r="BDV49" s="280"/>
      <c r="BDW49" s="280"/>
      <c r="BDX49" s="280"/>
      <c r="BDY49" s="280"/>
      <c r="BDZ49" s="280"/>
      <c r="BEA49" s="280"/>
      <c r="BEB49" s="280"/>
      <c r="BEC49" s="280"/>
      <c r="BED49" s="280"/>
      <c r="BEE49" s="280"/>
      <c r="BEF49" s="280"/>
      <c r="BEG49" s="280"/>
      <c r="BEH49" s="280"/>
      <c r="BEI49" s="280"/>
      <c r="BEJ49" s="280"/>
      <c r="BEK49" s="280"/>
      <c r="BEL49" s="280"/>
      <c r="BEM49" s="280"/>
      <c r="BEN49" s="280"/>
      <c r="BEO49" s="280"/>
      <c r="BEP49" s="280"/>
      <c r="BEQ49" s="280"/>
      <c r="BER49" s="280"/>
      <c r="BES49" s="280"/>
      <c r="BET49" s="280"/>
      <c r="BEU49" s="280"/>
      <c r="BEV49" s="280"/>
      <c r="BEW49" s="280"/>
      <c r="BEX49" s="280"/>
      <c r="BEY49" s="280"/>
      <c r="BEZ49" s="280"/>
      <c r="BFA49" s="280"/>
      <c r="BFB49" s="280"/>
      <c r="BFC49" s="280"/>
      <c r="BFD49" s="280"/>
      <c r="BFE49" s="280"/>
      <c r="BFF49" s="280"/>
      <c r="BFG49" s="280"/>
      <c r="BFH49" s="280"/>
      <c r="BFI49" s="280"/>
      <c r="BFJ49" s="280"/>
      <c r="BFK49" s="280"/>
      <c r="BFL49" s="280"/>
      <c r="BFM49" s="280"/>
      <c r="BFN49" s="280"/>
      <c r="BFO49" s="280"/>
      <c r="BFP49" s="280"/>
      <c r="BFQ49" s="280"/>
      <c r="BFR49" s="280"/>
      <c r="BFS49" s="280"/>
      <c r="BFT49" s="280"/>
      <c r="BFU49" s="280"/>
      <c r="BFV49" s="280"/>
      <c r="BFW49" s="280"/>
      <c r="BFX49" s="280"/>
      <c r="BFY49" s="280"/>
      <c r="BFZ49" s="280"/>
      <c r="BGA49" s="280"/>
      <c r="BGB49" s="280"/>
      <c r="BGC49" s="280"/>
      <c r="BGD49" s="280"/>
      <c r="BGE49" s="280"/>
      <c r="BGF49" s="280"/>
      <c r="BGG49" s="280"/>
      <c r="BGH49" s="280"/>
      <c r="BGI49" s="280"/>
      <c r="BGJ49" s="280"/>
      <c r="BGK49" s="280"/>
      <c r="BGL49" s="280"/>
      <c r="BGM49" s="280"/>
      <c r="BGN49" s="280"/>
      <c r="BGO49" s="280"/>
      <c r="BGP49" s="280"/>
      <c r="BGQ49" s="280"/>
      <c r="BGR49" s="280"/>
      <c r="BGS49" s="280"/>
      <c r="BGT49" s="280"/>
      <c r="BGU49" s="280"/>
      <c r="BGV49" s="280"/>
      <c r="BGW49" s="280"/>
      <c r="BGX49" s="280"/>
      <c r="BGY49" s="280"/>
      <c r="BGZ49" s="280"/>
      <c r="BHA49" s="280"/>
      <c r="BHB49" s="280"/>
      <c r="BHC49" s="280"/>
      <c r="BHD49" s="280"/>
      <c r="BHE49" s="280"/>
      <c r="BHF49" s="280"/>
      <c r="BHG49" s="280"/>
      <c r="BHH49" s="280"/>
      <c r="BHI49" s="280"/>
      <c r="BHJ49" s="280"/>
      <c r="BHK49" s="280"/>
      <c r="BHL49" s="280"/>
      <c r="BHM49" s="280"/>
      <c r="BHN49" s="280"/>
      <c r="BHO49" s="280"/>
      <c r="BHP49" s="280"/>
      <c r="BHQ49" s="280"/>
      <c r="BHR49" s="280"/>
      <c r="BHS49" s="280"/>
      <c r="BHT49" s="280"/>
      <c r="BHU49" s="280"/>
      <c r="BHV49" s="280"/>
      <c r="BHW49" s="280"/>
      <c r="BHX49" s="280"/>
      <c r="BHY49" s="280"/>
      <c r="BHZ49" s="280"/>
      <c r="BIA49" s="280"/>
      <c r="BIB49" s="280"/>
      <c r="BIC49" s="280"/>
      <c r="BID49" s="280"/>
      <c r="BIE49" s="280"/>
      <c r="BIF49" s="280"/>
      <c r="BIG49" s="280"/>
      <c r="BIH49" s="280"/>
      <c r="BII49" s="280"/>
      <c r="BIJ49" s="280"/>
      <c r="BIK49" s="280"/>
      <c r="BIL49" s="280"/>
      <c r="BIM49" s="280"/>
      <c r="BIN49" s="280"/>
      <c r="BIO49" s="280"/>
      <c r="BIP49" s="280"/>
      <c r="BIQ49" s="280"/>
      <c r="BIR49" s="280"/>
      <c r="BIS49" s="280"/>
      <c r="BIT49" s="280"/>
      <c r="BIU49" s="280"/>
      <c r="BIV49" s="280"/>
      <c r="BIW49" s="280"/>
      <c r="BIX49" s="280"/>
      <c r="BIY49" s="280"/>
      <c r="BIZ49" s="280"/>
      <c r="BJA49" s="280"/>
      <c r="BJB49" s="280"/>
      <c r="BJC49" s="280"/>
      <c r="BJD49" s="280"/>
      <c r="BJE49" s="280"/>
      <c r="BJF49" s="280"/>
      <c r="BJG49" s="280"/>
      <c r="BJH49" s="280"/>
      <c r="BJI49" s="280"/>
      <c r="BJJ49" s="280"/>
      <c r="BJK49" s="280"/>
      <c r="BJL49" s="280"/>
      <c r="BJM49" s="280"/>
      <c r="BJN49" s="280"/>
      <c r="BJO49" s="280"/>
      <c r="BJP49" s="280"/>
      <c r="BJQ49" s="280"/>
      <c r="BJR49" s="280"/>
      <c r="BJS49" s="280"/>
      <c r="BJT49" s="280"/>
      <c r="BJU49" s="280"/>
      <c r="BJV49" s="280"/>
      <c r="BJW49" s="280"/>
      <c r="BJX49" s="280"/>
      <c r="BJY49" s="280"/>
      <c r="BJZ49" s="280"/>
      <c r="BKA49" s="280"/>
      <c r="BKB49" s="280"/>
      <c r="BKC49" s="280"/>
      <c r="BKD49" s="280"/>
      <c r="BKE49" s="280"/>
      <c r="BKF49" s="280"/>
      <c r="BKG49" s="280"/>
      <c r="BKH49" s="280"/>
      <c r="BKI49" s="280"/>
      <c r="BKJ49" s="280"/>
      <c r="BKK49" s="280"/>
      <c r="BKL49" s="280"/>
      <c r="BKM49" s="280"/>
      <c r="BKN49" s="280"/>
      <c r="BKO49" s="280"/>
      <c r="BKP49" s="280"/>
      <c r="BKQ49" s="280"/>
      <c r="BKR49" s="280"/>
      <c r="BKS49" s="280"/>
      <c r="BKT49" s="280"/>
      <c r="BKU49" s="280"/>
      <c r="BKV49" s="280"/>
      <c r="BKW49" s="280"/>
      <c r="BKX49" s="280"/>
      <c r="BKY49" s="280"/>
      <c r="BKZ49" s="280"/>
      <c r="BLA49" s="280"/>
      <c r="BLB49" s="280"/>
      <c r="BLC49" s="280"/>
      <c r="BLD49" s="280"/>
      <c r="BLE49" s="280"/>
      <c r="BLF49" s="280"/>
      <c r="BLG49" s="280"/>
      <c r="BLH49" s="280"/>
      <c r="BLI49" s="280"/>
      <c r="BLJ49" s="280"/>
      <c r="BLK49" s="280"/>
      <c r="BLL49" s="280"/>
      <c r="BLM49" s="280"/>
      <c r="BLN49" s="280"/>
      <c r="BLO49" s="280"/>
      <c r="BLP49" s="280"/>
      <c r="BLQ49" s="280"/>
      <c r="BLR49" s="280"/>
      <c r="BLS49" s="280"/>
      <c r="BLT49" s="280"/>
      <c r="BLU49" s="280"/>
      <c r="BLV49" s="280"/>
      <c r="BLW49" s="280"/>
      <c r="BLX49" s="280"/>
      <c r="BLY49" s="280"/>
      <c r="BLZ49" s="280"/>
      <c r="BMA49" s="280"/>
      <c r="BMB49" s="280"/>
      <c r="BMC49" s="280"/>
      <c r="BMD49" s="280"/>
      <c r="BME49" s="280"/>
      <c r="BMF49" s="280"/>
      <c r="BMG49" s="280"/>
      <c r="BMH49" s="280"/>
      <c r="BMI49" s="280"/>
      <c r="BMJ49" s="280"/>
      <c r="BMK49" s="280"/>
      <c r="BML49" s="280"/>
      <c r="BMM49" s="280"/>
      <c r="BMN49" s="280"/>
      <c r="BMO49" s="280"/>
      <c r="BMP49" s="280"/>
      <c r="BMQ49" s="280"/>
      <c r="BMR49" s="280"/>
      <c r="BMS49" s="280"/>
      <c r="BMT49" s="280"/>
      <c r="BMU49" s="280"/>
      <c r="BMV49" s="280"/>
      <c r="BMW49" s="280"/>
      <c r="BMX49" s="280"/>
      <c r="BMY49" s="280"/>
      <c r="BMZ49" s="280"/>
      <c r="BNA49" s="280"/>
      <c r="BNB49" s="280"/>
      <c r="BNC49" s="280"/>
      <c r="BND49" s="280"/>
      <c r="BNE49" s="280"/>
      <c r="BNF49" s="280"/>
      <c r="BNG49" s="280"/>
      <c r="BNH49" s="280"/>
      <c r="BNI49" s="280"/>
      <c r="BNJ49" s="280"/>
      <c r="BNK49" s="280"/>
      <c r="BNL49" s="280"/>
      <c r="BNM49" s="280"/>
      <c r="BNN49" s="280"/>
      <c r="BNO49" s="280"/>
      <c r="BNP49" s="280"/>
      <c r="BNQ49" s="280"/>
      <c r="BNR49" s="280"/>
      <c r="BNS49" s="280"/>
      <c r="BNT49" s="280"/>
      <c r="BNU49" s="280"/>
      <c r="BNV49" s="280"/>
      <c r="BNW49" s="280"/>
      <c r="BNX49" s="280"/>
      <c r="BNY49" s="280"/>
      <c r="BNZ49" s="280"/>
      <c r="BOA49" s="280"/>
      <c r="BOB49" s="280"/>
      <c r="BOC49" s="280"/>
      <c r="BOD49" s="280"/>
      <c r="BOE49" s="280"/>
      <c r="BOF49" s="280"/>
      <c r="BOG49" s="280"/>
      <c r="BOH49" s="280"/>
      <c r="BOI49" s="280"/>
      <c r="BOJ49" s="280"/>
      <c r="BOK49" s="280"/>
      <c r="BOL49" s="280"/>
      <c r="BOM49" s="280"/>
      <c r="BON49" s="280"/>
      <c r="BOO49" s="280"/>
      <c r="BOP49" s="280"/>
      <c r="BOQ49" s="280"/>
      <c r="BOR49" s="280"/>
      <c r="BOS49" s="280"/>
      <c r="BOT49" s="280"/>
      <c r="BOU49" s="280"/>
      <c r="BOV49" s="280"/>
      <c r="BOW49" s="280"/>
      <c r="BOX49" s="280"/>
      <c r="BOY49" s="280"/>
      <c r="BOZ49" s="280"/>
      <c r="BPA49" s="280"/>
      <c r="BPB49" s="280"/>
      <c r="BPC49" s="280"/>
      <c r="BPD49" s="280"/>
      <c r="BPE49" s="280"/>
      <c r="BPF49" s="280"/>
      <c r="BPG49" s="280"/>
      <c r="BPH49" s="280"/>
      <c r="BPI49" s="280"/>
      <c r="BPJ49" s="280"/>
      <c r="BPK49" s="280"/>
      <c r="BPL49" s="280"/>
      <c r="BPM49" s="280"/>
      <c r="BPN49" s="280"/>
      <c r="BPO49" s="280"/>
      <c r="BPP49" s="280"/>
      <c r="BPQ49" s="280"/>
      <c r="BPR49" s="280"/>
      <c r="BPS49" s="280"/>
      <c r="BPT49" s="280"/>
      <c r="BPU49" s="280"/>
      <c r="BPV49" s="280"/>
      <c r="BPW49" s="280"/>
      <c r="BPX49" s="280"/>
      <c r="BPY49" s="280"/>
      <c r="BPZ49" s="280"/>
      <c r="BQA49" s="280"/>
      <c r="BQB49" s="280"/>
      <c r="BQC49" s="280"/>
      <c r="BQD49" s="280"/>
      <c r="BQE49" s="280"/>
      <c r="BQF49" s="280"/>
      <c r="BQG49" s="280"/>
      <c r="BQH49" s="280"/>
      <c r="BQI49" s="280"/>
      <c r="BQJ49" s="280"/>
      <c r="BQK49" s="280"/>
      <c r="BQL49" s="280"/>
      <c r="BQM49" s="280"/>
      <c r="BQN49" s="280"/>
      <c r="BQO49" s="280"/>
      <c r="BQP49" s="280"/>
      <c r="BQQ49" s="280"/>
      <c r="BQR49" s="280"/>
      <c r="BQS49" s="280"/>
      <c r="BQT49" s="280"/>
      <c r="BQU49" s="280"/>
      <c r="BQV49" s="280"/>
      <c r="BQW49" s="280"/>
      <c r="BQX49" s="280"/>
      <c r="BQY49" s="280"/>
      <c r="BQZ49" s="280"/>
      <c r="BRA49" s="280"/>
      <c r="BRB49" s="280"/>
      <c r="BRC49" s="280"/>
      <c r="BRD49" s="280"/>
      <c r="BRE49" s="280"/>
      <c r="BRF49" s="280"/>
      <c r="BRG49" s="280"/>
      <c r="BRH49" s="280"/>
      <c r="BRI49" s="280"/>
      <c r="BRJ49" s="280"/>
      <c r="BRK49" s="280"/>
      <c r="BRL49" s="280"/>
      <c r="BRM49" s="280"/>
      <c r="BRN49" s="280"/>
      <c r="BRO49" s="280"/>
      <c r="BRP49" s="280"/>
      <c r="BRQ49" s="280"/>
      <c r="BRR49" s="280"/>
      <c r="BRS49" s="280"/>
      <c r="BRT49" s="280"/>
      <c r="BRU49" s="280"/>
      <c r="BRV49" s="280"/>
      <c r="BRW49" s="280"/>
      <c r="BRX49" s="280"/>
      <c r="BRY49" s="280"/>
      <c r="BRZ49" s="280"/>
      <c r="BSA49" s="280"/>
      <c r="BSB49" s="280"/>
      <c r="BSC49" s="280"/>
      <c r="BSD49" s="280"/>
      <c r="BSE49" s="280"/>
      <c r="BSF49" s="280"/>
      <c r="BSG49" s="280"/>
      <c r="BSH49" s="280"/>
      <c r="BSI49" s="280"/>
      <c r="BSJ49" s="280"/>
      <c r="BSK49" s="280"/>
      <c r="BSL49" s="280"/>
      <c r="BSM49" s="280"/>
      <c r="BSN49" s="280"/>
      <c r="BSO49" s="280"/>
      <c r="BSP49" s="280"/>
      <c r="BSQ49" s="280"/>
      <c r="BSR49" s="280"/>
      <c r="BSS49" s="280"/>
      <c r="BST49" s="280"/>
      <c r="BSU49" s="280"/>
      <c r="BSV49" s="280"/>
      <c r="BSW49" s="280"/>
      <c r="BSX49" s="280"/>
      <c r="BSY49" s="280"/>
      <c r="BSZ49" s="280"/>
      <c r="BTA49" s="280"/>
      <c r="BTB49" s="280"/>
      <c r="BTC49" s="280"/>
      <c r="BTD49" s="280"/>
      <c r="BTE49" s="280"/>
      <c r="BTF49" s="280"/>
      <c r="BTG49" s="280"/>
      <c r="BTH49" s="280"/>
      <c r="BTI49" s="280"/>
      <c r="BTJ49" s="280"/>
      <c r="BTK49" s="280"/>
      <c r="BTL49" s="280"/>
      <c r="BTM49" s="280"/>
      <c r="BTN49" s="280"/>
      <c r="BTO49" s="280"/>
      <c r="BTP49" s="280"/>
      <c r="BTQ49" s="280"/>
      <c r="BTR49" s="280"/>
      <c r="BTS49" s="280"/>
      <c r="BTT49" s="280"/>
      <c r="BTU49" s="280"/>
      <c r="BTV49" s="280"/>
      <c r="BTW49" s="280"/>
      <c r="BTX49" s="280"/>
      <c r="BTY49" s="280"/>
      <c r="BTZ49" s="280"/>
      <c r="BUA49" s="280"/>
      <c r="BUB49" s="280"/>
      <c r="BUC49" s="280"/>
      <c r="BUD49" s="280"/>
      <c r="BUE49" s="280"/>
      <c r="BUF49" s="280"/>
      <c r="BUG49" s="280"/>
      <c r="BUH49" s="280"/>
      <c r="BUI49" s="280"/>
      <c r="BUJ49" s="280"/>
      <c r="BUK49" s="280"/>
      <c r="BUL49" s="280"/>
      <c r="BUM49" s="280"/>
      <c r="BUN49" s="280"/>
      <c r="BUO49" s="280"/>
      <c r="BUP49" s="280"/>
      <c r="BUQ49" s="280"/>
      <c r="BUR49" s="280"/>
      <c r="BUS49" s="280"/>
      <c r="BUT49" s="280"/>
      <c r="BUU49" s="280"/>
      <c r="BUV49" s="280"/>
      <c r="BUW49" s="280"/>
      <c r="BUX49" s="280"/>
      <c r="BUY49" s="280"/>
      <c r="BUZ49" s="280"/>
      <c r="BVA49" s="280"/>
      <c r="BVB49" s="280"/>
      <c r="BVC49" s="280"/>
      <c r="BVD49" s="280"/>
      <c r="BVE49" s="280"/>
      <c r="BVF49" s="280"/>
      <c r="BVG49" s="280"/>
      <c r="BVH49" s="280"/>
      <c r="BVI49" s="280"/>
      <c r="BVJ49" s="280"/>
      <c r="BVK49" s="280"/>
      <c r="BVL49" s="280"/>
      <c r="BVM49" s="280"/>
      <c r="BVN49" s="280"/>
      <c r="BVO49" s="280"/>
      <c r="BVP49" s="280"/>
      <c r="BVQ49" s="280"/>
      <c r="BVR49" s="280"/>
      <c r="BVS49" s="280"/>
      <c r="BVT49" s="280"/>
      <c r="BVU49" s="280"/>
      <c r="BVV49" s="280"/>
      <c r="BVW49" s="280"/>
      <c r="BVX49" s="280"/>
      <c r="BVY49" s="280"/>
      <c r="BVZ49" s="280"/>
      <c r="BWA49" s="280"/>
      <c r="BWB49" s="280"/>
      <c r="BWC49" s="280"/>
      <c r="BWD49" s="280"/>
      <c r="BWE49" s="280"/>
      <c r="BWF49" s="280"/>
      <c r="BWG49" s="280"/>
      <c r="BWH49" s="280"/>
      <c r="BWI49" s="280"/>
      <c r="BWJ49" s="280"/>
      <c r="BWK49" s="280"/>
      <c r="BWL49" s="280"/>
      <c r="BWM49" s="280"/>
      <c r="BWN49" s="280"/>
      <c r="BWO49" s="280"/>
      <c r="BWP49" s="280"/>
      <c r="BWQ49" s="280"/>
      <c r="BWR49" s="280"/>
      <c r="BWS49" s="280"/>
      <c r="BWT49" s="280"/>
      <c r="BWU49" s="280"/>
      <c r="BWV49" s="280"/>
      <c r="BWW49" s="280"/>
      <c r="BWX49" s="280"/>
      <c r="BWY49" s="280"/>
      <c r="BWZ49" s="280"/>
      <c r="BXA49" s="280"/>
      <c r="BXB49" s="280"/>
      <c r="BXC49" s="280"/>
      <c r="BXD49" s="280"/>
      <c r="BXE49" s="280"/>
      <c r="BXF49" s="280"/>
      <c r="BXG49" s="280"/>
      <c r="BXH49" s="280"/>
      <c r="BXI49" s="280"/>
      <c r="BXJ49" s="280"/>
      <c r="BXK49" s="280"/>
      <c r="BXL49" s="280"/>
      <c r="BXM49" s="280"/>
      <c r="BXN49" s="280"/>
      <c r="BXO49" s="280"/>
      <c r="BXP49" s="280"/>
      <c r="BXQ49" s="280"/>
      <c r="BXR49" s="280"/>
      <c r="BXS49" s="280"/>
      <c r="BXT49" s="280"/>
      <c r="BXU49" s="280"/>
      <c r="BXV49" s="280"/>
      <c r="BXW49" s="280"/>
      <c r="BXX49" s="280"/>
      <c r="BXY49" s="280"/>
      <c r="BXZ49" s="280"/>
      <c r="BYA49" s="280"/>
      <c r="BYB49" s="280"/>
      <c r="BYC49" s="280"/>
      <c r="BYD49" s="280"/>
      <c r="BYE49" s="280"/>
      <c r="BYF49" s="280"/>
      <c r="BYG49" s="280"/>
      <c r="BYH49" s="280"/>
      <c r="BYI49" s="280"/>
      <c r="BYJ49" s="280"/>
      <c r="BYK49" s="280"/>
      <c r="BYL49" s="280"/>
      <c r="BYM49" s="280"/>
      <c r="BYN49" s="280"/>
      <c r="BYO49" s="280"/>
      <c r="BYP49" s="280"/>
      <c r="BYQ49" s="280"/>
      <c r="BYR49" s="280"/>
      <c r="BYS49" s="280"/>
      <c r="BYT49" s="280"/>
      <c r="BYU49" s="280"/>
      <c r="BYV49" s="280"/>
      <c r="BYW49" s="280"/>
      <c r="BYX49" s="280"/>
      <c r="BYY49" s="280"/>
      <c r="BYZ49" s="280"/>
      <c r="BZA49" s="280"/>
      <c r="BZB49" s="280"/>
      <c r="BZC49" s="280"/>
      <c r="BZD49" s="280"/>
      <c r="BZE49" s="280"/>
      <c r="BZF49" s="280"/>
      <c r="BZG49" s="280"/>
      <c r="BZH49" s="280"/>
      <c r="BZI49" s="280"/>
      <c r="BZJ49" s="280"/>
      <c r="BZK49" s="280"/>
      <c r="BZL49" s="280"/>
      <c r="BZM49" s="280"/>
      <c r="BZN49" s="280"/>
      <c r="BZO49" s="280"/>
      <c r="BZP49" s="280"/>
      <c r="BZQ49" s="280"/>
      <c r="BZR49" s="280"/>
      <c r="BZS49" s="280"/>
      <c r="BZT49" s="280"/>
      <c r="BZU49" s="280"/>
      <c r="BZV49" s="280"/>
      <c r="BZW49" s="280"/>
      <c r="BZX49" s="280"/>
      <c r="BZY49" s="280"/>
      <c r="BZZ49" s="280"/>
      <c r="CAA49" s="280"/>
      <c r="CAB49" s="280"/>
      <c r="CAC49" s="280"/>
      <c r="CAD49" s="280"/>
      <c r="CAE49" s="280"/>
      <c r="CAF49" s="280"/>
      <c r="CAG49" s="280"/>
      <c r="CAH49" s="280"/>
      <c r="CAI49" s="280"/>
      <c r="CAJ49" s="280"/>
      <c r="CAK49" s="280"/>
      <c r="CAL49" s="280"/>
      <c r="CAM49" s="280"/>
      <c r="CAN49" s="280"/>
      <c r="CAO49" s="280"/>
      <c r="CAP49" s="280"/>
      <c r="CAQ49" s="280"/>
      <c r="CAR49" s="280"/>
      <c r="CAS49" s="280"/>
      <c r="CAT49" s="280"/>
      <c r="CAU49" s="280"/>
      <c r="CAV49" s="280"/>
      <c r="CAW49" s="280"/>
      <c r="CAX49" s="280"/>
      <c r="CAY49" s="280"/>
      <c r="CAZ49" s="280"/>
      <c r="CBA49" s="280"/>
      <c r="CBB49" s="280"/>
      <c r="CBC49" s="280"/>
      <c r="CBD49" s="280"/>
      <c r="CBE49" s="280"/>
      <c r="CBF49" s="280"/>
      <c r="CBG49" s="280"/>
      <c r="CBH49" s="280"/>
      <c r="CBI49" s="280"/>
      <c r="CBJ49" s="280"/>
      <c r="CBK49" s="280"/>
      <c r="CBL49" s="280"/>
      <c r="CBM49" s="280"/>
      <c r="CBN49" s="280"/>
      <c r="CBO49" s="280"/>
      <c r="CBP49" s="280"/>
      <c r="CBQ49" s="280"/>
      <c r="CBR49" s="280"/>
      <c r="CBS49" s="280"/>
      <c r="CBT49" s="280"/>
      <c r="CBU49" s="280"/>
      <c r="CBV49" s="280"/>
      <c r="CBW49" s="280"/>
      <c r="CBX49" s="280"/>
      <c r="CBY49" s="280"/>
      <c r="CBZ49" s="280"/>
      <c r="CCA49" s="280"/>
      <c r="CCB49" s="280"/>
      <c r="CCC49" s="280"/>
      <c r="CCD49" s="280"/>
      <c r="CCE49" s="280"/>
      <c r="CCF49" s="280"/>
      <c r="CCG49" s="280"/>
      <c r="CCH49" s="280"/>
      <c r="CCI49" s="280"/>
      <c r="CCJ49" s="280"/>
      <c r="CCK49" s="280"/>
      <c r="CCL49" s="280"/>
      <c r="CCM49" s="280"/>
      <c r="CCN49" s="280"/>
      <c r="CCO49" s="280"/>
      <c r="CCP49" s="280"/>
      <c r="CCQ49" s="280"/>
      <c r="CCR49" s="280"/>
      <c r="CCS49" s="280"/>
      <c r="CCT49" s="280"/>
      <c r="CCU49" s="280"/>
      <c r="CCV49" s="280"/>
      <c r="CCW49" s="280"/>
      <c r="CCX49" s="280"/>
      <c r="CCY49" s="280"/>
      <c r="CCZ49" s="280"/>
      <c r="CDA49" s="280"/>
      <c r="CDB49" s="280"/>
      <c r="CDC49" s="280"/>
      <c r="CDD49" s="280"/>
      <c r="CDE49" s="280"/>
      <c r="CDF49" s="280"/>
      <c r="CDG49" s="280"/>
      <c r="CDH49" s="280"/>
      <c r="CDI49" s="280"/>
      <c r="CDJ49" s="280"/>
      <c r="CDK49" s="280"/>
      <c r="CDL49" s="280"/>
      <c r="CDM49" s="280"/>
      <c r="CDN49" s="280"/>
      <c r="CDO49" s="280"/>
      <c r="CDP49" s="280"/>
      <c r="CDQ49" s="280"/>
      <c r="CDR49" s="280"/>
      <c r="CDS49" s="280"/>
      <c r="CDT49" s="280"/>
      <c r="CDU49" s="280"/>
      <c r="CDV49" s="280"/>
      <c r="CDW49" s="280"/>
      <c r="CDX49" s="280"/>
      <c r="CDY49" s="280"/>
      <c r="CDZ49" s="280"/>
      <c r="CEA49" s="280"/>
      <c r="CEB49" s="280"/>
      <c r="CEC49" s="280"/>
      <c r="CED49" s="280"/>
      <c r="CEE49" s="280"/>
      <c r="CEF49" s="280"/>
      <c r="CEG49" s="280"/>
      <c r="CEH49" s="280"/>
      <c r="CEI49" s="280"/>
      <c r="CEJ49" s="280"/>
      <c r="CEK49" s="280"/>
      <c r="CEL49" s="280"/>
      <c r="CEM49" s="280"/>
      <c r="CEN49" s="280"/>
      <c r="CEO49" s="280"/>
      <c r="CEP49" s="280"/>
      <c r="CEQ49" s="280"/>
      <c r="CER49" s="280"/>
      <c r="CES49" s="280"/>
      <c r="CET49" s="280"/>
      <c r="CEU49" s="280"/>
      <c r="CEV49" s="280"/>
      <c r="CEW49" s="280"/>
      <c r="CEX49" s="280"/>
      <c r="CEY49" s="280"/>
      <c r="CEZ49" s="280"/>
      <c r="CFA49" s="280"/>
      <c r="CFB49" s="280"/>
      <c r="CFC49" s="280"/>
      <c r="CFD49" s="280"/>
      <c r="CFE49" s="280"/>
      <c r="CFF49" s="280"/>
      <c r="CFG49" s="280"/>
      <c r="CFH49" s="280"/>
      <c r="CFI49" s="280"/>
      <c r="CFJ49" s="280"/>
      <c r="CFK49" s="280"/>
      <c r="CFL49" s="280"/>
      <c r="CFM49" s="280"/>
      <c r="CFN49" s="280"/>
      <c r="CFO49" s="280"/>
      <c r="CFP49" s="280"/>
      <c r="CFQ49" s="280"/>
      <c r="CFR49" s="280"/>
      <c r="CFS49" s="280"/>
      <c r="CFT49" s="280"/>
      <c r="CFU49" s="280"/>
      <c r="CFV49" s="280"/>
      <c r="CFW49" s="280"/>
      <c r="CFX49" s="280"/>
      <c r="CFY49" s="280"/>
      <c r="CFZ49" s="280"/>
      <c r="CGA49" s="280"/>
      <c r="CGB49" s="280"/>
      <c r="CGC49" s="280"/>
      <c r="CGD49" s="280"/>
      <c r="CGE49" s="280"/>
      <c r="CGF49" s="280"/>
      <c r="CGG49" s="280"/>
      <c r="CGH49" s="280"/>
      <c r="CGI49" s="280"/>
      <c r="CGJ49" s="280"/>
      <c r="CGK49" s="280"/>
      <c r="CGL49" s="280"/>
      <c r="CGM49" s="280"/>
      <c r="CGN49" s="280"/>
      <c r="CGO49" s="280"/>
      <c r="CGP49" s="280"/>
      <c r="CGQ49" s="280"/>
      <c r="CGR49" s="280"/>
      <c r="CGS49" s="280"/>
      <c r="CGT49" s="280"/>
      <c r="CGU49" s="280"/>
      <c r="CGV49" s="280"/>
      <c r="CGW49" s="280"/>
      <c r="CGX49" s="280"/>
      <c r="CGY49" s="280"/>
      <c r="CGZ49" s="280"/>
      <c r="CHA49" s="280"/>
      <c r="CHB49" s="280"/>
      <c r="CHC49" s="280"/>
      <c r="CHD49" s="280"/>
      <c r="CHE49" s="280"/>
      <c r="CHF49" s="280"/>
      <c r="CHG49" s="280"/>
      <c r="CHH49" s="280"/>
      <c r="CHI49" s="280"/>
      <c r="CHJ49" s="280"/>
      <c r="CHK49" s="280"/>
      <c r="CHL49" s="280"/>
      <c r="CHM49" s="280"/>
      <c r="CHN49" s="280"/>
      <c r="CHO49" s="280"/>
      <c r="CHP49" s="280"/>
      <c r="CHQ49" s="280"/>
      <c r="CHR49" s="280"/>
      <c r="CHS49" s="280"/>
      <c r="CHT49" s="280"/>
      <c r="CHU49" s="280"/>
      <c r="CHV49" s="280"/>
      <c r="CHW49" s="280"/>
      <c r="CHX49" s="280"/>
      <c r="CHY49" s="280"/>
      <c r="CHZ49" s="280"/>
      <c r="CIA49" s="280"/>
      <c r="CIB49" s="280"/>
      <c r="CIC49" s="280"/>
      <c r="CID49" s="280"/>
      <c r="CIE49" s="280"/>
      <c r="CIF49" s="280"/>
      <c r="CIG49" s="280"/>
      <c r="CIH49" s="280"/>
      <c r="CII49" s="280"/>
      <c r="CIJ49" s="280"/>
      <c r="CIK49" s="280"/>
      <c r="CIL49" s="280"/>
      <c r="CIM49" s="280"/>
      <c r="CIN49" s="280"/>
      <c r="CIO49" s="280"/>
      <c r="CIP49" s="280"/>
      <c r="CIQ49" s="280"/>
      <c r="CIR49" s="280"/>
      <c r="CIS49" s="280"/>
      <c r="CIT49" s="280"/>
      <c r="CIU49" s="280"/>
      <c r="CIV49" s="280"/>
      <c r="CIW49" s="280"/>
      <c r="CIX49" s="280"/>
      <c r="CIY49" s="280"/>
      <c r="CIZ49" s="280"/>
      <c r="CJA49" s="280"/>
      <c r="CJB49" s="280"/>
      <c r="CJC49" s="280"/>
      <c r="CJD49" s="280"/>
      <c r="CJE49" s="280"/>
      <c r="CJF49" s="280"/>
      <c r="CJG49" s="280"/>
      <c r="CJH49" s="280"/>
      <c r="CJI49" s="280"/>
      <c r="CJJ49" s="280"/>
      <c r="CJK49" s="280"/>
      <c r="CJL49" s="280"/>
      <c r="CJM49" s="280"/>
      <c r="CJN49" s="280"/>
      <c r="CJO49" s="280"/>
      <c r="CJP49" s="280"/>
      <c r="CJQ49" s="280"/>
      <c r="CJR49" s="280"/>
      <c r="CJS49" s="280"/>
      <c r="CJT49" s="280"/>
      <c r="CJU49" s="280"/>
      <c r="CJV49" s="280"/>
      <c r="CJW49" s="280"/>
      <c r="CJX49" s="280"/>
      <c r="CJY49" s="280"/>
      <c r="CJZ49" s="280"/>
      <c r="CKA49" s="280"/>
      <c r="CKB49" s="280"/>
      <c r="CKC49" s="280"/>
      <c r="CKD49" s="280"/>
      <c r="CKE49" s="280"/>
      <c r="CKF49" s="280"/>
      <c r="CKG49" s="280"/>
      <c r="CKH49" s="280"/>
      <c r="CKI49" s="280"/>
      <c r="CKJ49" s="280"/>
      <c r="CKK49" s="280"/>
      <c r="CKL49" s="280"/>
      <c r="CKM49" s="280"/>
      <c r="CKN49" s="280"/>
      <c r="CKO49" s="280"/>
      <c r="CKP49" s="280"/>
      <c r="CKQ49" s="280"/>
      <c r="CKR49" s="280"/>
      <c r="CKS49" s="280"/>
      <c r="CKT49" s="280"/>
      <c r="CKU49" s="280"/>
      <c r="CKV49" s="280"/>
      <c r="CKW49" s="280"/>
      <c r="CKX49" s="280"/>
      <c r="CKY49" s="280"/>
      <c r="CKZ49" s="280"/>
      <c r="CLA49" s="280"/>
      <c r="CLB49" s="280"/>
      <c r="CLC49" s="280"/>
      <c r="CLD49" s="280"/>
      <c r="CLE49" s="280"/>
      <c r="CLF49" s="280"/>
      <c r="CLG49" s="280"/>
      <c r="CLH49" s="280"/>
      <c r="CLI49" s="280"/>
      <c r="CLJ49" s="280"/>
      <c r="CLK49" s="280"/>
      <c r="CLL49" s="280"/>
      <c r="CLM49" s="280"/>
      <c r="CLN49" s="280"/>
      <c r="CLO49" s="280"/>
      <c r="CLP49" s="280"/>
      <c r="CLQ49" s="280"/>
      <c r="CLR49" s="280"/>
      <c r="CLS49" s="280"/>
      <c r="CLT49" s="280"/>
      <c r="CLU49" s="280"/>
      <c r="CLV49" s="280"/>
      <c r="CLW49" s="280"/>
      <c r="CLX49" s="280"/>
      <c r="CLY49" s="280"/>
      <c r="CLZ49" s="280"/>
      <c r="CMA49" s="280"/>
      <c r="CMB49" s="280"/>
      <c r="CMC49" s="280"/>
      <c r="CMD49" s="280"/>
      <c r="CME49" s="280"/>
      <c r="CMF49" s="280"/>
      <c r="CMG49" s="280"/>
      <c r="CMH49" s="280"/>
      <c r="CMI49" s="280"/>
      <c r="CMJ49" s="280"/>
      <c r="CMK49" s="280"/>
      <c r="CML49" s="280"/>
      <c r="CMM49" s="280"/>
      <c r="CMN49" s="280"/>
      <c r="CMO49" s="280"/>
      <c r="CMP49" s="280"/>
      <c r="CMQ49" s="280"/>
      <c r="CMR49" s="280"/>
      <c r="CMS49" s="280"/>
      <c r="CMT49" s="280"/>
      <c r="CMU49" s="280"/>
      <c r="CMV49" s="280"/>
      <c r="CMW49" s="280"/>
      <c r="CMX49" s="280"/>
      <c r="CMY49" s="280"/>
      <c r="CMZ49" s="280"/>
      <c r="CNA49" s="280"/>
      <c r="CNB49" s="280"/>
      <c r="CNC49" s="280"/>
      <c r="CND49" s="280"/>
      <c r="CNE49" s="280"/>
      <c r="CNF49" s="280"/>
      <c r="CNG49" s="280"/>
      <c r="CNH49" s="280"/>
      <c r="CNI49" s="280"/>
      <c r="CNJ49" s="280"/>
      <c r="CNK49" s="280"/>
      <c r="CNL49" s="280"/>
      <c r="CNM49" s="280"/>
      <c r="CNN49" s="280"/>
      <c r="CNO49" s="280"/>
      <c r="CNP49" s="280"/>
      <c r="CNQ49" s="280"/>
      <c r="CNR49" s="280"/>
      <c r="CNS49" s="280"/>
      <c r="CNT49" s="280"/>
      <c r="CNU49" s="280"/>
      <c r="CNV49" s="280"/>
      <c r="CNW49" s="280"/>
      <c r="CNX49" s="280"/>
      <c r="CNY49" s="280"/>
      <c r="CNZ49" s="280"/>
      <c r="COA49" s="280"/>
      <c r="COB49" s="280"/>
      <c r="COC49" s="280"/>
      <c r="COD49" s="280"/>
      <c r="COE49" s="280"/>
      <c r="COF49" s="280"/>
      <c r="COG49" s="280"/>
      <c r="COH49" s="280"/>
      <c r="COI49" s="280"/>
    </row>
    <row r="50" spans="1:2427" ht="12.75" customHeight="1" x14ac:dyDescent="0.25">
      <c r="A50" s="2143"/>
      <c r="B50" s="2138" t="s">
        <v>1502</v>
      </c>
      <c r="C50" s="2139"/>
      <c r="D50" s="2139"/>
      <c r="E50" s="2153"/>
      <c r="F50" s="2139" t="s">
        <v>1501</v>
      </c>
      <c r="G50" s="2139"/>
      <c r="H50" s="2139"/>
      <c r="I50" s="2139"/>
      <c r="J50" s="2153"/>
      <c r="K50" s="2139" t="s">
        <v>1451</v>
      </c>
      <c r="L50" s="2139"/>
      <c r="M50" s="2139"/>
      <c r="N50" s="2139"/>
      <c r="O50" s="2153"/>
      <c r="P50" s="2139" t="s">
        <v>1452</v>
      </c>
      <c r="Q50" s="2139"/>
      <c r="R50" s="2139"/>
      <c r="S50" s="2139"/>
      <c r="T50" s="2153"/>
      <c r="U50" s="2139" t="s">
        <v>1453</v>
      </c>
      <c r="V50" s="2139"/>
      <c r="W50" s="2139"/>
      <c r="X50" s="2139"/>
      <c r="Y50" s="2153"/>
      <c r="Z50" s="2154" t="s">
        <v>1581</v>
      </c>
      <c r="AA50" s="2154"/>
      <c r="AB50" s="2154"/>
      <c r="AC50" s="2154"/>
      <c r="AD50" s="2155"/>
      <c r="AE50" s="2154" t="s">
        <v>1632</v>
      </c>
      <c r="AF50" s="2154"/>
      <c r="AG50" s="2154"/>
      <c r="AH50" s="2154"/>
      <c r="AI50" s="2155"/>
      <c r="AJ50" s="2154" t="str">
        <f>+AJ29</f>
        <v>Spring 2015</v>
      </c>
      <c r="AK50" s="2154"/>
      <c r="AL50" s="2154"/>
      <c r="AM50" s="2154"/>
      <c r="AN50" s="2155"/>
      <c r="AO50" s="2154" t="str">
        <f>+AO29</f>
        <v>Spring 2016</v>
      </c>
      <c r="AP50" s="2154"/>
      <c r="AQ50" s="2154"/>
      <c r="AR50" s="2154"/>
      <c r="AS50" s="2155"/>
      <c r="AT50" s="280"/>
      <c r="AU50" s="280"/>
      <c r="AV50" s="280"/>
      <c r="AW50" s="280"/>
      <c r="AX50" s="280"/>
      <c r="AY50" s="280"/>
      <c r="AZ50" s="280"/>
      <c r="BA50" s="280"/>
      <c r="BB50" s="280"/>
      <c r="BC50" s="280"/>
      <c r="BD50" s="280"/>
      <c r="BE50" s="280"/>
      <c r="BF50" s="280"/>
      <c r="BG50" s="280"/>
      <c r="BH50" s="280"/>
      <c r="BI50" s="280"/>
      <c r="BJ50" s="280"/>
      <c r="BK50" s="280"/>
      <c r="BL50" s="280"/>
      <c r="BM50" s="280"/>
      <c r="BN50" s="280"/>
      <c r="BO50" s="280"/>
      <c r="BP50" s="280"/>
      <c r="BQ50" s="280"/>
      <c r="BR50" s="280"/>
      <c r="BS50" s="280"/>
      <c r="BT50" s="280"/>
      <c r="BU50" s="280"/>
      <c r="BV50" s="280"/>
      <c r="BW50" s="280"/>
      <c r="BX50" s="280"/>
      <c r="BY50" s="280"/>
      <c r="BZ50" s="280"/>
      <c r="CA50" s="280"/>
      <c r="CB50" s="280"/>
      <c r="CC50" s="280"/>
      <c r="CD50" s="280"/>
      <c r="CE50" s="280"/>
      <c r="CF50" s="280"/>
      <c r="CG50" s="280"/>
      <c r="CH50" s="280"/>
      <c r="CI50" s="280"/>
      <c r="CJ50" s="280"/>
      <c r="CK50" s="280"/>
      <c r="CL50" s="280"/>
      <c r="CM50" s="280"/>
      <c r="CN50" s="280"/>
      <c r="CO50" s="280"/>
      <c r="CP50" s="280"/>
      <c r="CQ50" s="280"/>
      <c r="CR50" s="280"/>
      <c r="CS50" s="280"/>
      <c r="CT50" s="280"/>
      <c r="CU50" s="280"/>
      <c r="CV50" s="280"/>
      <c r="CW50" s="280"/>
      <c r="CX50" s="280"/>
      <c r="CY50" s="280"/>
      <c r="CZ50" s="280"/>
      <c r="DA50" s="280"/>
      <c r="DB50" s="280"/>
      <c r="DC50" s="280"/>
      <c r="DD50" s="280"/>
      <c r="DE50" s="280"/>
      <c r="DF50" s="280"/>
      <c r="DG50" s="280"/>
      <c r="DH50" s="280"/>
      <c r="DI50" s="280"/>
      <c r="DJ50" s="280"/>
      <c r="DK50" s="280"/>
      <c r="DL50" s="280"/>
      <c r="DM50" s="280"/>
      <c r="DN50" s="280"/>
      <c r="DO50" s="280"/>
      <c r="DP50" s="280"/>
      <c r="DQ50" s="280"/>
      <c r="DR50" s="280"/>
      <c r="DS50" s="280"/>
      <c r="DT50" s="280"/>
      <c r="DU50" s="280"/>
      <c r="DV50" s="280"/>
      <c r="DW50" s="280"/>
      <c r="DX50" s="280"/>
      <c r="DY50" s="280"/>
      <c r="DZ50" s="280"/>
      <c r="EA50" s="280"/>
      <c r="EB50" s="280"/>
      <c r="EC50" s="280"/>
      <c r="ED50" s="280"/>
      <c r="EE50" s="280"/>
      <c r="EF50" s="280"/>
      <c r="EG50" s="280"/>
      <c r="EH50" s="280"/>
      <c r="EI50" s="280"/>
      <c r="EJ50" s="280"/>
      <c r="EK50" s="280"/>
      <c r="EL50" s="280"/>
      <c r="EM50" s="280"/>
      <c r="EN50" s="280"/>
      <c r="EO50" s="280"/>
      <c r="EP50" s="280"/>
      <c r="EQ50" s="280"/>
      <c r="ER50" s="280"/>
      <c r="ES50" s="280"/>
      <c r="ET50" s="280"/>
      <c r="EU50" s="280"/>
      <c r="EV50" s="280"/>
      <c r="EW50" s="280"/>
      <c r="EX50" s="280"/>
      <c r="EY50" s="280"/>
      <c r="EZ50" s="280"/>
      <c r="FA50" s="280"/>
      <c r="FB50" s="280"/>
      <c r="FC50" s="280"/>
      <c r="FD50" s="280"/>
      <c r="FE50" s="280"/>
      <c r="FF50" s="280"/>
      <c r="FG50" s="280"/>
      <c r="FH50" s="280"/>
      <c r="FI50" s="280"/>
      <c r="FJ50" s="280"/>
      <c r="FK50" s="280"/>
      <c r="FL50" s="280"/>
      <c r="FM50" s="280"/>
      <c r="FN50" s="280"/>
      <c r="FO50" s="280"/>
      <c r="FP50" s="280"/>
      <c r="FQ50" s="280"/>
      <c r="FR50" s="280"/>
      <c r="FS50" s="280"/>
      <c r="FT50" s="280"/>
      <c r="FU50" s="280"/>
      <c r="FV50" s="280"/>
      <c r="FW50" s="280"/>
      <c r="FX50" s="280"/>
      <c r="FY50" s="280"/>
      <c r="FZ50" s="280"/>
      <c r="GA50" s="280"/>
      <c r="GB50" s="280"/>
      <c r="GC50" s="280"/>
      <c r="GD50" s="280"/>
      <c r="GE50" s="280"/>
      <c r="GF50" s="280"/>
      <c r="GG50" s="280"/>
      <c r="GH50" s="280"/>
      <c r="GI50" s="280"/>
      <c r="GJ50" s="280"/>
      <c r="GK50" s="280"/>
      <c r="GL50" s="280"/>
      <c r="GM50" s="280"/>
      <c r="GN50" s="280"/>
      <c r="GO50" s="280"/>
      <c r="GP50" s="280"/>
      <c r="GQ50" s="280"/>
      <c r="GR50" s="280"/>
      <c r="GS50" s="280"/>
      <c r="GT50" s="280"/>
      <c r="GU50" s="280"/>
      <c r="GV50" s="280"/>
      <c r="GW50" s="280"/>
      <c r="GX50" s="280"/>
      <c r="GY50" s="280"/>
      <c r="GZ50" s="280"/>
      <c r="HA50" s="280"/>
      <c r="HB50" s="280"/>
      <c r="HC50" s="280"/>
      <c r="HD50" s="280"/>
      <c r="HE50" s="280"/>
      <c r="HF50" s="280"/>
      <c r="HG50" s="280"/>
      <c r="HH50" s="280"/>
      <c r="HI50" s="280"/>
      <c r="HJ50" s="280"/>
      <c r="HK50" s="280"/>
      <c r="HL50" s="280"/>
      <c r="HM50" s="280"/>
      <c r="HN50" s="280"/>
      <c r="HO50" s="280"/>
      <c r="HP50" s="280"/>
      <c r="HQ50" s="280"/>
      <c r="HR50" s="280"/>
      <c r="HS50" s="280"/>
      <c r="HT50" s="280"/>
      <c r="HU50" s="280"/>
      <c r="HV50" s="280"/>
      <c r="HW50" s="280"/>
      <c r="HX50" s="280"/>
      <c r="HY50" s="280"/>
      <c r="HZ50" s="280"/>
      <c r="IA50" s="280"/>
      <c r="IB50" s="280"/>
      <c r="IC50" s="280"/>
      <c r="ID50" s="280"/>
      <c r="IE50" s="280"/>
      <c r="IF50" s="280"/>
      <c r="IG50" s="280"/>
      <c r="IH50" s="280"/>
      <c r="II50" s="280"/>
      <c r="IJ50" s="280"/>
      <c r="IK50" s="280"/>
      <c r="IL50" s="280"/>
      <c r="IM50" s="280"/>
      <c r="IN50" s="280"/>
      <c r="IO50" s="280"/>
      <c r="IP50" s="280"/>
      <c r="IQ50" s="280"/>
      <c r="IR50" s="280"/>
      <c r="IS50" s="280"/>
      <c r="IT50" s="280"/>
      <c r="IU50" s="280"/>
      <c r="IV50" s="280"/>
      <c r="IW50" s="280"/>
      <c r="IX50" s="280"/>
      <c r="IY50" s="280"/>
      <c r="IZ50" s="280"/>
      <c r="JA50" s="280"/>
      <c r="JB50" s="280"/>
      <c r="JC50" s="280"/>
      <c r="JD50" s="280"/>
      <c r="JE50" s="280"/>
      <c r="JF50" s="280"/>
      <c r="JG50" s="280"/>
      <c r="JH50" s="280"/>
      <c r="JI50" s="280"/>
      <c r="JJ50" s="280"/>
      <c r="JK50" s="280"/>
      <c r="JL50" s="280"/>
      <c r="JM50" s="280"/>
      <c r="JN50" s="280"/>
      <c r="JO50" s="280"/>
      <c r="JP50" s="280"/>
      <c r="JQ50" s="280"/>
      <c r="JR50" s="280"/>
      <c r="JS50" s="280"/>
      <c r="JT50" s="280"/>
      <c r="JU50" s="280"/>
      <c r="JV50" s="280"/>
      <c r="JW50" s="280"/>
      <c r="JX50" s="280"/>
      <c r="JY50" s="280"/>
      <c r="JZ50" s="280"/>
      <c r="KA50" s="280"/>
      <c r="KB50" s="280"/>
      <c r="KC50" s="280"/>
      <c r="KD50" s="280"/>
      <c r="KE50" s="280"/>
      <c r="KF50" s="280"/>
      <c r="KG50" s="280"/>
      <c r="KH50" s="280"/>
      <c r="KI50" s="280"/>
      <c r="KJ50" s="280"/>
      <c r="KK50" s="280"/>
      <c r="KL50" s="280"/>
      <c r="KM50" s="280"/>
      <c r="KN50" s="280"/>
      <c r="KO50" s="280"/>
      <c r="KP50" s="280"/>
      <c r="KQ50" s="280"/>
      <c r="KR50" s="280"/>
      <c r="KS50" s="280"/>
      <c r="KT50" s="280"/>
      <c r="KU50" s="280"/>
      <c r="KV50" s="280"/>
      <c r="KW50" s="280"/>
      <c r="KX50" s="280"/>
      <c r="KY50" s="280"/>
      <c r="KZ50" s="280"/>
      <c r="LA50" s="280"/>
      <c r="LB50" s="280"/>
      <c r="LC50" s="280"/>
      <c r="LD50" s="280"/>
      <c r="LE50" s="280"/>
      <c r="LF50" s="280"/>
      <c r="LG50" s="280"/>
      <c r="LH50" s="280"/>
      <c r="LI50" s="280"/>
      <c r="LJ50" s="280"/>
      <c r="LK50" s="280"/>
      <c r="LL50" s="280"/>
      <c r="LM50" s="280"/>
      <c r="LN50" s="280"/>
      <c r="LO50" s="280"/>
      <c r="LP50" s="280"/>
      <c r="LQ50" s="280"/>
      <c r="LR50" s="280"/>
      <c r="LS50" s="280"/>
      <c r="LT50" s="280"/>
      <c r="LU50" s="280"/>
      <c r="LV50" s="280"/>
      <c r="LW50" s="280"/>
      <c r="LX50" s="280"/>
      <c r="LY50" s="280"/>
      <c r="LZ50" s="280"/>
      <c r="MA50" s="280"/>
      <c r="MB50" s="280"/>
      <c r="MC50" s="280"/>
      <c r="MD50" s="280"/>
      <c r="ME50" s="280"/>
      <c r="MF50" s="280"/>
      <c r="MG50" s="280"/>
      <c r="MH50" s="280"/>
      <c r="MI50" s="280"/>
      <c r="MJ50" s="280"/>
      <c r="MK50" s="280"/>
      <c r="ML50" s="280"/>
      <c r="MM50" s="280"/>
      <c r="MN50" s="280"/>
      <c r="MO50" s="280"/>
      <c r="MP50" s="280"/>
      <c r="MQ50" s="280"/>
      <c r="MR50" s="280"/>
      <c r="MS50" s="280"/>
      <c r="MT50" s="280"/>
      <c r="MU50" s="280"/>
      <c r="MV50" s="280"/>
      <c r="MW50" s="280"/>
      <c r="MX50" s="280"/>
      <c r="MY50" s="280"/>
      <c r="MZ50" s="280"/>
      <c r="NA50" s="280"/>
      <c r="NB50" s="280"/>
      <c r="NC50" s="280"/>
      <c r="ND50" s="280"/>
      <c r="NE50" s="280"/>
      <c r="NF50" s="280"/>
      <c r="NG50" s="280"/>
      <c r="NH50" s="280"/>
      <c r="NI50" s="280"/>
      <c r="NJ50" s="280"/>
      <c r="NK50" s="280"/>
      <c r="NL50" s="280"/>
      <c r="NM50" s="280"/>
      <c r="NN50" s="280"/>
      <c r="NO50" s="280"/>
      <c r="NP50" s="280"/>
      <c r="NQ50" s="280"/>
      <c r="NR50" s="280"/>
      <c r="NS50" s="280"/>
      <c r="NT50" s="280"/>
      <c r="NU50" s="280"/>
      <c r="NV50" s="280"/>
      <c r="NW50" s="280"/>
      <c r="NX50" s="280"/>
      <c r="NY50" s="280"/>
      <c r="NZ50" s="280"/>
      <c r="OA50" s="280"/>
      <c r="OB50" s="280"/>
      <c r="OC50" s="280"/>
      <c r="OD50" s="280"/>
      <c r="OE50" s="280"/>
      <c r="OF50" s="280"/>
      <c r="OG50" s="280"/>
      <c r="OH50" s="280"/>
      <c r="OI50" s="280"/>
      <c r="OJ50" s="280"/>
      <c r="OK50" s="280"/>
      <c r="OL50" s="280"/>
      <c r="OM50" s="280"/>
      <c r="ON50" s="280"/>
      <c r="OO50" s="280"/>
      <c r="OP50" s="280"/>
      <c r="OQ50" s="280"/>
      <c r="OR50" s="280"/>
      <c r="OS50" s="280"/>
      <c r="OT50" s="280"/>
      <c r="OU50" s="280"/>
      <c r="OV50" s="280"/>
      <c r="OW50" s="280"/>
      <c r="OX50" s="280"/>
      <c r="OY50" s="280"/>
      <c r="OZ50" s="280"/>
      <c r="PA50" s="280"/>
      <c r="PB50" s="280"/>
      <c r="PC50" s="280"/>
      <c r="PD50" s="280"/>
      <c r="PE50" s="280"/>
      <c r="PF50" s="280"/>
      <c r="PG50" s="280"/>
      <c r="PH50" s="280"/>
      <c r="PI50" s="280"/>
      <c r="PJ50" s="280"/>
      <c r="PK50" s="280"/>
      <c r="PL50" s="280"/>
      <c r="PM50" s="280"/>
      <c r="PN50" s="280"/>
      <c r="PO50" s="280"/>
      <c r="PP50" s="280"/>
      <c r="PQ50" s="280"/>
      <c r="PR50" s="280"/>
      <c r="PS50" s="280"/>
      <c r="PT50" s="280"/>
      <c r="PU50" s="280"/>
      <c r="PV50" s="280"/>
      <c r="PW50" s="280"/>
      <c r="PX50" s="280"/>
      <c r="PY50" s="280"/>
      <c r="PZ50" s="280"/>
      <c r="QA50" s="280"/>
      <c r="QB50" s="280"/>
      <c r="QC50" s="280"/>
      <c r="QD50" s="280"/>
      <c r="QE50" s="280"/>
      <c r="QF50" s="280"/>
      <c r="QG50" s="280"/>
      <c r="QH50" s="280"/>
      <c r="QI50" s="280"/>
      <c r="QJ50" s="280"/>
      <c r="QK50" s="280"/>
      <c r="QL50" s="280"/>
      <c r="QM50" s="280"/>
      <c r="QN50" s="280"/>
      <c r="QO50" s="280"/>
      <c r="QP50" s="280"/>
      <c r="QQ50" s="280"/>
      <c r="QR50" s="280"/>
      <c r="QS50" s="280"/>
      <c r="QT50" s="280"/>
      <c r="QU50" s="280"/>
      <c r="QV50" s="280"/>
      <c r="QW50" s="280"/>
      <c r="QX50" s="280"/>
      <c r="QY50" s="280"/>
      <c r="QZ50" s="280"/>
      <c r="RA50" s="280"/>
      <c r="RB50" s="280"/>
      <c r="RC50" s="280"/>
      <c r="RD50" s="280"/>
      <c r="RE50" s="280"/>
      <c r="RF50" s="280"/>
      <c r="RG50" s="280"/>
      <c r="RH50" s="280"/>
      <c r="RI50" s="280"/>
      <c r="RJ50" s="280"/>
      <c r="RK50" s="280"/>
      <c r="RL50" s="280"/>
      <c r="RM50" s="280"/>
      <c r="RN50" s="280"/>
      <c r="RO50" s="280"/>
      <c r="RP50" s="280"/>
      <c r="RQ50" s="280"/>
      <c r="RR50" s="280"/>
      <c r="RS50" s="280"/>
      <c r="RT50" s="280"/>
      <c r="RU50" s="280"/>
      <c r="RV50" s="280"/>
      <c r="RW50" s="280"/>
      <c r="RX50" s="280"/>
      <c r="RY50" s="280"/>
      <c r="RZ50" s="280"/>
      <c r="SA50" s="280"/>
      <c r="SB50" s="280"/>
      <c r="SC50" s="280"/>
      <c r="SD50" s="280"/>
      <c r="SE50" s="280"/>
      <c r="SF50" s="280"/>
      <c r="SG50" s="280"/>
      <c r="SH50" s="280"/>
      <c r="SI50" s="280"/>
      <c r="SJ50" s="280"/>
      <c r="SK50" s="280"/>
      <c r="SL50" s="280"/>
      <c r="SM50" s="280"/>
      <c r="SN50" s="280"/>
      <c r="SO50" s="280"/>
      <c r="SP50" s="280"/>
      <c r="SQ50" s="280"/>
      <c r="SR50" s="280"/>
      <c r="SS50" s="280"/>
      <c r="ST50" s="280"/>
      <c r="SU50" s="280"/>
      <c r="SV50" s="280"/>
      <c r="SW50" s="280"/>
      <c r="SX50" s="280"/>
      <c r="SY50" s="280"/>
      <c r="SZ50" s="280"/>
      <c r="TA50" s="280"/>
      <c r="TB50" s="280"/>
      <c r="TC50" s="280"/>
      <c r="TD50" s="280"/>
      <c r="TE50" s="280"/>
      <c r="TF50" s="280"/>
      <c r="TG50" s="280"/>
      <c r="TH50" s="280"/>
      <c r="TI50" s="280"/>
      <c r="TJ50" s="280"/>
      <c r="TK50" s="280"/>
      <c r="TL50" s="280"/>
      <c r="TM50" s="280"/>
      <c r="TN50" s="280"/>
      <c r="TO50" s="280"/>
      <c r="TP50" s="280"/>
      <c r="TQ50" s="280"/>
      <c r="TR50" s="280"/>
      <c r="TS50" s="280"/>
      <c r="TT50" s="280"/>
      <c r="TU50" s="280"/>
      <c r="TV50" s="280"/>
      <c r="TW50" s="280"/>
      <c r="TX50" s="280"/>
      <c r="TY50" s="280"/>
      <c r="TZ50" s="280"/>
      <c r="UA50" s="280"/>
      <c r="UB50" s="280"/>
      <c r="UC50" s="280"/>
      <c r="UD50" s="280"/>
      <c r="UE50" s="280"/>
      <c r="UF50" s="280"/>
      <c r="UG50" s="280"/>
      <c r="UH50" s="280"/>
      <c r="UI50" s="280"/>
      <c r="UJ50" s="280"/>
      <c r="UK50" s="280"/>
      <c r="UL50" s="280"/>
      <c r="UM50" s="280"/>
      <c r="UN50" s="280"/>
      <c r="UO50" s="280"/>
      <c r="UP50" s="280"/>
      <c r="UQ50" s="280"/>
      <c r="UR50" s="280"/>
      <c r="US50" s="280"/>
      <c r="UT50" s="280"/>
      <c r="UU50" s="280"/>
      <c r="UV50" s="280"/>
      <c r="UW50" s="280"/>
      <c r="UX50" s="280"/>
      <c r="UY50" s="280"/>
      <c r="UZ50" s="280"/>
      <c r="VA50" s="280"/>
      <c r="VB50" s="280"/>
      <c r="VC50" s="280"/>
      <c r="VD50" s="280"/>
      <c r="VE50" s="280"/>
      <c r="VF50" s="280"/>
      <c r="VG50" s="280"/>
      <c r="VH50" s="280"/>
      <c r="VI50" s="280"/>
      <c r="VJ50" s="280"/>
      <c r="VK50" s="280"/>
      <c r="VL50" s="280"/>
      <c r="VM50" s="280"/>
      <c r="VN50" s="280"/>
      <c r="VO50" s="280"/>
      <c r="VP50" s="280"/>
      <c r="VQ50" s="280"/>
      <c r="VR50" s="280"/>
      <c r="VS50" s="280"/>
      <c r="VT50" s="280"/>
      <c r="VU50" s="280"/>
      <c r="VV50" s="280"/>
      <c r="VW50" s="280"/>
      <c r="VX50" s="280"/>
      <c r="VY50" s="280"/>
      <c r="VZ50" s="280"/>
      <c r="WA50" s="280"/>
      <c r="WB50" s="280"/>
      <c r="WC50" s="280"/>
      <c r="WD50" s="280"/>
      <c r="WE50" s="280"/>
      <c r="WF50" s="280"/>
      <c r="WG50" s="280"/>
      <c r="WH50" s="280"/>
      <c r="WI50" s="280"/>
      <c r="WJ50" s="280"/>
      <c r="WK50" s="280"/>
      <c r="WL50" s="280"/>
      <c r="WM50" s="280"/>
      <c r="WN50" s="280"/>
      <c r="WO50" s="280"/>
      <c r="WP50" s="280"/>
      <c r="WQ50" s="280"/>
      <c r="WR50" s="280"/>
      <c r="WS50" s="280"/>
      <c r="WT50" s="280"/>
      <c r="WU50" s="280"/>
      <c r="WV50" s="280"/>
      <c r="WW50" s="280"/>
      <c r="WX50" s="280"/>
      <c r="WY50" s="280"/>
      <c r="WZ50" s="280"/>
      <c r="XA50" s="280"/>
      <c r="XB50" s="280"/>
      <c r="XC50" s="280"/>
      <c r="XD50" s="280"/>
      <c r="XE50" s="280"/>
      <c r="XF50" s="280"/>
      <c r="XG50" s="280"/>
      <c r="XH50" s="280"/>
      <c r="XI50" s="280"/>
      <c r="XJ50" s="280"/>
      <c r="XK50" s="280"/>
      <c r="XL50" s="280"/>
      <c r="XM50" s="280"/>
      <c r="XN50" s="280"/>
      <c r="XO50" s="280"/>
      <c r="XP50" s="280"/>
      <c r="XQ50" s="280"/>
      <c r="XR50" s="280"/>
      <c r="XS50" s="280"/>
      <c r="XT50" s="280"/>
      <c r="XU50" s="280"/>
      <c r="XV50" s="280"/>
      <c r="XW50" s="280"/>
      <c r="XX50" s="280"/>
      <c r="XY50" s="280"/>
      <c r="XZ50" s="280"/>
      <c r="YA50" s="280"/>
      <c r="YB50" s="280"/>
      <c r="YC50" s="280"/>
      <c r="YD50" s="280"/>
      <c r="YE50" s="280"/>
      <c r="YF50" s="280"/>
      <c r="YG50" s="280"/>
      <c r="YH50" s="280"/>
      <c r="YI50" s="280"/>
      <c r="YJ50" s="280"/>
      <c r="YK50" s="280"/>
      <c r="YL50" s="280"/>
      <c r="YM50" s="280"/>
      <c r="YN50" s="280"/>
      <c r="YO50" s="280"/>
      <c r="YP50" s="280"/>
      <c r="YQ50" s="280"/>
      <c r="YR50" s="280"/>
      <c r="YS50" s="280"/>
      <c r="YT50" s="280"/>
      <c r="YU50" s="280"/>
      <c r="YV50" s="280"/>
      <c r="YW50" s="280"/>
      <c r="YX50" s="280"/>
      <c r="YY50" s="280"/>
      <c r="YZ50" s="280"/>
      <c r="ZA50" s="280"/>
      <c r="ZB50" s="280"/>
      <c r="ZC50" s="280"/>
      <c r="ZD50" s="280"/>
      <c r="ZE50" s="280"/>
      <c r="ZF50" s="280"/>
      <c r="ZG50" s="280"/>
      <c r="ZH50" s="280"/>
      <c r="ZI50" s="280"/>
      <c r="ZJ50" s="280"/>
      <c r="ZK50" s="280"/>
      <c r="ZL50" s="280"/>
      <c r="ZM50" s="280"/>
      <c r="ZN50" s="280"/>
      <c r="ZO50" s="280"/>
      <c r="ZP50" s="280"/>
      <c r="ZQ50" s="280"/>
      <c r="ZR50" s="280"/>
      <c r="ZS50" s="280"/>
      <c r="ZT50" s="280"/>
      <c r="ZU50" s="280"/>
      <c r="ZV50" s="280"/>
      <c r="ZW50" s="280"/>
      <c r="ZX50" s="280"/>
      <c r="ZY50" s="280"/>
      <c r="ZZ50" s="280"/>
      <c r="AAA50" s="280"/>
      <c r="AAB50" s="280"/>
      <c r="AAC50" s="280"/>
      <c r="AAD50" s="280"/>
      <c r="AAE50" s="280"/>
      <c r="AAF50" s="280"/>
      <c r="AAG50" s="280"/>
      <c r="AAH50" s="280"/>
      <c r="AAI50" s="280"/>
      <c r="AAJ50" s="280"/>
      <c r="AAK50" s="280"/>
      <c r="AAL50" s="280"/>
      <c r="AAM50" s="280"/>
      <c r="AAN50" s="280"/>
      <c r="AAO50" s="280"/>
      <c r="AAP50" s="280"/>
      <c r="AAQ50" s="280"/>
      <c r="AAR50" s="280"/>
      <c r="AAS50" s="280"/>
      <c r="AAT50" s="280"/>
      <c r="AAU50" s="280"/>
      <c r="AAV50" s="280"/>
      <c r="AAW50" s="280"/>
      <c r="AAX50" s="280"/>
      <c r="AAY50" s="280"/>
      <c r="AAZ50" s="280"/>
      <c r="ABA50" s="280"/>
      <c r="ABB50" s="280"/>
      <c r="ABC50" s="280"/>
      <c r="ABD50" s="280"/>
      <c r="ABE50" s="280"/>
      <c r="ABF50" s="280"/>
      <c r="ABG50" s="280"/>
      <c r="ABH50" s="280"/>
      <c r="ABI50" s="280"/>
      <c r="ABJ50" s="280"/>
      <c r="ABK50" s="280"/>
      <c r="ABL50" s="280"/>
      <c r="ABM50" s="280"/>
      <c r="ABN50" s="280"/>
      <c r="ABO50" s="280"/>
      <c r="ABP50" s="280"/>
      <c r="ABQ50" s="280"/>
      <c r="ABR50" s="280"/>
      <c r="ABS50" s="280"/>
      <c r="ABT50" s="280"/>
      <c r="ABU50" s="280"/>
      <c r="ABV50" s="280"/>
      <c r="ABW50" s="280"/>
      <c r="ABX50" s="280"/>
      <c r="ABY50" s="280"/>
      <c r="ABZ50" s="280"/>
      <c r="ACA50" s="280"/>
      <c r="ACB50" s="280"/>
      <c r="ACC50" s="280"/>
      <c r="ACD50" s="280"/>
      <c r="ACE50" s="280"/>
      <c r="ACF50" s="280"/>
      <c r="ACG50" s="280"/>
      <c r="ACH50" s="280"/>
      <c r="ACI50" s="280"/>
      <c r="ACJ50" s="280"/>
      <c r="ACK50" s="280"/>
      <c r="ACL50" s="280"/>
      <c r="ACM50" s="280"/>
      <c r="ACN50" s="280"/>
      <c r="ACO50" s="280"/>
      <c r="ACP50" s="280"/>
      <c r="ACQ50" s="280"/>
      <c r="ACR50" s="280"/>
      <c r="ACS50" s="280"/>
      <c r="ACT50" s="280"/>
      <c r="ACU50" s="280"/>
      <c r="ACV50" s="280"/>
      <c r="ACW50" s="280"/>
      <c r="ACX50" s="280"/>
      <c r="ACY50" s="280"/>
      <c r="ACZ50" s="280"/>
      <c r="ADA50" s="280"/>
      <c r="ADB50" s="280"/>
      <c r="ADC50" s="280"/>
      <c r="ADD50" s="280"/>
      <c r="ADE50" s="280"/>
      <c r="ADF50" s="280"/>
      <c r="ADG50" s="280"/>
      <c r="ADH50" s="280"/>
      <c r="ADI50" s="280"/>
      <c r="ADJ50" s="280"/>
      <c r="ADK50" s="280"/>
      <c r="ADL50" s="280"/>
      <c r="ADM50" s="280"/>
      <c r="ADN50" s="280"/>
      <c r="ADO50" s="280"/>
      <c r="ADP50" s="280"/>
      <c r="ADQ50" s="280"/>
      <c r="ADR50" s="280"/>
      <c r="ADS50" s="280"/>
      <c r="ADT50" s="280"/>
      <c r="ADU50" s="280"/>
      <c r="ADV50" s="280"/>
      <c r="ADW50" s="280"/>
      <c r="ADX50" s="280"/>
      <c r="ADY50" s="280"/>
      <c r="ADZ50" s="280"/>
      <c r="AEA50" s="280"/>
      <c r="AEB50" s="280"/>
      <c r="AEC50" s="280"/>
      <c r="AED50" s="280"/>
      <c r="AEE50" s="280"/>
      <c r="AEF50" s="280"/>
      <c r="AEG50" s="280"/>
      <c r="AEH50" s="280"/>
      <c r="AEI50" s="280"/>
      <c r="AEJ50" s="280"/>
      <c r="AEK50" s="280"/>
      <c r="AEL50" s="280"/>
      <c r="AEM50" s="280"/>
      <c r="AEN50" s="280"/>
      <c r="AEO50" s="280"/>
      <c r="AEP50" s="280"/>
      <c r="AEQ50" s="280"/>
      <c r="AER50" s="280"/>
      <c r="AES50" s="280"/>
      <c r="AET50" s="280"/>
      <c r="AEU50" s="280"/>
      <c r="AEV50" s="280"/>
      <c r="AEW50" s="280"/>
      <c r="AEX50" s="280"/>
      <c r="AEY50" s="280"/>
      <c r="AEZ50" s="280"/>
      <c r="AFA50" s="280"/>
      <c r="AFB50" s="280"/>
      <c r="AFC50" s="280"/>
      <c r="AFD50" s="280"/>
      <c r="AFE50" s="280"/>
      <c r="AFF50" s="280"/>
      <c r="AFG50" s="280"/>
      <c r="AFH50" s="280"/>
      <c r="AFI50" s="280"/>
      <c r="AFJ50" s="280"/>
      <c r="AFK50" s="280"/>
      <c r="AFL50" s="280"/>
      <c r="AFM50" s="280"/>
      <c r="AFN50" s="280"/>
      <c r="AFO50" s="280"/>
      <c r="AFP50" s="280"/>
      <c r="AFQ50" s="280"/>
      <c r="AFR50" s="280"/>
      <c r="AFS50" s="280"/>
      <c r="AFT50" s="280"/>
      <c r="AFU50" s="280"/>
      <c r="AFV50" s="280"/>
      <c r="AFW50" s="280"/>
      <c r="AFX50" s="280"/>
      <c r="AFY50" s="280"/>
      <c r="AFZ50" s="280"/>
      <c r="AGA50" s="280"/>
      <c r="AGB50" s="280"/>
      <c r="AGC50" s="280"/>
      <c r="AGD50" s="280"/>
      <c r="AGE50" s="280"/>
      <c r="AGF50" s="280"/>
      <c r="AGG50" s="280"/>
      <c r="AGH50" s="280"/>
      <c r="AGI50" s="280"/>
      <c r="AGJ50" s="280"/>
      <c r="AGK50" s="280"/>
      <c r="AGL50" s="280"/>
      <c r="AGM50" s="280"/>
      <c r="AGN50" s="280"/>
      <c r="AGO50" s="280"/>
      <c r="AGP50" s="280"/>
      <c r="AGQ50" s="280"/>
      <c r="AGR50" s="280"/>
      <c r="AGS50" s="280"/>
      <c r="AGT50" s="280"/>
      <c r="AGU50" s="280"/>
      <c r="AGV50" s="280"/>
      <c r="AGW50" s="280"/>
      <c r="AGX50" s="280"/>
      <c r="AGY50" s="280"/>
      <c r="AGZ50" s="280"/>
      <c r="AHA50" s="280"/>
      <c r="AHB50" s="280"/>
      <c r="AHC50" s="280"/>
      <c r="AHD50" s="280"/>
      <c r="AHE50" s="280"/>
      <c r="AHF50" s="280"/>
      <c r="AHG50" s="280"/>
      <c r="AHH50" s="280"/>
      <c r="AHI50" s="280"/>
      <c r="AHJ50" s="280"/>
      <c r="AHK50" s="280"/>
      <c r="AHL50" s="280"/>
      <c r="AHM50" s="280"/>
      <c r="AHN50" s="280"/>
      <c r="AHO50" s="280"/>
      <c r="AHP50" s="280"/>
      <c r="AHQ50" s="280"/>
      <c r="AHR50" s="280"/>
      <c r="AHS50" s="280"/>
      <c r="AHT50" s="280"/>
      <c r="AHU50" s="280"/>
      <c r="AHV50" s="280"/>
      <c r="AHW50" s="280"/>
      <c r="AHX50" s="280"/>
      <c r="AHY50" s="280"/>
      <c r="AHZ50" s="280"/>
      <c r="AIA50" s="280"/>
      <c r="AIB50" s="280"/>
      <c r="AIC50" s="280"/>
      <c r="AID50" s="280"/>
      <c r="AIE50" s="280"/>
      <c r="AIF50" s="280"/>
      <c r="AIG50" s="280"/>
      <c r="AIH50" s="280"/>
      <c r="AII50" s="280"/>
      <c r="AIJ50" s="280"/>
      <c r="AIK50" s="280"/>
      <c r="AIL50" s="280"/>
      <c r="AIM50" s="280"/>
      <c r="AIN50" s="280"/>
      <c r="AIO50" s="280"/>
      <c r="AIP50" s="280"/>
      <c r="AIQ50" s="280"/>
      <c r="AIR50" s="280"/>
      <c r="AIS50" s="280"/>
      <c r="AIT50" s="280"/>
      <c r="AIU50" s="280"/>
      <c r="AIV50" s="280"/>
      <c r="AIW50" s="280"/>
      <c r="AIX50" s="280"/>
      <c r="AIY50" s="280"/>
      <c r="AIZ50" s="280"/>
      <c r="AJA50" s="280"/>
      <c r="AJB50" s="280"/>
      <c r="AJC50" s="280"/>
      <c r="AJD50" s="280"/>
      <c r="AJE50" s="280"/>
      <c r="AJF50" s="280"/>
      <c r="AJG50" s="280"/>
      <c r="AJH50" s="280"/>
      <c r="AJI50" s="280"/>
      <c r="AJJ50" s="280"/>
      <c r="AJK50" s="280"/>
      <c r="AJL50" s="280"/>
      <c r="AJM50" s="280"/>
      <c r="AJN50" s="280"/>
      <c r="AJO50" s="280"/>
      <c r="AJP50" s="280"/>
      <c r="AJQ50" s="280"/>
      <c r="AJR50" s="280"/>
      <c r="AJS50" s="280"/>
      <c r="AJT50" s="280"/>
      <c r="AJU50" s="280"/>
      <c r="AJV50" s="280"/>
      <c r="AJW50" s="280"/>
      <c r="AJX50" s="280"/>
      <c r="AJY50" s="280"/>
      <c r="AJZ50" s="280"/>
      <c r="AKA50" s="280"/>
      <c r="AKB50" s="280"/>
      <c r="AKC50" s="280"/>
      <c r="AKD50" s="280"/>
      <c r="AKE50" s="280"/>
      <c r="AKF50" s="280"/>
      <c r="AKG50" s="280"/>
      <c r="AKH50" s="280"/>
      <c r="AKI50" s="280"/>
      <c r="AKJ50" s="280"/>
      <c r="AKK50" s="280"/>
      <c r="AKL50" s="280"/>
      <c r="AKM50" s="280"/>
      <c r="AKN50" s="280"/>
      <c r="AKO50" s="280"/>
      <c r="AKP50" s="280"/>
      <c r="AKQ50" s="280"/>
      <c r="AKR50" s="280"/>
      <c r="AKS50" s="280"/>
      <c r="AKT50" s="280"/>
      <c r="AKU50" s="280"/>
      <c r="AKV50" s="280"/>
      <c r="AKW50" s="280"/>
      <c r="AKX50" s="280"/>
      <c r="AKY50" s="280"/>
      <c r="AKZ50" s="280"/>
      <c r="ALA50" s="280"/>
      <c r="ALB50" s="280"/>
      <c r="ALC50" s="280"/>
      <c r="ALD50" s="280"/>
      <c r="ALE50" s="280"/>
      <c r="ALF50" s="280"/>
      <c r="ALG50" s="280"/>
      <c r="ALH50" s="280"/>
      <c r="ALI50" s="280"/>
      <c r="ALJ50" s="280"/>
      <c r="ALK50" s="280"/>
      <c r="ALL50" s="280"/>
      <c r="ALM50" s="280"/>
      <c r="ALN50" s="280"/>
      <c r="ALO50" s="280"/>
      <c r="ALP50" s="280"/>
      <c r="ALQ50" s="280"/>
      <c r="ALR50" s="280"/>
      <c r="ALS50" s="280"/>
      <c r="ALT50" s="280"/>
      <c r="ALU50" s="280"/>
      <c r="ALV50" s="280"/>
      <c r="ALW50" s="280"/>
      <c r="ALX50" s="280"/>
      <c r="ALY50" s="280"/>
      <c r="ALZ50" s="280"/>
      <c r="AMA50" s="280"/>
      <c r="AMB50" s="280"/>
      <c r="AMC50" s="280"/>
      <c r="AMD50" s="280"/>
      <c r="AME50" s="280"/>
      <c r="AMF50" s="280"/>
      <c r="AMG50" s="280"/>
      <c r="AMH50" s="280"/>
      <c r="AMI50" s="280"/>
      <c r="AMJ50" s="280"/>
      <c r="AMK50" s="280"/>
      <c r="AML50" s="280"/>
      <c r="AMM50" s="280"/>
      <c r="AMN50" s="280"/>
      <c r="AMO50" s="280"/>
      <c r="AMP50" s="280"/>
      <c r="AMQ50" s="280"/>
      <c r="AMR50" s="280"/>
      <c r="AMS50" s="280"/>
      <c r="AMT50" s="280"/>
      <c r="AMU50" s="280"/>
      <c r="AMV50" s="280"/>
      <c r="AMW50" s="280"/>
      <c r="AMX50" s="280"/>
      <c r="AMY50" s="280"/>
      <c r="AMZ50" s="280"/>
      <c r="ANA50" s="280"/>
      <c r="ANB50" s="280"/>
      <c r="ANC50" s="280"/>
      <c r="AND50" s="280"/>
      <c r="ANE50" s="280"/>
      <c r="ANF50" s="280"/>
      <c r="ANG50" s="280"/>
      <c r="ANH50" s="280"/>
      <c r="ANI50" s="280"/>
      <c r="ANJ50" s="280"/>
      <c r="ANK50" s="280"/>
      <c r="ANL50" s="280"/>
      <c r="ANM50" s="280"/>
      <c r="ANN50" s="280"/>
      <c r="ANO50" s="280"/>
      <c r="ANP50" s="280"/>
      <c r="ANQ50" s="280"/>
      <c r="ANR50" s="280"/>
      <c r="ANS50" s="280"/>
      <c r="ANT50" s="280"/>
      <c r="ANU50" s="280"/>
      <c r="ANV50" s="280"/>
      <c r="ANW50" s="280"/>
      <c r="ANX50" s="280"/>
      <c r="ANY50" s="280"/>
      <c r="ANZ50" s="280"/>
      <c r="AOA50" s="280"/>
      <c r="AOB50" s="280"/>
      <c r="AOC50" s="280"/>
      <c r="AOD50" s="280"/>
      <c r="AOE50" s="280"/>
      <c r="AOF50" s="280"/>
      <c r="AOG50" s="280"/>
      <c r="AOH50" s="280"/>
      <c r="AOI50" s="280"/>
      <c r="AOJ50" s="280"/>
      <c r="AOK50" s="280"/>
      <c r="AOL50" s="280"/>
      <c r="AOM50" s="280"/>
      <c r="AON50" s="280"/>
      <c r="AOO50" s="280"/>
      <c r="AOP50" s="280"/>
      <c r="AOQ50" s="280"/>
      <c r="AOR50" s="280"/>
      <c r="AOS50" s="280"/>
      <c r="AOT50" s="280"/>
      <c r="AOU50" s="280"/>
      <c r="AOV50" s="280"/>
      <c r="AOW50" s="280"/>
      <c r="AOX50" s="280"/>
      <c r="AOY50" s="280"/>
      <c r="AOZ50" s="280"/>
      <c r="APA50" s="280"/>
      <c r="APB50" s="280"/>
      <c r="APC50" s="280"/>
      <c r="APD50" s="280"/>
      <c r="APE50" s="280"/>
      <c r="APF50" s="280"/>
      <c r="APG50" s="280"/>
      <c r="APH50" s="280"/>
      <c r="API50" s="280"/>
      <c r="APJ50" s="280"/>
      <c r="APK50" s="280"/>
      <c r="APL50" s="280"/>
      <c r="APM50" s="280"/>
      <c r="APN50" s="280"/>
      <c r="APO50" s="280"/>
      <c r="APP50" s="280"/>
      <c r="APQ50" s="280"/>
      <c r="APR50" s="280"/>
      <c r="APS50" s="280"/>
      <c r="APT50" s="280"/>
      <c r="APU50" s="280"/>
      <c r="APV50" s="280"/>
      <c r="APW50" s="280"/>
      <c r="APX50" s="280"/>
      <c r="APY50" s="280"/>
      <c r="APZ50" s="280"/>
      <c r="AQA50" s="280"/>
      <c r="AQB50" s="280"/>
      <c r="AQC50" s="280"/>
      <c r="AQD50" s="280"/>
      <c r="AQE50" s="280"/>
      <c r="AQF50" s="280"/>
      <c r="AQG50" s="280"/>
      <c r="AQH50" s="280"/>
      <c r="AQI50" s="280"/>
      <c r="AQJ50" s="280"/>
      <c r="AQK50" s="280"/>
      <c r="AQL50" s="280"/>
      <c r="AQM50" s="280"/>
      <c r="AQN50" s="280"/>
      <c r="AQO50" s="280"/>
      <c r="AQP50" s="280"/>
      <c r="AQQ50" s="280"/>
      <c r="AQR50" s="280"/>
      <c r="AQS50" s="280"/>
      <c r="AQT50" s="280"/>
      <c r="AQU50" s="280"/>
      <c r="AQV50" s="280"/>
      <c r="AQW50" s="280"/>
      <c r="AQX50" s="280"/>
      <c r="AQY50" s="280"/>
      <c r="AQZ50" s="280"/>
      <c r="ARA50" s="280"/>
      <c r="ARB50" s="280"/>
      <c r="ARC50" s="280"/>
      <c r="ARD50" s="280"/>
      <c r="ARE50" s="280"/>
      <c r="ARF50" s="280"/>
      <c r="ARG50" s="280"/>
      <c r="ARH50" s="280"/>
      <c r="ARI50" s="280"/>
      <c r="ARJ50" s="280"/>
      <c r="ARK50" s="280"/>
      <c r="ARL50" s="280"/>
      <c r="ARM50" s="280"/>
      <c r="ARN50" s="280"/>
      <c r="ARO50" s="280"/>
      <c r="ARP50" s="280"/>
      <c r="ARQ50" s="280"/>
      <c r="ARR50" s="280"/>
      <c r="ARS50" s="280"/>
      <c r="ART50" s="280"/>
      <c r="ARU50" s="280"/>
      <c r="ARV50" s="280"/>
      <c r="ARW50" s="280"/>
      <c r="ARX50" s="280"/>
      <c r="ARY50" s="280"/>
      <c r="ARZ50" s="280"/>
      <c r="ASA50" s="280"/>
      <c r="ASB50" s="280"/>
      <c r="ASC50" s="280"/>
      <c r="ASD50" s="280"/>
      <c r="ASE50" s="280"/>
      <c r="ASF50" s="280"/>
      <c r="ASG50" s="280"/>
      <c r="ASH50" s="280"/>
      <c r="ASI50" s="280"/>
      <c r="ASJ50" s="280"/>
      <c r="ASK50" s="280"/>
      <c r="ASL50" s="280"/>
      <c r="ASM50" s="280"/>
      <c r="ASN50" s="280"/>
      <c r="ASO50" s="280"/>
      <c r="ASP50" s="280"/>
      <c r="ASQ50" s="280"/>
      <c r="ASR50" s="280"/>
      <c r="ASS50" s="280"/>
      <c r="AST50" s="280"/>
      <c r="ASU50" s="280"/>
      <c r="ASV50" s="280"/>
      <c r="ASW50" s="280"/>
      <c r="ASX50" s="280"/>
      <c r="ASY50" s="280"/>
      <c r="ASZ50" s="280"/>
      <c r="ATA50" s="280"/>
      <c r="ATB50" s="280"/>
      <c r="ATC50" s="280"/>
      <c r="ATD50" s="280"/>
      <c r="ATE50" s="280"/>
      <c r="ATF50" s="280"/>
      <c r="ATG50" s="280"/>
      <c r="ATH50" s="280"/>
      <c r="ATI50" s="280"/>
      <c r="ATJ50" s="280"/>
      <c r="ATK50" s="280"/>
      <c r="ATL50" s="280"/>
      <c r="ATM50" s="280"/>
      <c r="ATN50" s="280"/>
      <c r="ATO50" s="280"/>
      <c r="ATP50" s="280"/>
      <c r="ATQ50" s="280"/>
      <c r="ATR50" s="280"/>
      <c r="ATS50" s="280"/>
      <c r="ATT50" s="280"/>
      <c r="ATU50" s="280"/>
      <c r="ATV50" s="280"/>
      <c r="ATW50" s="280"/>
      <c r="ATX50" s="280"/>
      <c r="ATY50" s="280"/>
      <c r="ATZ50" s="280"/>
      <c r="AUA50" s="280"/>
      <c r="AUB50" s="280"/>
      <c r="AUC50" s="280"/>
      <c r="AUD50" s="280"/>
      <c r="AUE50" s="280"/>
      <c r="AUF50" s="280"/>
      <c r="AUG50" s="280"/>
      <c r="AUH50" s="280"/>
      <c r="AUI50" s="280"/>
      <c r="AUJ50" s="280"/>
      <c r="AUK50" s="280"/>
      <c r="AUL50" s="280"/>
      <c r="AUM50" s="280"/>
      <c r="AUN50" s="280"/>
      <c r="AUO50" s="280"/>
      <c r="AUP50" s="280"/>
      <c r="AUQ50" s="280"/>
      <c r="AUR50" s="280"/>
      <c r="AUS50" s="280"/>
      <c r="AUT50" s="280"/>
      <c r="AUU50" s="280"/>
      <c r="AUV50" s="280"/>
      <c r="AUW50" s="280"/>
      <c r="AUX50" s="280"/>
      <c r="AUY50" s="280"/>
      <c r="AUZ50" s="280"/>
      <c r="AVA50" s="280"/>
      <c r="AVB50" s="280"/>
      <c r="AVC50" s="280"/>
      <c r="AVD50" s="280"/>
      <c r="AVE50" s="280"/>
      <c r="AVF50" s="280"/>
      <c r="AVG50" s="280"/>
      <c r="AVH50" s="280"/>
      <c r="AVI50" s="280"/>
      <c r="AVJ50" s="280"/>
      <c r="AVK50" s="280"/>
      <c r="AVL50" s="280"/>
      <c r="AVM50" s="280"/>
      <c r="AVN50" s="280"/>
      <c r="AVO50" s="280"/>
      <c r="AVP50" s="280"/>
      <c r="AVQ50" s="280"/>
      <c r="AVR50" s="280"/>
      <c r="AVS50" s="280"/>
      <c r="AVT50" s="280"/>
      <c r="AVU50" s="280"/>
      <c r="AVV50" s="280"/>
      <c r="AVW50" s="280"/>
      <c r="AVX50" s="280"/>
      <c r="AVY50" s="280"/>
      <c r="AVZ50" s="280"/>
      <c r="AWA50" s="280"/>
      <c r="AWB50" s="280"/>
      <c r="AWC50" s="280"/>
      <c r="AWD50" s="280"/>
      <c r="AWE50" s="280"/>
      <c r="AWF50" s="280"/>
      <c r="AWG50" s="280"/>
      <c r="AWH50" s="280"/>
      <c r="AWI50" s="280"/>
      <c r="AWJ50" s="280"/>
      <c r="AWK50" s="280"/>
      <c r="AWL50" s="280"/>
      <c r="AWM50" s="280"/>
      <c r="AWN50" s="280"/>
      <c r="AWO50" s="280"/>
      <c r="AWP50" s="280"/>
      <c r="AWQ50" s="280"/>
      <c r="AWR50" s="280"/>
      <c r="AWS50" s="280"/>
      <c r="AWT50" s="280"/>
      <c r="AWU50" s="280"/>
      <c r="AWV50" s="280"/>
      <c r="AWW50" s="280"/>
      <c r="AWX50" s="280"/>
      <c r="AWY50" s="280"/>
      <c r="AWZ50" s="280"/>
      <c r="AXA50" s="280"/>
      <c r="AXB50" s="280"/>
      <c r="AXC50" s="280"/>
      <c r="AXD50" s="280"/>
      <c r="AXE50" s="280"/>
      <c r="AXF50" s="280"/>
      <c r="AXG50" s="280"/>
      <c r="AXH50" s="280"/>
      <c r="AXI50" s="280"/>
      <c r="AXJ50" s="280"/>
      <c r="AXK50" s="280"/>
      <c r="AXL50" s="280"/>
      <c r="AXM50" s="280"/>
      <c r="AXN50" s="280"/>
      <c r="AXO50" s="280"/>
      <c r="AXP50" s="280"/>
      <c r="AXQ50" s="280"/>
      <c r="AXR50" s="280"/>
      <c r="AXS50" s="280"/>
      <c r="AXT50" s="280"/>
      <c r="AXU50" s="280"/>
      <c r="AXV50" s="280"/>
      <c r="AXW50" s="280"/>
      <c r="AXX50" s="280"/>
      <c r="AXY50" s="280"/>
      <c r="AXZ50" s="280"/>
      <c r="AYA50" s="280"/>
      <c r="AYB50" s="280"/>
      <c r="AYC50" s="280"/>
      <c r="AYD50" s="280"/>
      <c r="AYE50" s="280"/>
      <c r="AYF50" s="280"/>
      <c r="AYG50" s="280"/>
      <c r="AYH50" s="280"/>
      <c r="AYI50" s="280"/>
      <c r="AYJ50" s="280"/>
      <c r="AYK50" s="280"/>
      <c r="AYL50" s="280"/>
      <c r="AYM50" s="280"/>
      <c r="AYN50" s="280"/>
      <c r="AYO50" s="280"/>
      <c r="AYP50" s="280"/>
      <c r="AYQ50" s="280"/>
      <c r="AYR50" s="280"/>
      <c r="AYS50" s="280"/>
      <c r="AYT50" s="280"/>
      <c r="AYU50" s="280"/>
      <c r="AYV50" s="280"/>
      <c r="AYW50" s="280"/>
      <c r="AYX50" s="280"/>
      <c r="AYY50" s="280"/>
      <c r="AYZ50" s="280"/>
      <c r="AZA50" s="280"/>
      <c r="AZB50" s="280"/>
      <c r="AZC50" s="280"/>
      <c r="AZD50" s="280"/>
      <c r="AZE50" s="280"/>
      <c r="AZF50" s="280"/>
      <c r="AZG50" s="280"/>
      <c r="AZH50" s="280"/>
      <c r="AZI50" s="280"/>
      <c r="AZJ50" s="280"/>
      <c r="AZK50" s="280"/>
      <c r="AZL50" s="280"/>
      <c r="AZM50" s="280"/>
      <c r="AZN50" s="280"/>
      <c r="AZO50" s="280"/>
      <c r="AZP50" s="280"/>
      <c r="AZQ50" s="280"/>
      <c r="AZR50" s="280"/>
      <c r="AZS50" s="280"/>
      <c r="AZT50" s="280"/>
      <c r="AZU50" s="280"/>
      <c r="AZV50" s="280"/>
      <c r="AZW50" s="280"/>
      <c r="AZX50" s="280"/>
      <c r="AZY50" s="280"/>
      <c r="AZZ50" s="280"/>
      <c r="BAA50" s="280"/>
      <c r="BAB50" s="280"/>
      <c r="BAC50" s="280"/>
      <c r="BAD50" s="280"/>
      <c r="BAE50" s="280"/>
      <c r="BAF50" s="280"/>
      <c r="BAG50" s="280"/>
      <c r="BAH50" s="280"/>
      <c r="BAI50" s="280"/>
      <c r="BAJ50" s="280"/>
      <c r="BAK50" s="280"/>
      <c r="BAL50" s="280"/>
      <c r="BAM50" s="280"/>
      <c r="BAN50" s="280"/>
      <c r="BAO50" s="280"/>
      <c r="BAP50" s="280"/>
      <c r="BAQ50" s="280"/>
      <c r="BAR50" s="280"/>
      <c r="BAS50" s="280"/>
      <c r="BAT50" s="280"/>
      <c r="BAU50" s="280"/>
      <c r="BAV50" s="280"/>
      <c r="BAW50" s="280"/>
      <c r="BAX50" s="280"/>
      <c r="BAY50" s="280"/>
      <c r="BAZ50" s="280"/>
      <c r="BBA50" s="280"/>
      <c r="BBB50" s="280"/>
      <c r="BBC50" s="280"/>
      <c r="BBD50" s="280"/>
      <c r="BBE50" s="280"/>
      <c r="BBF50" s="280"/>
      <c r="BBG50" s="280"/>
      <c r="BBH50" s="280"/>
      <c r="BBI50" s="280"/>
      <c r="BBJ50" s="280"/>
      <c r="BBK50" s="280"/>
      <c r="BBL50" s="280"/>
      <c r="BBM50" s="280"/>
      <c r="BBN50" s="280"/>
      <c r="BBO50" s="280"/>
      <c r="BBP50" s="280"/>
      <c r="BBQ50" s="280"/>
      <c r="BBR50" s="280"/>
      <c r="BBS50" s="280"/>
      <c r="BBT50" s="280"/>
      <c r="BBU50" s="280"/>
      <c r="BBV50" s="280"/>
      <c r="BBW50" s="280"/>
      <c r="BBX50" s="280"/>
      <c r="BBY50" s="280"/>
      <c r="BBZ50" s="280"/>
      <c r="BCA50" s="280"/>
      <c r="BCB50" s="280"/>
      <c r="BCC50" s="280"/>
      <c r="BCD50" s="280"/>
      <c r="BCE50" s="280"/>
      <c r="BCF50" s="280"/>
      <c r="BCG50" s="280"/>
      <c r="BCH50" s="280"/>
      <c r="BCI50" s="280"/>
      <c r="BCJ50" s="280"/>
      <c r="BCK50" s="280"/>
      <c r="BCL50" s="280"/>
      <c r="BCM50" s="280"/>
      <c r="BCN50" s="280"/>
      <c r="BCO50" s="280"/>
      <c r="BCP50" s="280"/>
      <c r="BCQ50" s="280"/>
      <c r="BCR50" s="280"/>
      <c r="BCS50" s="280"/>
      <c r="BCT50" s="280"/>
      <c r="BCU50" s="280"/>
      <c r="BCV50" s="280"/>
      <c r="BCW50" s="280"/>
      <c r="BCX50" s="280"/>
      <c r="BCY50" s="280"/>
      <c r="BCZ50" s="280"/>
      <c r="BDA50" s="280"/>
      <c r="BDB50" s="280"/>
      <c r="BDC50" s="280"/>
      <c r="BDD50" s="280"/>
      <c r="BDE50" s="280"/>
      <c r="BDF50" s="280"/>
      <c r="BDG50" s="280"/>
      <c r="BDH50" s="280"/>
      <c r="BDI50" s="280"/>
      <c r="BDJ50" s="280"/>
      <c r="BDK50" s="280"/>
      <c r="BDL50" s="280"/>
      <c r="BDM50" s="280"/>
      <c r="BDN50" s="280"/>
      <c r="BDO50" s="280"/>
      <c r="BDP50" s="280"/>
      <c r="BDQ50" s="280"/>
      <c r="BDR50" s="280"/>
      <c r="BDS50" s="280"/>
      <c r="BDT50" s="280"/>
      <c r="BDU50" s="280"/>
      <c r="BDV50" s="280"/>
      <c r="BDW50" s="280"/>
      <c r="BDX50" s="280"/>
      <c r="BDY50" s="280"/>
      <c r="BDZ50" s="280"/>
      <c r="BEA50" s="280"/>
      <c r="BEB50" s="280"/>
      <c r="BEC50" s="280"/>
      <c r="BED50" s="280"/>
      <c r="BEE50" s="280"/>
      <c r="BEF50" s="280"/>
      <c r="BEG50" s="280"/>
      <c r="BEH50" s="280"/>
      <c r="BEI50" s="280"/>
      <c r="BEJ50" s="280"/>
      <c r="BEK50" s="280"/>
      <c r="BEL50" s="280"/>
      <c r="BEM50" s="280"/>
      <c r="BEN50" s="280"/>
      <c r="BEO50" s="280"/>
      <c r="BEP50" s="280"/>
      <c r="BEQ50" s="280"/>
      <c r="BER50" s="280"/>
      <c r="BES50" s="280"/>
      <c r="BET50" s="280"/>
      <c r="BEU50" s="280"/>
      <c r="BEV50" s="280"/>
      <c r="BEW50" s="280"/>
      <c r="BEX50" s="280"/>
      <c r="BEY50" s="280"/>
      <c r="BEZ50" s="280"/>
      <c r="BFA50" s="280"/>
      <c r="BFB50" s="280"/>
      <c r="BFC50" s="280"/>
      <c r="BFD50" s="280"/>
      <c r="BFE50" s="280"/>
      <c r="BFF50" s="280"/>
      <c r="BFG50" s="280"/>
      <c r="BFH50" s="280"/>
      <c r="BFI50" s="280"/>
      <c r="BFJ50" s="280"/>
      <c r="BFK50" s="280"/>
      <c r="BFL50" s="280"/>
      <c r="BFM50" s="280"/>
      <c r="BFN50" s="280"/>
      <c r="BFO50" s="280"/>
      <c r="BFP50" s="280"/>
      <c r="BFQ50" s="280"/>
      <c r="BFR50" s="280"/>
      <c r="BFS50" s="280"/>
      <c r="BFT50" s="280"/>
      <c r="BFU50" s="280"/>
      <c r="BFV50" s="280"/>
      <c r="BFW50" s="280"/>
      <c r="BFX50" s="280"/>
      <c r="BFY50" s="280"/>
      <c r="BFZ50" s="280"/>
      <c r="BGA50" s="280"/>
      <c r="BGB50" s="280"/>
      <c r="BGC50" s="280"/>
      <c r="BGD50" s="280"/>
      <c r="BGE50" s="280"/>
      <c r="BGF50" s="280"/>
      <c r="BGG50" s="280"/>
      <c r="BGH50" s="280"/>
      <c r="BGI50" s="280"/>
      <c r="BGJ50" s="280"/>
      <c r="BGK50" s="280"/>
      <c r="BGL50" s="280"/>
      <c r="BGM50" s="280"/>
      <c r="BGN50" s="280"/>
      <c r="BGO50" s="280"/>
      <c r="BGP50" s="280"/>
      <c r="BGQ50" s="280"/>
      <c r="BGR50" s="280"/>
      <c r="BGS50" s="280"/>
      <c r="BGT50" s="280"/>
      <c r="BGU50" s="280"/>
      <c r="BGV50" s="280"/>
      <c r="BGW50" s="280"/>
      <c r="BGX50" s="280"/>
      <c r="BGY50" s="280"/>
      <c r="BGZ50" s="280"/>
      <c r="BHA50" s="280"/>
      <c r="BHB50" s="280"/>
      <c r="BHC50" s="280"/>
      <c r="BHD50" s="280"/>
      <c r="BHE50" s="280"/>
      <c r="BHF50" s="280"/>
      <c r="BHG50" s="280"/>
      <c r="BHH50" s="280"/>
      <c r="BHI50" s="280"/>
      <c r="BHJ50" s="280"/>
      <c r="BHK50" s="280"/>
      <c r="BHL50" s="280"/>
      <c r="BHM50" s="280"/>
      <c r="BHN50" s="280"/>
      <c r="BHO50" s="280"/>
      <c r="BHP50" s="280"/>
      <c r="BHQ50" s="280"/>
      <c r="BHR50" s="280"/>
      <c r="BHS50" s="280"/>
      <c r="BHT50" s="280"/>
      <c r="BHU50" s="280"/>
      <c r="BHV50" s="280"/>
      <c r="BHW50" s="280"/>
      <c r="BHX50" s="280"/>
      <c r="BHY50" s="280"/>
      <c r="BHZ50" s="280"/>
      <c r="BIA50" s="280"/>
      <c r="BIB50" s="280"/>
      <c r="BIC50" s="280"/>
      <c r="BID50" s="280"/>
      <c r="BIE50" s="280"/>
      <c r="BIF50" s="280"/>
      <c r="BIG50" s="280"/>
      <c r="BIH50" s="280"/>
      <c r="BII50" s="280"/>
      <c r="BIJ50" s="280"/>
      <c r="BIK50" s="280"/>
      <c r="BIL50" s="280"/>
      <c r="BIM50" s="280"/>
      <c r="BIN50" s="280"/>
      <c r="BIO50" s="280"/>
      <c r="BIP50" s="280"/>
      <c r="BIQ50" s="280"/>
      <c r="BIR50" s="280"/>
      <c r="BIS50" s="280"/>
      <c r="BIT50" s="280"/>
      <c r="BIU50" s="280"/>
      <c r="BIV50" s="280"/>
      <c r="BIW50" s="280"/>
      <c r="BIX50" s="280"/>
      <c r="BIY50" s="280"/>
      <c r="BIZ50" s="280"/>
      <c r="BJA50" s="280"/>
      <c r="BJB50" s="280"/>
      <c r="BJC50" s="280"/>
      <c r="BJD50" s="280"/>
      <c r="BJE50" s="280"/>
      <c r="BJF50" s="280"/>
      <c r="BJG50" s="280"/>
      <c r="BJH50" s="280"/>
      <c r="BJI50" s="280"/>
      <c r="BJJ50" s="280"/>
      <c r="BJK50" s="280"/>
      <c r="BJL50" s="280"/>
      <c r="BJM50" s="280"/>
      <c r="BJN50" s="280"/>
      <c r="BJO50" s="280"/>
      <c r="BJP50" s="280"/>
      <c r="BJQ50" s="280"/>
      <c r="BJR50" s="280"/>
      <c r="BJS50" s="280"/>
      <c r="BJT50" s="280"/>
      <c r="BJU50" s="280"/>
      <c r="BJV50" s="280"/>
      <c r="BJW50" s="280"/>
      <c r="BJX50" s="280"/>
      <c r="BJY50" s="280"/>
      <c r="BJZ50" s="280"/>
      <c r="BKA50" s="280"/>
      <c r="BKB50" s="280"/>
      <c r="BKC50" s="280"/>
      <c r="BKD50" s="280"/>
      <c r="BKE50" s="280"/>
      <c r="BKF50" s="280"/>
      <c r="BKG50" s="280"/>
      <c r="BKH50" s="280"/>
      <c r="BKI50" s="280"/>
      <c r="BKJ50" s="280"/>
      <c r="BKK50" s="280"/>
      <c r="BKL50" s="280"/>
      <c r="BKM50" s="280"/>
      <c r="BKN50" s="280"/>
      <c r="BKO50" s="280"/>
      <c r="BKP50" s="280"/>
      <c r="BKQ50" s="280"/>
      <c r="BKR50" s="280"/>
      <c r="BKS50" s="280"/>
      <c r="BKT50" s="280"/>
      <c r="BKU50" s="280"/>
      <c r="BKV50" s="280"/>
      <c r="BKW50" s="280"/>
      <c r="BKX50" s="280"/>
      <c r="BKY50" s="280"/>
      <c r="BKZ50" s="280"/>
      <c r="BLA50" s="280"/>
      <c r="BLB50" s="280"/>
      <c r="BLC50" s="280"/>
      <c r="BLD50" s="280"/>
      <c r="BLE50" s="280"/>
      <c r="BLF50" s="280"/>
      <c r="BLG50" s="280"/>
      <c r="BLH50" s="280"/>
      <c r="BLI50" s="280"/>
      <c r="BLJ50" s="280"/>
      <c r="BLK50" s="280"/>
      <c r="BLL50" s="280"/>
      <c r="BLM50" s="280"/>
      <c r="BLN50" s="280"/>
      <c r="BLO50" s="280"/>
      <c r="BLP50" s="280"/>
      <c r="BLQ50" s="280"/>
      <c r="BLR50" s="280"/>
      <c r="BLS50" s="280"/>
      <c r="BLT50" s="280"/>
      <c r="BLU50" s="280"/>
      <c r="BLV50" s="280"/>
      <c r="BLW50" s="280"/>
      <c r="BLX50" s="280"/>
      <c r="BLY50" s="280"/>
      <c r="BLZ50" s="280"/>
      <c r="BMA50" s="280"/>
      <c r="BMB50" s="280"/>
      <c r="BMC50" s="280"/>
      <c r="BMD50" s="280"/>
      <c r="BME50" s="280"/>
      <c r="BMF50" s="280"/>
      <c r="BMG50" s="280"/>
      <c r="BMH50" s="280"/>
      <c r="BMI50" s="280"/>
      <c r="BMJ50" s="280"/>
      <c r="BMK50" s="280"/>
      <c r="BML50" s="280"/>
      <c r="BMM50" s="280"/>
      <c r="BMN50" s="280"/>
      <c r="BMO50" s="280"/>
      <c r="BMP50" s="280"/>
      <c r="BMQ50" s="280"/>
      <c r="BMR50" s="280"/>
      <c r="BMS50" s="280"/>
      <c r="BMT50" s="280"/>
      <c r="BMU50" s="280"/>
      <c r="BMV50" s="280"/>
      <c r="BMW50" s="280"/>
      <c r="BMX50" s="280"/>
      <c r="BMY50" s="280"/>
      <c r="BMZ50" s="280"/>
      <c r="BNA50" s="280"/>
      <c r="BNB50" s="280"/>
      <c r="BNC50" s="280"/>
      <c r="BND50" s="280"/>
      <c r="BNE50" s="280"/>
      <c r="BNF50" s="280"/>
      <c r="BNG50" s="280"/>
      <c r="BNH50" s="280"/>
      <c r="BNI50" s="280"/>
      <c r="BNJ50" s="280"/>
      <c r="BNK50" s="280"/>
      <c r="BNL50" s="280"/>
      <c r="BNM50" s="280"/>
      <c r="BNN50" s="280"/>
      <c r="BNO50" s="280"/>
      <c r="BNP50" s="280"/>
      <c r="BNQ50" s="280"/>
      <c r="BNR50" s="280"/>
      <c r="BNS50" s="280"/>
      <c r="BNT50" s="280"/>
      <c r="BNU50" s="280"/>
      <c r="BNV50" s="280"/>
      <c r="BNW50" s="280"/>
      <c r="BNX50" s="280"/>
      <c r="BNY50" s="280"/>
      <c r="BNZ50" s="280"/>
      <c r="BOA50" s="280"/>
      <c r="BOB50" s="280"/>
      <c r="BOC50" s="280"/>
      <c r="BOD50" s="280"/>
      <c r="BOE50" s="280"/>
      <c r="BOF50" s="280"/>
      <c r="BOG50" s="280"/>
      <c r="BOH50" s="280"/>
      <c r="BOI50" s="280"/>
      <c r="BOJ50" s="280"/>
      <c r="BOK50" s="280"/>
      <c r="BOL50" s="280"/>
      <c r="BOM50" s="280"/>
      <c r="BON50" s="280"/>
      <c r="BOO50" s="280"/>
      <c r="BOP50" s="280"/>
      <c r="BOQ50" s="280"/>
      <c r="BOR50" s="280"/>
      <c r="BOS50" s="280"/>
      <c r="BOT50" s="280"/>
      <c r="BOU50" s="280"/>
      <c r="BOV50" s="280"/>
      <c r="BOW50" s="280"/>
      <c r="BOX50" s="280"/>
      <c r="BOY50" s="280"/>
      <c r="BOZ50" s="280"/>
      <c r="BPA50" s="280"/>
      <c r="BPB50" s="280"/>
      <c r="BPC50" s="280"/>
      <c r="BPD50" s="280"/>
      <c r="BPE50" s="280"/>
      <c r="BPF50" s="280"/>
      <c r="BPG50" s="280"/>
      <c r="BPH50" s="280"/>
      <c r="BPI50" s="280"/>
      <c r="BPJ50" s="280"/>
      <c r="BPK50" s="280"/>
      <c r="BPL50" s="280"/>
      <c r="BPM50" s="280"/>
      <c r="BPN50" s="280"/>
      <c r="BPO50" s="280"/>
      <c r="BPP50" s="280"/>
      <c r="BPQ50" s="280"/>
      <c r="BPR50" s="280"/>
      <c r="BPS50" s="280"/>
      <c r="BPT50" s="280"/>
      <c r="BPU50" s="280"/>
      <c r="BPV50" s="280"/>
      <c r="BPW50" s="280"/>
      <c r="BPX50" s="280"/>
      <c r="BPY50" s="280"/>
      <c r="BPZ50" s="280"/>
      <c r="BQA50" s="280"/>
      <c r="BQB50" s="280"/>
      <c r="BQC50" s="280"/>
      <c r="BQD50" s="280"/>
      <c r="BQE50" s="280"/>
      <c r="BQF50" s="280"/>
      <c r="BQG50" s="280"/>
      <c r="BQH50" s="280"/>
      <c r="BQI50" s="280"/>
      <c r="BQJ50" s="280"/>
      <c r="BQK50" s="280"/>
      <c r="BQL50" s="280"/>
      <c r="BQM50" s="280"/>
      <c r="BQN50" s="280"/>
      <c r="BQO50" s="280"/>
      <c r="BQP50" s="280"/>
      <c r="BQQ50" s="280"/>
      <c r="BQR50" s="280"/>
      <c r="BQS50" s="280"/>
      <c r="BQT50" s="280"/>
      <c r="BQU50" s="280"/>
      <c r="BQV50" s="280"/>
      <c r="BQW50" s="280"/>
      <c r="BQX50" s="280"/>
      <c r="BQY50" s="280"/>
      <c r="BQZ50" s="280"/>
      <c r="BRA50" s="280"/>
      <c r="BRB50" s="280"/>
      <c r="BRC50" s="280"/>
      <c r="BRD50" s="280"/>
      <c r="BRE50" s="280"/>
      <c r="BRF50" s="280"/>
      <c r="BRG50" s="280"/>
      <c r="BRH50" s="280"/>
      <c r="BRI50" s="280"/>
      <c r="BRJ50" s="280"/>
      <c r="BRK50" s="280"/>
      <c r="BRL50" s="280"/>
      <c r="BRM50" s="280"/>
      <c r="BRN50" s="280"/>
      <c r="BRO50" s="280"/>
      <c r="BRP50" s="280"/>
      <c r="BRQ50" s="280"/>
      <c r="BRR50" s="280"/>
      <c r="BRS50" s="280"/>
      <c r="BRT50" s="280"/>
      <c r="BRU50" s="280"/>
      <c r="BRV50" s="280"/>
      <c r="BRW50" s="280"/>
      <c r="BRX50" s="280"/>
      <c r="BRY50" s="280"/>
      <c r="BRZ50" s="280"/>
      <c r="BSA50" s="280"/>
      <c r="BSB50" s="280"/>
      <c r="BSC50" s="280"/>
      <c r="BSD50" s="280"/>
      <c r="BSE50" s="280"/>
      <c r="BSF50" s="280"/>
      <c r="BSG50" s="280"/>
      <c r="BSH50" s="280"/>
      <c r="BSI50" s="280"/>
      <c r="BSJ50" s="280"/>
      <c r="BSK50" s="280"/>
      <c r="BSL50" s="280"/>
      <c r="BSM50" s="280"/>
      <c r="BSN50" s="280"/>
      <c r="BSO50" s="280"/>
      <c r="BSP50" s="280"/>
      <c r="BSQ50" s="280"/>
      <c r="BSR50" s="280"/>
      <c r="BSS50" s="280"/>
      <c r="BST50" s="280"/>
      <c r="BSU50" s="280"/>
      <c r="BSV50" s="280"/>
      <c r="BSW50" s="280"/>
      <c r="BSX50" s="280"/>
      <c r="BSY50" s="280"/>
      <c r="BSZ50" s="280"/>
      <c r="BTA50" s="280"/>
      <c r="BTB50" s="280"/>
      <c r="BTC50" s="280"/>
      <c r="BTD50" s="280"/>
      <c r="BTE50" s="280"/>
      <c r="BTF50" s="280"/>
      <c r="BTG50" s="280"/>
      <c r="BTH50" s="280"/>
      <c r="BTI50" s="280"/>
      <c r="BTJ50" s="280"/>
      <c r="BTK50" s="280"/>
      <c r="BTL50" s="280"/>
      <c r="BTM50" s="280"/>
      <c r="BTN50" s="280"/>
      <c r="BTO50" s="280"/>
      <c r="BTP50" s="280"/>
      <c r="BTQ50" s="280"/>
      <c r="BTR50" s="280"/>
      <c r="BTS50" s="280"/>
      <c r="BTT50" s="280"/>
      <c r="BTU50" s="280"/>
      <c r="BTV50" s="280"/>
      <c r="BTW50" s="280"/>
      <c r="BTX50" s="280"/>
      <c r="BTY50" s="280"/>
      <c r="BTZ50" s="280"/>
      <c r="BUA50" s="280"/>
      <c r="BUB50" s="280"/>
      <c r="BUC50" s="280"/>
      <c r="BUD50" s="280"/>
      <c r="BUE50" s="280"/>
      <c r="BUF50" s="280"/>
      <c r="BUG50" s="280"/>
      <c r="BUH50" s="280"/>
      <c r="BUI50" s="280"/>
      <c r="BUJ50" s="280"/>
      <c r="BUK50" s="280"/>
      <c r="BUL50" s="280"/>
      <c r="BUM50" s="280"/>
      <c r="BUN50" s="280"/>
      <c r="BUO50" s="280"/>
      <c r="BUP50" s="280"/>
      <c r="BUQ50" s="280"/>
      <c r="BUR50" s="280"/>
      <c r="BUS50" s="280"/>
      <c r="BUT50" s="280"/>
      <c r="BUU50" s="280"/>
      <c r="BUV50" s="280"/>
      <c r="BUW50" s="280"/>
      <c r="BUX50" s="280"/>
      <c r="BUY50" s="280"/>
      <c r="BUZ50" s="280"/>
      <c r="BVA50" s="280"/>
      <c r="BVB50" s="280"/>
      <c r="BVC50" s="280"/>
      <c r="BVD50" s="280"/>
      <c r="BVE50" s="280"/>
      <c r="BVF50" s="280"/>
      <c r="BVG50" s="280"/>
      <c r="BVH50" s="280"/>
      <c r="BVI50" s="280"/>
      <c r="BVJ50" s="280"/>
      <c r="BVK50" s="280"/>
      <c r="BVL50" s="280"/>
      <c r="BVM50" s="280"/>
      <c r="BVN50" s="280"/>
      <c r="BVO50" s="280"/>
      <c r="BVP50" s="280"/>
      <c r="BVQ50" s="280"/>
      <c r="BVR50" s="280"/>
      <c r="BVS50" s="280"/>
      <c r="BVT50" s="280"/>
      <c r="BVU50" s="280"/>
      <c r="BVV50" s="280"/>
      <c r="BVW50" s="280"/>
      <c r="BVX50" s="280"/>
      <c r="BVY50" s="280"/>
      <c r="BVZ50" s="280"/>
      <c r="BWA50" s="280"/>
      <c r="BWB50" s="280"/>
      <c r="BWC50" s="280"/>
      <c r="BWD50" s="280"/>
      <c r="BWE50" s="280"/>
      <c r="BWF50" s="280"/>
      <c r="BWG50" s="280"/>
      <c r="BWH50" s="280"/>
      <c r="BWI50" s="280"/>
      <c r="BWJ50" s="280"/>
      <c r="BWK50" s="280"/>
      <c r="BWL50" s="280"/>
      <c r="BWM50" s="280"/>
      <c r="BWN50" s="280"/>
      <c r="BWO50" s="280"/>
      <c r="BWP50" s="280"/>
      <c r="BWQ50" s="280"/>
      <c r="BWR50" s="280"/>
      <c r="BWS50" s="280"/>
      <c r="BWT50" s="280"/>
      <c r="BWU50" s="280"/>
      <c r="BWV50" s="280"/>
      <c r="BWW50" s="280"/>
      <c r="BWX50" s="280"/>
      <c r="BWY50" s="280"/>
      <c r="BWZ50" s="280"/>
      <c r="BXA50" s="280"/>
      <c r="BXB50" s="280"/>
      <c r="BXC50" s="280"/>
      <c r="BXD50" s="280"/>
      <c r="BXE50" s="280"/>
      <c r="BXF50" s="280"/>
      <c r="BXG50" s="280"/>
      <c r="BXH50" s="280"/>
      <c r="BXI50" s="280"/>
      <c r="BXJ50" s="280"/>
      <c r="BXK50" s="280"/>
      <c r="BXL50" s="280"/>
      <c r="BXM50" s="280"/>
      <c r="BXN50" s="280"/>
      <c r="BXO50" s="280"/>
      <c r="BXP50" s="280"/>
      <c r="BXQ50" s="280"/>
      <c r="BXR50" s="280"/>
      <c r="BXS50" s="280"/>
      <c r="BXT50" s="280"/>
      <c r="BXU50" s="280"/>
      <c r="BXV50" s="280"/>
      <c r="BXW50" s="280"/>
      <c r="BXX50" s="280"/>
      <c r="BXY50" s="280"/>
      <c r="BXZ50" s="280"/>
      <c r="BYA50" s="280"/>
      <c r="BYB50" s="280"/>
      <c r="BYC50" s="280"/>
      <c r="BYD50" s="280"/>
      <c r="BYE50" s="280"/>
      <c r="BYF50" s="280"/>
      <c r="BYG50" s="280"/>
      <c r="BYH50" s="280"/>
      <c r="BYI50" s="280"/>
      <c r="BYJ50" s="280"/>
      <c r="BYK50" s="280"/>
      <c r="BYL50" s="280"/>
      <c r="BYM50" s="280"/>
      <c r="BYN50" s="280"/>
      <c r="BYO50" s="280"/>
      <c r="BYP50" s="280"/>
      <c r="BYQ50" s="280"/>
      <c r="BYR50" s="280"/>
      <c r="BYS50" s="280"/>
      <c r="BYT50" s="280"/>
      <c r="BYU50" s="280"/>
      <c r="BYV50" s="280"/>
      <c r="BYW50" s="280"/>
      <c r="BYX50" s="280"/>
      <c r="BYY50" s="280"/>
      <c r="BYZ50" s="280"/>
      <c r="BZA50" s="280"/>
      <c r="BZB50" s="280"/>
      <c r="BZC50" s="280"/>
      <c r="BZD50" s="280"/>
      <c r="BZE50" s="280"/>
      <c r="BZF50" s="280"/>
      <c r="BZG50" s="280"/>
      <c r="BZH50" s="280"/>
      <c r="BZI50" s="280"/>
      <c r="BZJ50" s="280"/>
      <c r="BZK50" s="280"/>
      <c r="BZL50" s="280"/>
      <c r="BZM50" s="280"/>
      <c r="BZN50" s="280"/>
      <c r="BZO50" s="280"/>
      <c r="BZP50" s="280"/>
      <c r="BZQ50" s="280"/>
      <c r="BZR50" s="280"/>
      <c r="BZS50" s="280"/>
      <c r="BZT50" s="280"/>
      <c r="BZU50" s="280"/>
      <c r="BZV50" s="280"/>
      <c r="BZW50" s="280"/>
      <c r="BZX50" s="280"/>
      <c r="BZY50" s="280"/>
      <c r="BZZ50" s="280"/>
      <c r="CAA50" s="280"/>
      <c r="CAB50" s="280"/>
      <c r="CAC50" s="280"/>
      <c r="CAD50" s="280"/>
      <c r="CAE50" s="280"/>
      <c r="CAF50" s="280"/>
      <c r="CAG50" s="280"/>
      <c r="CAH50" s="280"/>
      <c r="CAI50" s="280"/>
      <c r="CAJ50" s="280"/>
      <c r="CAK50" s="280"/>
      <c r="CAL50" s="280"/>
      <c r="CAM50" s="280"/>
      <c r="CAN50" s="280"/>
      <c r="CAO50" s="280"/>
      <c r="CAP50" s="280"/>
      <c r="CAQ50" s="280"/>
      <c r="CAR50" s="280"/>
      <c r="CAS50" s="280"/>
      <c r="CAT50" s="280"/>
      <c r="CAU50" s="280"/>
      <c r="CAV50" s="280"/>
      <c r="CAW50" s="280"/>
      <c r="CAX50" s="280"/>
      <c r="CAY50" s="280"/>
      <c r="CAZ50" s="280"/>
      <c r="CBA50" s="280"/>
      <c r="CBB50" s="280"/>
      <c r="CBC50" s="280"/>
      <c r="CBD50" s="280"/>
      <c r="CBE50" s="280"/>
      <c r="CBF50" s="280"/>
      <c r="CBG50" s="280"/>
      <c r="CBH50" s="280"/>
      <c r="CBI50" s="280"/>
      <c r="CBJ50" s="280"/>
      <c r="CBK50" s="280"/>
      <c r="CBL50" s="280"/>
      <c r="CBM50" s="280"/>
      <c r="CBN50" s="280"/>
      <c r="CBO50" s="280"/>
      <c r="CBP50" s="280"/>
      <c r="CBQ50" s="280"/>
      <c r="CBR50" s="280"/>
      <c r="CBS50" s="280"/>
      <c r="CBT50" s="280"/>
      <c r="CBU50" s="280"/>
      <c r="CBV50" s="280"/>
      <c r="CBW50" s="280"/>
      <c r="CBX50" s="280"/>
      <c r="CBY50" s="280"/>
      <c r="CBZ50" s="280"/>
      <c r="CCA50" s="280"/>
      <c r="CCB50" s="280"/>
      <c r="CCC50" s="280"/>
      <c r="CCD50" s="280"/>
      <c r="CCE50" s="280"/>
      <c r="CCF50" s="280"/>
      <c r="CCG50" s="280"/>
      <c r="CCH50" s="280"/>
      <c r="CCI50" s="280"/>
      <c r="CCJ50" s="280"/>
      <c r="CCK50" s="280"/>
      <c r="CCL50" s="280"/>
      <c r="CCM50" s="280"/>
      <c r="CCN50" s="280"/>
      <c r="CCO50" s="280"/>
      <c r="CCP50" s="280"/>
      <c r="CCQ50" s="280"/>
      <c r="CCR50" s="280"/>
      <c r="CCS50" s="280"/>
      <c r="CCT50" s="280"/>
      <c r="CCU50" s="280"/>
      <c r="CCV50" s="280"/>
      <c r="CCW50" s="280"/>
      <c r="CCX50" s="280"/>
      <c r="CCY50" s="280"/>
      <c r="CCZ50" s="280"/>
      <c r="CDA50" s="280"/>
      <c r="CDB50" s="280"/>
      <c r="CDC50" s="280"/>
      <c r="CDD50" s="280"/>
      <c r="CDE50" s="280"/>
      <c r="CDF50" s="280"/>
      <c r="CDG50" s="280"/>
      <c r="CDH50" s="280"/>
      <c r="CDI50" s="280"/>
      <c r="CDJ50" s="280"/>
      <c r="CDK50" s="280"/>
      <c r="CDL50" s="280"/>
      <c r="CDM50" s="280"/>
      <c r="CDN50" s="280"/>
      <c r="CDO50" s="280"/>
      <c r="CDP50" s="280"/>
      <c r="CDQ50" s="280"/>
      <c r="CDR50" s="280"/>
      <c r="CDS50" s="280"/>
      <c r="CDT50" s="280"/>
      <c r="CDU50" s="280"/>
      <c r="CDV50" s="280"/>
      <c r="CDW50" s="280"/>
      <c r="CDX50" s="280"/>
      <c r="CDY50" s="280"/>
      <c r="CDZ50" s="280"/>
      <c r="CEA50" s="280"/>
      <c r="CEB50" s="280"/>
      <c r="CEC50" s="280"/>
      <c r="CED50" s="280"/>
      <c r="CEE50" s="280"/>
      <c r="CEF50" s="280"/>
      <c r="CEG50" s="280"/>
      <c r="CEH50" s="280"/>
      <c r="CEI50" s="280"/>
      <c r="CEJ50" s="280"/>
      <c r="CEK50" s="280"/>
      <c r="CEL50" s="280"/>
      <c r="CEM50" s="280"/>
      <c r="CEN50" s="280"/>
      <c r="CEO50" s="280"/>
      <c r="CEP50" s="280"/>
      <c r="CEQ50" s="280"/>
      <c r="CER50" s="280"/>
      <c r="CES50" s="280"/>
      <c r="CET50" s="280"/>
      <c r="CEU50" s="280"/>
      <c r="CEV50" s="280"/>
      <c r="CEW50" s="280"/>
      <c r="CEX50" s="280"/>
      <c r="CEY50" s="280"/>
      <c r="CEZ50" s="280"/>
      <c r="CFA50" s="280"/>
      <c r="CFB50" s="280"/>
      <c r="CFC50" s="280"/>
      <c r="CFD50" s="280"/>
      <c r="CFE50" s="280"/>
      <c r="CFF50" s="280"/>
      <c r="CFG50" s="280"/>
      <c r="CFH50" s="280"/>
      <c r="CFI50" s="280"/>
      <c r="CFJ50" s="280"/>
      <c r="CFK50" s="280"/>
      <c r="CFL50" s="280"/>
      <c r="CFM50" s="280"/>
      <c r="CFN50" s="280"/>
      <c r="CFO50" s="280"/>
      <c r="CFP50" s="280"/>
      <c r="CFQ50" s="280"/>
      <c r="CFR50" s="280"/>
      <c r="CFS50" s="280"/>
      <c r="CFT50" s="280"/>
      <c r="CFU50" s="280"/>
      <c r="CFV50" s="280"/>
      <c r="CFW50" s="280"/>
      <c r="CFX50" s="280"/>
      <c r="CFY50" s="280"/>
      <c r="CFZ50" s="280"/>
      <c r="CGA50" s="280"/>
      <c r="CGB50" s="280"/>
      <c r="CGC50" s="280"/>
      <c r="CGD50" s="280"/>
      <c r="CGE50" s="280"/>
      <c r="CGF50" s="280"/>
      <c r="CGG50" s="280"/>
      <c r="CGH50" s="280"/>
      <c r="CGI50" s="280"/>
      <c r="CGJ50" s="280"/>
      <c r="CGK50" s="280"/>
      <c r="CGL50" s="280"/>
      <c r="CGM50" s="280"/>
      <c r="CGN50" s="280"/>
      <c r="CGO50" s="280"/>
      <c r="CGP50" s="280"/>
      <c r="CGQ50" s="280"/>
      <c r="CGR50" s="280"/>
      <c r="CGS50" s="280"/>
      <c r="CGT50" s="280"/>
      <c r="CGU50" s="280"/>
      <c r="CGV50" s="280"/>
      <c r="CGW50" s="280"/>
      <c r="CGX50" s="280"/>
      <c r="CGY50" s="280"/>
      <c r="CGZ50" s="280"/>
      <c r="CHA50" s="280"/>
      <c r="CHB50" s="280"/>
      <c r="CHC50" s="280"/>
      <c r="CHD50" s="280"/>
      <c r="CHE50" s="280"/>
      <c r="CHF50" s="280"/>
      <c r="CHG50" s="280"/>
      <c r="CHH50" s="280"/>
      <c r="CHI50" s="280"/>
      <c r="CHJ50" s="280"/>
      <c r="CHK50" s="280"/>
      <c r="CHL50" s="280"/>
      <c r="CHM50" s="280"/>
      <c r="CHN50" s="280"/>
      <c r="CHO50" s="280"/>
      <c r="CHP50" s="280"/>
      <c r="CHQ50" s="280"/>
      <c r="CHR50" s="280"/>
      <c r="CHS50" s="280"/>
      <c r="CHT50" s="280"/>
      <c r="CHU50" s="280"/>
      <c r="CHV50" s="280"/>
      <c r="CHW50" s="280"/>
      <c r="CHX50" s="280"/>
      <c r="CHY50" s="280"/>
      <c r="CHZ50" s="280"/>
      <c r="CIA50" s="280"/>
      <c r="CIB50" s="280"/>
      <c r="CIC50" s="280"/>
      <c r="CID50" s="280"/>
      <c r="CIE50" s="280"/>
      <c r="CIF50" s="280"/>
      <c r="CIG50" s="280"/>
      <c r="CIH50" s="280"/>
      <c r="CII50" s="280"/>
      <c r="CIJ50" s="280"/>
      <c r="CIK50" s="280"/>
      <c r="CIL50" s="280"/>
      <c r="CIM50" s="280"/>
      <c r="CIN50" s="280"/>
      <c r="CIO50" s="280"/>
      <c r="CIP50" s="280"/>
      <c r="CIQ50" s="280"/>
      <c r="CIR50" s="280"/>
      <c r="CIS50" s="280"/>
      <c r="CIT50" s="280"/>
      <c r="CIU50" s="280"/>
      <c r="CIV50" s="280"/>
      <c r="CIW50" s="280"/>
      <c r="CIX50" s="280"/>
      <c r="CIY50" s="280"/>
      <c r="CIZ50" s="280"/>
      <c r="CJA50" s="280"/>
      <c r="CJB50" s="280"/>
      <c r="CJC50" s="280"/>
      <c r="CJD50" s="280"/>
      <c r="CJE50" s="280"/>
      <c r="CJF50" s="280"/>
      <c r="CJG50" s="280"/>
      <c r="CJH50" s="280"/>
      <c r="CJI50" s="280"/>
      <c r="CJJ50" s="280"/>
      <c r="CJK50" s="280"/>
      <c r="CJL50" s="280"/>
      <c r="CJM50" s="280"/>
      <c r="CJN50" s="280"/>
      <c r="CJO50" s="280"/>
      <c r="CJP50" s="280"/>
      <c r="CJQ50" s="280"/>
      <c r="CJR50" s="280"/>
      <c r="CJS50" s="280"/>
      <c r="CJT50" s="280"/>
      <c r="CJU50" s="280"/>
      <c r="CJV50" s="280"/>
      <c r="CJW50" s="280"/>
      <c r="CJX50" s="280"/>
      <c r="CJY50" s="280"/>
      <c r="CJZ50" s="280"/>
      <c r="CKA50" s="280"/>
      <c r="CKB50" s="280"/>
      <c r="CKC50" s="280"/>
      <c r="CKD50" s="280"/>
      <c r="CKE50" s="280"/>
      <c r="CKF50" s="280"/>
      <c r="CKG50" s="280"/>
      <c r="CKH50" s="280"/>
      <c r="CKI50" s="280"/>
      <c r="CKJ50" s="280"/>
      <c r="CKK50" s="280"/>
      <c r="CKL50" s="280"/>
      <c r="CKM50" s="280"/>
      <c r="CKN50" s="280"/>
      <c r="CKO50" s="280"/>
      <c r="CKP50" s="280"/>
      <c r="CKQ50" s="280"/>
      <c r="CKR50" s="280"/>
      <c r="CKS50" s="280"/>
      <c r="CKT50" s="280"/>
      <c r="CKU50" s="280"/>
      <c r="CKV50" s="280"/>
      <c r="CKW50" s="280"/>
      <c r="CKX50" s="280"/>
      <c r="CKY50" s="280"/>
      <c r="CKZ50" s="280"/>
      <c r="CLA50" s="280"/>
      <c r="CLB50" s="280"/>
      <c r="CLC50" s="280"/>
      <c r="CLD50" s="280"/>
      <c r="CLE50" s="280"/>
      <c r="CLF50" s="280"/>
      <c r="CLG50" s="280"/>
      <c r="CLH50" s="280"/>
      <c r="CLI50" s="280"/>
      <c r="CLJ50" s="280"/>
      <c r="CLK50" s="280"/>
      <c r="CLL50" s="280"/>
      <c r="CLM50" s="280"/>
      <c r="CLN50" s="280"/>
      <c r="CLO50" s="280"/>
      <c r="CLP50" s="280"/>
      <c r="CLQ50" s="280"/>
      <c r="CLR50" s="280"/>
      <c r="CLS50" s="280"/>
      <c r="CLT50" s="280"/>
      <c r="CLU50" s="280"/>
      <c r="CLV50" s="280"/>
      <c r="CLW50" s="280"/>
      <c r="CLX50" s="280"/>
      <c r="CLY50" s="280"/>
      <c r="CLZ50" s="280"/>
      <c r="CMA50" s="280"/>
      <c r="CMB50" s="280"/>
      <c r="CMC50" s="280"/>
      <c r="CMD50" s="280"/>
      <c r="CME50" s="280"/>
      <c r="CMF50" s="280"/>
      <c r="CMG50" s="280"/>
      <c r="CMH50" s="280"/>
      <c r="CMI50" s="280"/>
      <c r="CMJ50" s="280"/>
      <c r="CMK50" s="280"/>
      <c r="CML50" s="280"/>
      <c r="CMM50" s="280"/>
      <c r="CMN50" s="280"/>
      <c r="CMO50" s="280"/>
      <c r="CMP50" s="280"/>
      <c r="CMQ50" s="280"/>
      <c r="CMR50" s="280"/>
      <c r="CMS50" s="280"/>
      <c r="CMT50" s="280"/>
      <c r="CMU50" s="280"/>
      <c r="CMV50" s="280"/>
      <c r="CMW50" s="280"/>
      <c r="CMX50" s="280"/>
      <c r="CMY50" s="280"/>
      <c r="CMZ50" s="280"/>
      <c r="CNA50" s="280"/>
      <c r="CNB50" s="280"/>
      <c r="CNC50" s="280"/>
      <c r="CND50" s="280"/>
      <c r="CNE50" s="280"/>
      <c r="CNF50" s="280"/>
      <c r="CNG50" s="280"/>
      <c r="CNH50" s="280"/>
      <c r="CNI50" s="280"/>
      <c r="CNJ50" s="280"/>
      <c r="CNK50" s="280"/>
      <c r="CNL50" s="280"/>
      <c r="CNM50" s="280"/>
      <c r="CNN50" s="280"/>
      <c r="CNO50" s="280"/>
      <c r="CNP50" s="280"/>
      <c r="CNQ50" s="280"/>
      <c r="CNR50" s="280"/>
      <c r="CNS50" s="280"/>
      <c r="CNT50" s="280"/>
      <c r="CNU50" s="280"/>
      <c r="CNV50" s="280"/>
      <c r="CNW50" s="280"/>
      <c r="CNX50" s="280"/>
      <c r="CNY50" s="280"/>
      <c r="CNZ50" s="280"/>
      <c r="COA50" s="280"/>
      <c r="COB50" s="280"/>
      <c r="COC50" s="280"/>
      <c r="COD50" s="280"/>
      <c r="COE50" s="280"/>
      <c r="COF50" s="280"/>
      <c r="COG50" s="280"/>
      <c r="COH50" s="280"/>
      <c r="COI50" s="280"/>
    </row>
    <row r="51" spans="1:2427" s="511" customFormat="1" x14ac:dyDescent="0.25">
      <c r="A51" s="1325" t="s">
        <v>417</v>
      </c>
      <c r="B51" s="508"/>
      <c r="C51" s="509"/>
      <c r="D51" s="509"/>
      <c r="E51" s="510"/>
      <c r="F51" s="508"/>
      <c r="G51" s="509"/>
      <c r="H51" s="509"/>
      <c r="I51" s="509"/>
      <c r="J51" s="510"/>
      <c r="K51" s="1041"/>
      <c r="L51" s="509"/>
      <c r="M51" s="509"/>
      <c r="N51" s="509"/>
      <c r="O51" s="1036"/>
      <c r="P51" s="1041"/>
      <c r="Q51" s="509"/>
      <c r="R51" s="509"/>
      <c r="S51" s="509"/>
      <c r="T51" s="510"/>
      <c r="U51" s="508"/>
      <c r="V51" s="509"/>
      <c r="W51" s="509"/>
      <c r="X51" s="509"/>
      <c r="Y51" s="510"/>
      <c r="Z51" s="508"/>
      <c r="AA51" s="487"/>
      <c r="AB51" s="487"/>
      <c r="AC51" s="487"/>
      <c r="AD51" s="438"/>
      <c r="AE51" s="508"/>
      <c r="AF51" s="487"/>
      <c r="AG51" s="487"/>
      <c r="AH51" s="487"/>
      <c r="AI51" s="438"/>
      <c r="AJ51" s="508"/>
      <c r="AK51" s="487"/>
      <c r="AL51" s="487"/>
      <c r="AM51" s="487"/>
      <c r="AN51" s="438"/>
      <c r="AO51" s="508"/>
      <c r="AP51" s="487"/>
      <c r="AQ51" s="487"/>
      <c r="AR51" s="487"/>
      <c r="AS51" s="438"/>
      <c r="AT51" s="280"/>
      <c r="AU51" s="280"/>
      <c r="AV51" s="280"/>
      <c r="AW51" s="280"/>
      <c r="AX51" s="280"/>
      <c r="AY51" s="280"/>
      <c r="AZ51" s="280"/>
      <c r="BA51" s="280"/>
      <c r="BB51" s="280"/>
      <c r="BC51" s="280"/>
      <c r="BD51" s="280"/>
      <c r="BE51" s="280"/>
      <c r="BF51" s="280"/>
      <c r="BG51" s="280"/>
      <c r="BH51" s="280"/>
      <c r="BI51" s="280"/>
      <c r="BJ51" s="280"/>
      <c r="BK51" s="280"/>
      <c r="BL51" s="280"/>
      <c r="BM51" s="280"/>
      <c r="BN51" s="280"/>
      <c r="BO51" s="280"/>
      <c r="BP51" s="280"/>
      <c r="BQ51" s="280"/>
      <c r="BR51" s="280"/>
      <c r="BS51" s="280"/>
      <c r="BT51" s="280"/>
      <c r="BU51" s="280"/>
      <c r="BV51" s="280"/>
      <c r="BW51" s="280"/>
      <c r="BX51" s="280"/>
      <c r="BY51" s="280"/>
      <c r="BZ51" s="280"/>
      <c r="CA51" s="280"/>
      <c r="CB51" s="280"/>
      <c r="CC51" s="280"/>
      <c r="CD51" s="280"/>
      <c r="CE51" s="280"/>
      <c r="CF51" s="280"/>
      <c r="CG51" s="280"/>
      <c r="CH51" s="280"/>
      <c r="CI51" s="280"/>
      <c r="CJ51" s="280"/>
      <c r="CK51" s="280"/>
      <c r="CL51" s="280"/>
      <c r="CM51" s="280"/>
      <c r="CN51" s="280"/>
      <c r="CO51" s="280"/>
      <c r="CP51" s="280"/>
      <c r="CQ51" s="280"/>
      <c r="CR51" s="280"/>
      <c r="CS51" s="280"/>
      <c r="CT51" s="280"/>
      <c r="CU51" s="280"/>
      <c r="CV51" s="280"/>
      <c r="CW51" s="280"/>
      <c r="CX51" s="280"/>
      <c r="CY51" s="280"/>
      <c r="CZ51" s="280"/>
      <c r="DA51" s="280"/>
      <c r="DB51" s="280"/>
      <c r="DC51" s="280"/>
      <c r="DD51" s="280"/>
      <c r="DE51" s="280"/>
      <c r="DF51" s="280"/>
      <c r="DG51" s="280"/>
      <c r="DH51" s="280"/>
      <c r="DI51" s="280"/>
      <c r="DJ51" s="280"/>
      <c r="DK51" s="280"/>
      <c r="DL51" s="280"/>
      <c r="DM51" s="280"/>
      <c r="DN51" s="280"/>
      <c r="DO51" s="280"/>
      <c r="DP51" s="280"/>
      <c r="DQ51" s="280"/>
      <c r="DR51" s="280"/>
      <c r="DS51" s="280"/>
      <c r="DT51" s="280"/>
      <c r="DU51" s="280"/>
      <c r="DV51" s="280"/>
      <c r="DW51" s="280"/>
      <c r="DX51" s="280"/>
      <c r="DY51" s="280"/>
      <c r="DZ51" s="280"/>
      <c r="EA51" s="280"/>
      <c r="EB51" s="280"/>
      <c r="EC51" s="280"/>
      <c r="ED51" s="280"/>
      <c r="EE51" s="280"/>
      <c r="EF51" s="280"/>
      <c r="EG51" s="280"/>
      <c r="EH51" s="280"/>
      <c r="EI51" s="280"/>
      <c r="EJ51" s="280"/>
      <c r="EK51" s="280"/>
      <c r="EL51" s="280"/>
      <c r="EM51" s="280"/>
      <c r="EN51" s="280"/>
      <c r="EO51" s="280"/>
      <c r="EP51" s="280"/>
      <c r="EQ51" s="280"/>
      <c r="ER51" s="280"/>
      <c r="ES51" s="280"/>
      <c r="ET51" s="280"/>
      <c r="EU51" s="280"/>
      <c r="EV51" s="280"/>
      <c r="EW51" s="280"/>
      <c r="EX51" s="280"/>
      <c r="EY51" s="280"/>
      <c r="EZ51" s="280"/>
      <c r="FA51" s="280"/>
      <c r="FB51" s="280"/>
      <c r="FC51" s="280"/>
      <c r="FD51" s="280"/>
      <c r="FE51" s="280"/>
      <c r="FF51" s="280"/>
      <c r="FG51" s="280"/>
      <c r="FH51" s="280"/>
      <c r="FI51" s="280"/>
      <c r="FJ51" s="280"/>
      <c r="FK51" s="280"/>
      <c r="FL51" s="280"/>
      <c r="FM51" s="280"/>
      <c r="FN51" s="280"/>
      <c r="FO51" s="280"/>
      <c r="FP51" s="280"/>
      <c r="FQ51" s="280"/>
      <c r="FR51" s="280"/>
      <c r="FS51" s="280"/>
      <c r="FT51" s="280"/>
      <c r="FU51" s="280"/>
      <c r="FV51" s="280"/>
      <c r="FW51" s="280"/>
      <c r="FX51" s="280"/>
      <c r="FY51" s="280"/>
      <c r="FZ51" s="280"/>
      <c r="GA51" s="280"/>
      <c r="GB51" s="280"/>
      <c r="GC51" s="280"/>
      <c r="GD51" s="280"/>
      <c r="GE51" s="280"/>
      <c r="GF51" s="280"/>
      <c r="GG51" s="280"/>
      <c r="GH51" s="280"/>
      <c r="GI51" s="280"/>
      <c r="GJ51" s="280"/>
      <c r="GK51" s="280"/>
      <c r="GL51" s="280"/>
      <c r="GM51" s="280"/>
      <c r="GN51" s="280"/>
      <c r="GO51" s="280"/>
      <c r="GP51" s="280"/>
      <c r="GQ51" s="280"/>
      <c r="GR51" s="280"/>
      <c r="GS51" s="280"/>
      <c r="GT51" s="280"/>
      <c r="GU51" s="280"/>
      <c r="GV51" s="280"/>
      <c r="GW51" s="280"/>
      <c r="GX51" s="280"/>
      <c r="GY51" s="280"/>
      <c r="GZ51" s="280"/>
      <c r="HA51" s="280"/>
      <c r="HB51" s="280"/>
      <c r="HC51" s="280"/>
      <c r="HD51" s="280"/>
      <c r="HE51" s="280"/>
      <c r="HF51" s="280"/>
      <c r="HG51" s="280"/>
      <c r="HH51" s="280"/>
      <c r="HI51" s="280"/>
      <c r="HJ51" s="280"/>
      <c r="HK51" s="280"/>
      <c r="HL51" s="280"/>
      <c r="HM51" s="280"/>
      <c r="HN51" s="280"/>
      <c r="HO51" s="280"/>
      <c r="HP51" s="280"/>
      <c r="HQ51" s="280"/>
      <c r="HR51" s="280"/>
      <c r="HS51" s="280"/>
      <c r="HT51" s="280"/>
      <c r="HU51" s="280"/>
      <c r="HV51" s="280"/>
      <c r="HW51" s="280"/>
      <c r="HX51" s="280"/>
      <c r="HY51" s="280"/>
      <c r="HZ51" s="280"/>
      <c r="IA51" s="280"/>
      <c r="IB51" s="280"/>
      <c r="IC51" s="280"/>
      <c r="ID51" s="280"/>
      <c r="IE51" s="280"/>
      <c r="IF51" s="280"/>
      <c r="IG51" s="280"/>
      <c r="IH51" s="280"/>
      <c r="II51" s="280"/>
      <c r="IJ51" s="280"/>
      <c r="IK51" s="280"/>
      <c r="IL51" s="280"/>
      <c r="IM51" s="280"/>
      <c r="IN51" s="280"/>
      <c r="IO51" s="280"/>
      <c r="IP51" s="280"/>
      <c r="IQ51" s="280"/>
      <c r="IR51" s="280"/>
      <c r="IS51" s="280"/>
      <c r="IT51" s="280"/>
      <c r="IU51" s="280"/>
      <c r="IV51" s="280"/>
      <c r="IW51" s="280"/>
      <c r="IX51" s="280"/>
      <c r="IY51" s="280"/>
      <c r="IZ51" s="280"/>
      <c r="JA51" s="280"/>
      <c r="JB51" s="280"/>
      <c r="JC51" s="280"/>
      <c r="JD51" s="280"/>
      <c r="JE51" s="280"/>
      <c r="JF51" s="280"/>
      <c r="JG51" s="280"/>
      <c r="JH51" s="280"/>
      <c r="JI51" s="280"/>
      <c r="JJ51" s="280"/>
      <c r="JK51" s="280"/>
      <c r="JL51" s="280"/>
      <c r="JM51" s="280"/>
      <c r="JN51" s="280"/>
      <c r="JO51" s="280"/>
      <c r="JP51" s="280"/>
      <c r="JQ51" s="280"/>
      <c r="JR51" s="280"/>
      <c r="JS51" s="280"/>
      <c r="JT51" s="280"/>
      <c r="JU51" s="280"/>
      <c r="JV51" s="280"/>
      <c r="JW51" s="280"/>
      <c r="JX51" s="280"/>
      <c r="JY51" s="280"/>
      <c r="JZ51" s="280"/>
      <c r="KA51" s="280"/>
      <c r="KB51" s="280"/>
      <c r="KC51" s="280"/>
      <c r="KD51" s="280"/>
      <c r="KE51" s="280"/>
      <c r="KF51" s="280"/>
      <c r="KG51" s="280"/>
      <c r="KH51" s="280"/>
      <c r="KI51" s="280"/>
      <c r="KJ51" s="280"/>
      <c r="KK51" s="280"/>
      <c r="KL51" s="280"/>
      <c r="KM51" s="280"/>
      <c r="KN51" s="280"/>
      <c r="KO51" s="280"/>
      <c r="KP51" s="280"/>
      <c r="KQ51" s="280"/>
      <c r="KR51" s="280"/>
      <c r="KS51" s="280"/>
      <c r="KT51" s="280"/>
      <c r="KU51" s="280"/>
      <c r="KV51" s="280"/>
      <c r="KW51" s="280"/>
      <c r="KX51" s="280"/>
      <c r="KY51" s="280"/>
      <c r="KZ51" s="280"/>
      <c r="LA51" s="280"/>
      <c r="LB51" s="280"/>
      <c r="LC51" s="280"/>
      <c r="LD51" s="280"/>
      <c r="LE51" s="280"/>
      <c r="LF51" s="280"/>
      <c r="LG51" s="280"/>
      <c r="LH51" s="280"/>
      <c r="LI51" s="280"/>
      <c r="LJ51" s="280"/>
      <c r="LK51" s="280"/>
      <c r="LL51" s="280"/>
      <c r="LM51" s="280"/>
      <c r="LN51" s="280"/>
      <c r="LO51" s="280"/>
      <c r="LP51" s="280"/>
      <c r="LQ51" s="280"/>
      <c r="LR51" s="280"/>
      <c r="LS51" s="280"/>
      <c r="LT51" s="280"/>
      <c r="LU51" s="280"/>
      <c r="LV51" s="280"/>
      <c r="LW51" s="280"/>
      <c r="LX51" s="280"/>
      <c r="LY51" s="280"/>
      <c r="LZ51" s="280"/>
      <c r="MA51" s="280"/>
      <c r="MB51" s="280"/>
      <c r="MC51" s="280"/>
      <c r="MD51" s="280"/>
      <c r="ME51" s="280"/>
      <c r="MF51" s="280"/>
      <c r="MG51" s="280"/>
      <c r="MH51" s="280"/>
      <c r="MI51" s="280"/>
      <c r="MJ51" s="280"/>
      <c r="MK51" s="280"/>
      <c r="ML51" s="280"/>
      <c r="MM51" s="280"/>
      <c r="MN51" s="280"/>
      <c r="MO51" s="280"/>
      <c r="MP51" s="280"/>
      <c r="MQ51" s="280"/>
      <c r="MR51" s="280"/>
      <c r="MS51" s="280"/>
      <c r="MT51" s="280"/>
      <c r="MU51" s="280"/>
      <c r="MV51" s="280"/>
      <c r="MW51" s="280"/>
      <c r="MX51" s="280"/>
      <c r="MY51" s="280"/>
      <c r="MZ51" s="280"/>
      <c r="NA51" s="280"/>
      <c r="NB51" s="280"/>
      <c r="NC51" s="280"/>
      <c r="ND51" s="280"/>
      <c r="NE51" s="280"/>
      <c r="NF51" s="280"/>
      <c r="NG51" s="280"/>
      <c r="NH51" s="280"/>
      <c r="NI51" s="280"/>
      <c r="NJ51" s="280"/>
      <c r="NK51" s="280"/>
      <c r="NL51" s="280"/>
      <c r="NM51" s="280"/>
      <c r="NN51" s="280"/>
      <c r="NO51" s="280"/>
      <c r="NP51" s="280"/>
      <c r="NQ51" s="280"/>
      <c r="NR51" s="280"/>
      <c r="NS51" s="280"/>
      <c r="NT51" s="280"/>
      <c r="NU51" s="280"/>
      <c r="NV51" s="280"/>
      <c r="NW51" s="280"/>
      <c r="NX51" s="280"/>
      <c r="NY51" s="280"/>
      <c r="NZ51" s="280"/>
      <c r="OA51" s="280"/>
      <c r="OB51" s="280"/>
      <c r="OC51" s="280"/>
      <c r="OD51" s="280"/>
      <c r="OE51" s="280"/>
      <c r="OF51" s="280"/>
      <c r="OG51" s="280"/>
      <c r="OH51" s="280"/>
      <c r="OI51" s="280"/>
      <c r="OJ51" s="280"/>
      <c r="OK51" s="280"/>
      <c r="OL51" s="280"/>
      <c r="OM51" s="280"/>
      <c r="ON51" s="280"/>
      <c r="OO51" s="280"/>
      <c r="OP51" s="280"/>
      <c r="OQ51" s="280"/>
      <c r="OR51" s="280"/>
      <c r="OS51" s="280"/>
      <c r="OT51" s="280"/>
      <c r="OU51" s="280"/>
      <c r="OV51" s="280"/>
      <c r="OW51" s="280"/>
      <c r="OX51" s="280"/>
      <c r="OY51" s="280"/>
      <c r="OZ51" s="280"/>
      <c r="PA51" s="280"/>
      <c r="PB51" s="280"/>
      <c r="PC51" s="280"/>
      <c r="PD51" s="280"/>
      <c r="PE51" s="280"/>
      <c r="PF51" s="280"/>
      <c r="PG51" s="280"/>
      <c r="PH51" s="280"/>
      <c r="PI51" s="280"/>
      <c r="PJ51" s="280"/>
      <c r="PK51" s="280"/>
      <c r="PL51" s="280"/>
      <c r="PM51" s="280"/>
      <c r="PN51" s="280"/>
      <c r="PO51" s="280"/>
      <c r="PP51" s="280"/>
      <c r="PQ51" s="280"/>
      <c r="PR51" s="280"/>
      <c r="PS51" s="280"/>
      <c r="PT51" s="280"/>
      <c r="PU51" s="280"/>
      <c r="PV51" s="280"/>
      <c r="PW51" s="280"/>
      <c r="PX51" s="280"/>
      <c r="PY51" s="280"/>
      <c r="PZ51" s="280"/>
      <c r="QA51" s="280"/>
      <c r="QB51" s="280"/>
      <c r="QC51" s="280"/>
      <c r="QD51" s="280"/>
      <c r="QE51" s="280"/>
      <c r="QF51" s="280"/>
      <c r="QG51" s="280"/>
      <c r="QH51" s="280"/>
      <c r="QI51" s="280"/>
      <c r="QJ51" s="280"/>
      <c r="QK51" s="280"/>
      <c r="QL51" s="280"/>
      <c r="QM51" s="280"/>
      <c r="QN51" s="280"/>
      <c r="QO51" s="280"/>
      <c r="QP51" s="280"/>
      <c r="QQ51" s="280"/>
      <c r="QR51" s="280"/>
      <c r="QS51" s="280"/>
      <c r="QT51" s="280"/>
      <c r="QU51" s="280"/>
      <c r="QV51" s="280"/>
      <c r="QW51" s="280"/>
      <c r="QX51" s="280"/>
      <c r="QY51" s="280"/>
      <c r="QZ51" s="280"/>
      <c r="RA51" s="280"/>
      <c r="RB51" s="280"/>
      <c r="RC51" s="280"/>
      <c r="RD51" s="280"/>
      <c r="RE51" s="280"/>
      <c r="RF51" s="280"/>
      <c r="RG51" s="280"/>
      <c r="RH51" s="280"/>
      <c r="RI51" s="280"/>
      <c r="RJ51" s="280"/>
      <c r="RK51" s="280"/>
      <c r="RL51" s="280"/>
      <c r="RM51" s="280"/>
      <c r="RN51" s="280"/>
      <c r="RO51" s="280"/>
      <c r="RP51" s="280"/>
      <c r="RQ51" s="280"/>
      <c r="RR51" s="280"/>
      <c r="RS51" s="280"/>
      <c r="RT51" s="280"/>
      <c r="RU51" s="280"/>
      <c r="RV51" s="280"/>
      <c r="RW51" s="280"/>
      <c r="RX51" s="280"/>
      <c r="RY51" s="280"/>
      <c r="RZ51" s="280"/>
      <c r="SA51" s="280"/>
      <c r="SB51" s="280"/>
      <c r="SC51" s="280"/>
      <c r="SD51" s="280"/>
      <c r="SE51" s="280"/>
      <c r="SF51" s="280"/>
      <c r="SG51" s="280"/>
      <c r="SH51" s="280"/>
      <c r="SI51" s="280"/>
      <c r="SJ51" s="280"/>
      <c r="SK51" s="280"/>
      <c r="SL51" s="280"/>
      <c r="SM51" s="280"/>
      <c r="SN51" s="280"/>
      <c r="SO51" s="280"/>
      <c r="SP51" s="280"/>
      <c r="SQ51" s="280"/>
      <c r="SR51" s="280"/>
      <c r="SS51" s="280"/>
      <c r="ST51" s="280"/>
      <c r="SU51" s="280"/>
      <c r="SV51" s="280"/>
      <c r="SW51" s="280"/>
      <c r="SX51" s="280"/>
      <c r="SY51" s="280"/>
      <c r="SZ51" s="280"/>
      <c r="TA51" s="280"/>
      <c r="TB51" s="280"/>
      <c r="TC51" s="280"/>
      <c r="TD51" s="280"/>
      <c r="TE51" s="280"/>
      <c r="TF51" s="280"/>
      <c r="TG51" s="280"/>
      <c r="TH51" s="280"/>
      <c r="TI51" s="280"/>
      <c r="TJ51" s="280"/>
      <c r="TK51" s="280"/>
      <c r="TL51" s="280"/>
      <c r="TM51" s="280"/>
      <c r="TN51" s="280"/>
      <c r="TO51" s="280"/>
      <c r="TP51" s="280"/>
      <c r="TQ51" s="280"/>
      <c r="TR51" s="280"/>
      <c r="TS51" s="280"/>
      <c r="TT51" s="280"/>
      <c r="TU51" s="280"/>
      <c r="TV51" s="280"/>
      <c r="TW51" s="280"/>
      <c r="TX51" s="280"/>
      <c r="TY51" s="280"/>
      <c r="TZ51" s="280"/>
      <c r="UA51" s="280"/>
      <c r="UB51" s="280"/>
      <c r="UC51" s="280"/>
      <c r="UD51" s="280"/>
      <c r="UE51" s="280"/>
      <c r="UF51" s="280"/>
      <c r="UG51" s="280"/>
      <c r="UH51" s="280"/>
      <c r="UI51" s="280"/>
      <c r="UJ51" s="280"/>
      <c r="UK51" s="280"/>
      <c r="UL51" s="280"/>
      <c r="UM51" s="280"/>
      <c r="UN51" s="280"/>
      <c r="UO51" s="280"/>
      <c r="UP51" s="280"/>
      <c r="UQ51" s="280"/>
      <c r="UR51" s="280"/>
      <c r="US51" s="280"/>
      <c r="UT51" s="280"/>
      <c r="UU51" s="280"/>
      <c r="UV51" s="280"/>
      <c r="UW51" s="280"/>
      <c r="UX51" s="280"/>
      <c r="UY51" s="280"/>
      <c r="UZ51" s="280"/>
      <c r="VA51" s="280"/>
      <c r="VB51" s="280"/>
      <c r="VC51" s="280"/>
      <c r="VD51" s="280"/>
      <c r="VE51" s="280"/>
      <c r="VF51" s="280"/>
      <c r="VG51" s="280"/>
      <c r="VH51" s="280"/>
      <c r="VI51" s="280"/>
      <c r="VJ51" s="280"/>
      <c r="VK51" s="280"/>
      <c r="VL51" s="280"/>
      <c r="VM51" s="280"/>
      <c r="VN51" s="280"/>
      <c r="VO51" s="280"/>
      <c r="VP51" s="280"/>
      <c r="VQ51" s="280"/>
      <c r="VR51" s="280"/>
      <c r="VS51" s="280"/>
      <c r="VT51" s="280"/>
      <c r="VU51" s="280"/>
      <c r="VV51" s="280"/>
      <c r="VW51" s="280"/>
      <c r="VX51" s="280"/>
      <c r="VY51" s="280"/>
      <c r="VZ51" s="280"/>
      <c r="WA51" s="280"/>
      <c r="WB51" s="280"/>
      <c r="WC51" s="280"/>
      <c r="WD51" s="280"/>
      <c r="WE51" s="280"/>
      <c r="WF51" s="280"/>
      <c r="WG51" s="280"/>
      <c r="WH51" s="280"/>
      <c r="WI51" s="280"/>
      <c r="WJ51" s="280"/>
      <c r="WK51" s="280"/>
      <c r="WL51" s="280"/>
      <c r="WM51" s="280"/>
      <c r="WN51" s="280"/>
      <c r="WO51" s="280"/>
      <c r="WP51" s="280"/>
      <c r="WQ51" s="280"/>
      <c r="WR51" s="280"/>
      <c r="WS51" s="280"/>
      <c r="WT51" s="280"/>
      <c r="WU51" s="280"/>
      <c r="WV51" s="280"/>
      <c r="WW51" s="280"/>
      <c r="WX51" s="280"/>
      <c r="WY51" s="280"/>
      <c r="WZ51" s="280"/>
      <c r="XA51" s="280"/>
      <c r="XB51" s="280"/>
      <c r="XC51" s="280"/>
      <c r="XD51" s="280"/>
      <c r="XE51" s="280"/>
      <c r="XF51" s="280"/>
      <c r="XG51" s="280"/>
      <c r="XH51" s="280"/>
      <c r="XI51" s="280"/>
      <c r="XJ51" s="280"/>
      <c r="XK51" s="280"/>
      <c r="XL51" s="280"/>
      <c r="XM51" s="280"/>
      <c r="XN51" s="280"/>
      <c r="XO51" s="280"/>
      <c r="XP51" s="280"/>
      <c r="XQ51" s="280"/>
      <c r="XR51" s="280"/>
      <c r="XS51" s="280"/>
      <c r="XT51" s="280"/>
      <c r="XU51" s="280"/>
      <c r="XV51" s="280"/>
      <c r="XW51" s="280"/>
      <c r="XX51" s="280"/>
      <c r="XY51" s="280"/>
      <c r="XZ51" s="280"/>
      <c r="YA51" s="280"/>
      <c r="YB51" s="280"/>
      <c r="YC51" s="280"/>
      <c r="YD51" s="280"/>
      <c r="YE51" s="280"/>
      <c r="YF51" s="280"/>
      <c r="YG51" s="280"/>
      <c r="YH51" s="280"/>
      <c r="YI51" s="280"/>
      <c r="YJ51" s="280"/>
      <c r="YK51" s="280"/>
      <c r="YL51" s="280"/>
      <c r="YM51" s="280"/>
      <c r="YN51" s="280"/>
      <c r="YO51" s="280"/>
      <c r="YP51" s="280"/>
      <c r="YQ51" s="280"/>
      <c r="YR51" s="280"/>
      <c r="YS51" s="280"/>
      <c r="YT51" s="280"/>
      <c r="YU51" s="280"/>
      <c r="YV51" s="280"/>
      <c r="YW51" s="280"/>
      <c r="YX51" s="280"/>
      <c r="YY51" s="280"/>
      <c r="YZ51" s="280"/>
      <c r="ZA51" s="280"/>
      <c r="ZB51" s="280"/>
      <c r="ZC51" s="280"/>
      <c r="ZD51" s="280"/>
      <c r="ZE51" s="280"/>
      <c r="ZF51" s="280"/>
      <c r="ZG51" s="280"/>
      <c r="ZH51" s="280"/>
      <c r="ZI51" s="280"/>
      <c r="ZJ51" s="280"/>
      <c r="ZK51" s="280"/>
      <c r="ZL51" s="280"/>
      <c r="ZM51" s="280"/>
      <c r="ZN51" s="280"/>
      <c r="ZO51" s="280"/>
      <c r="ZP51" s="280"/>
      <c r="ZQ51" s="280"/>
      <c r="ZR51" s="280"/>
      <c r="ZS51" s="280"/>
      <c r="ZT51" s="280"/>
      <c r="ZU51" s="280"/>
      <c r="ZV51" s="280"/>
      <c r="ZW51" s="280"/>
      <c r="ZX51" s="280"/>
      <c r="ZY51" s="280"/>
      <c r="ZZ51" s="280"/>
      <c r="AAA51" s="280"/>
      <c r="AAB51" s="280"/>
      <c r="AAC51" s="280"/>
      <c r="AAD51" s="280"/>
      <c r="AAE51" s="280"/>
      <c r="AAF51" s="280"/>
      <c r="AAG51" s="280"/>
      <c r="AAH51" s="280"/>
      <c r="AAI51" s="280"/>
      <c r="AAJ51" s="280"/>
      <c r="AAK51" s="280"/>
      <c r="AAL51" s="280"/>
      <c r="AAM51" s="280"/>
      <c r="AAN51" s="280"/>
      <c r="AAO51" s="280"/>
      <c r="AAP51" s="280"/>
      <c r="AAQ51" s="280"/>
      <c r="AAR51" s="280"/>
      <c r="AAS51" s="280"/>
      <c r="AAT51" s="280"/>
      <c r="AAU51" s="280"/>
      <c r="AAV51" s="280"/>
      <c r="AAW51" s="280"/>
      <c r="AAX51" s="280"/>
      <c r="AAY51" s="280"/>
      <c r="AAZ51" s="280"/>
      <c r="ABA51" s="280"/>
      <c r="ABB51" s="280"/>
      <c r="ABC51" s="280"/>
      <c r="ABD51" s="280"/>
      <c r="ABE51" s="280"/>
      <c r="ABF51" s="280"/>
      <c r="ABG51" s="280"/>
      <c r="ABH51" s="280"/>
      <c r="ABI51" s="280"/>
      <c r="ABJ51" s="280"/>
      <c r="ABK51" s="280"/>
      <c r="ABL51" s="280"/>
      <c r="ABM51" s="280"/>
      <c r="ABN51" s="280"/>
      <c r="ABO51" s="280"/>
      <c r="ABP51" s="280"/>
      <c r="ABQ51" s="280"/>
      <c r="ABR51" s="280"/>
      <c r="ABS51" s="280"/>
      <c r="ABT51" s="280"/>
      <c r="ABU51" s="280"/>
      <c r="ABV51" s="280"/>
      <c r="ABW51" s="280"/>
      <c r="ABX51" s="280"/>
      <c r="ABY51" s="280"/>
      <c r="ABZ51" s="280"/>
      <c r="ACA51" s="280"/>
      <c r="ACB51" s="280"/>
      <c r="ACC51" s="280"/>
      <c r="ACD51" s="280"/>
      <c r="ACE51" s="280"/>
      <c r="ACF51" s="280"/>
      <c r="ACG51" s="280"/>
      <c r="ACH51" s="280"/>
      <c r="ACI51" s="280"/>
      <c r="ACJ51" s="280"/>
      <c r="ACK51" s="280"/>
      <c r="ACL51" s="280"/>
      <c r="ACM51" s="280"/>
      <c r="ACN51" s="280"/>
      <c r="ACO51" s="280"/>
      <c r="ACP51" s="280"/>
      <c r="ACQ51" s="280"/>
      <c r="ACR51" s="280"/>
      <c r="ACS51" s="280"/>
      <c r="ACT51" s="280"/>
      <c r="ACU51" s="280"/>
      <c r="ACV51" s="280"/>
      <c r="ACW51" s="280"/>
      <c r="ACX51" s="280"/>
      <c r="ACY51" s="280"/>
      <c r="ACZ51" s="280"/>
      <c r="ADA51" s="280"/>
      <c r="ADB51" s="280"/>
      <c r="ADC51" s="280"/>
      <c r="ADD51" s="280"/>
      <c r="ADE51" s="280"/>
      <c r="ADF51" s="280"/>
      <c r="ADG51" s="280"/>
      <c r="ADH51" s="280"/>
      <c r="ADI51" s="280"/>
      <c r="ADJ51" s="280"/>
      <c r="ADK51" s="280"/>
      <c r="ADL51" s="280"/>
      <c r="ADM51" s="280"/>
      <c r="ADN51" s="280"/>
      <c r="ADO51" s="280"/>
      <c r="ADP51" s="280"/>
      <c r="ADQ51" s="280"/>
      <c r="ADR51" s="280"/>
      <c r="ADS51" s="280"/>
      <c r="ADT51" s="280"/>
      <c r="ADU51" s="280"/>
      <c r="ADV51" s="280"/>
      <c r="ADW51" s="280"/>
      <c r="ADX51" s="280"/>
      <c r="ADY51" s="280"/>
      <c r="ADZ51" s="280"/>
      <c r="AEA51" s="280"/>
      <c r="AEB51" s="280"/>
      <c r="AEC51" s="280"/>
      <c r="AED51" s="280"/>
      <c r="AEE51" s="280"/>
      <c r="AEF51" s="280"/>
      <c r="AEG51" s="280"/>
      <c r="AEH51" s="280"/>
      <c r="AEI51" s="280"/>
      <c r="AEJ51" s="280"/>
      <c r="AEK51" s="280"/>
      <c r="AEL51" s="280"/>
      <c r="AEM51" s="280"/>
      <c r="AEN51" s="280"/>
      <c r="AEO51" s="280"/>
      <c r="AEP51" s="280"/>
      <c r="AEQ51" s="280"/>
      <c r="AER51" s="280"/>
      <c r="AES51" s="280"/>
      <c r="AET51" s="280"/>
      <c r="AEU51" s="280"/>
      <c r="AEV51" s="280"/>
      <c r="AEW51" s="280"/>
      <c r="AEX51" s="280"/>
      <c r="AEY51" s="280"/>
      <c r="AEZ51" s="280"/>
      <c r="AFA51" s="280"/>
      <c r="AFB51" s="280"/>
      <c r="AFC51" s="280"/>
      <c r="AFD51" s="280"/>
      <c r="AFE51" s="280"/>
      <c r="AFF51" s="280"/>
      <c r="AFG51" s="280"/>
      <c r="AFH51" s="280"/>
      <c r="AFI51" s="280"/>
      <c r="AFJ51" s="280"/>
      <c r="AFK51" s="280"/>
      <c r="AFL51" s="280"/>
      <c r="AFM51" s="280"/>
      <c r="AFN51" s="280"/>
      <c r="AFO51" s="280"/>
      <c r="AFP51" s="280"/>
      <c r="AFQ51" s="280"/>
      <c r="AFR51" s="280"/>
      <c r="AFS51" s="280"/>
      <c r="AFT51" s="280"/>
      <c r="AFU51" s="280"/>
      <c r="AFV51" s="280"/>
      <c r="AFW51" s="280"/>
      <c r="AFX51" s="280"/>
      <c r="AFY51" s="280"/>
      <c r="AFZ51" s="280"/>
      <c r="AGA51" s="280"/>
      <c r="AGB51" s="280"/>
      <c r="AGC51" s="280"/>
      <c r="AGD51" s="280"/>
      <c r="AGE51" s="280"/>
      <c r="AGF51" s="280"/>
      <c r="AGG51" s="280"/>
      <c r="AGH51" s="280"/>
      <c r="AGI51" s="280"/>
      <c r="AGJ51" s="280"/>
      <c r="AGK51" s="280"/>
      <c r="AGL51" s="280"/>
      <c r="AGM51" s="280"/>
      <c r="AGN51" s="280"/>
      <c r="AGO51" s="280"/>
      <c r="AGP51" s="280"/>
      <c r="AGQ51" s="280"/>
      <c r="AGR51" s="280"/>
      <c r="AGS51" s="280"/>
      <c r="AGT51" s="280"/>
      <c r="AGU51" s="280"/>
      <c r="AGV51" s="280"/>
      <c r="AGW51" s="280"/>
      <c r="AGX51" s="280"/>
      <c r="AGY51" s="280"/>
      <c r="AGZ51" s="280"/>
      <c r="AHA51" s="280"/>
      <c r="AHB51" s="280"/>
      <c r="AHC51" s="280"/>
      <c r="AHD51" s="280"/>
      <c r="AHE51" s="280"/>
      <c r="AHF51" s="280"/>
      <c r="AHG51" s="280"/>
      <c r="AHH51" s="280"/>
      <c r="AHI51" s="280"/>
      <c r="AHJ51" s="280"/>
      <c r="AHK51" s="280"/>
      <c r="AHL51" s="280"/>
      <c r="AHM51" s="280"/>
      <c r="AHN51" s="280"/>
      <c r="AHO51" s="280"/>
      <c r="AHP51" s="280"/>
      <c r="AHQ51" s="280"/>
      <c r="AHR51" s="280"/>
      <c r="AHS51" s="280"/>
      <c r="AHT51" s="280"/>
      <c r="AHU51" s="280"/>
      <c r="AHV51" s="280"/>
      <c r="AHW51" s="280"/>
      <c r="AHX51" s="280"/>
      <c r="AHY51" s="280"/>
      <c r="AHZ51" s="280"/>
      <c r="AIA51" s="280"/>
      <c r="AIB51" s="280"/>
      <c r="AIC51" s="280"/>
      <c r="AID51" s="280"/>
      <c r="AIE51" s="280"/>
      <c r="AIF51" s="280"/>
      <c r="AIG51" s="280"/>
      <c r="AIH51" s="280"/>
      <c r="AII51" s="280"/>
      <c r="AIJ51" s="280"/>
      <c r="AIK51" s="280"/>
      <c r="AIL51" s="280"/>
      <c r="AIM51" s="280"/>
      <c r="AIN51" s="280"/>
      <c r="AIO51" s="280"/>
      <c r="AIP51" s="280"/>
      <c r="AIQ51" s="280"/>
      <c r="AIR51" s="280"/>
      <c r="AIS51" s="280"/>
      <c r="AIT51" s="280"/>
      <c r="AIU51" s="280"/>
      <c r="AIV51" s="280"/>
      <c r="AIW51" s="280"/>
      <c r="AIX51" s="280"/>
      <c r="AIY51" s="280"/>
      <c r="AIZ51" s="280"/>
      <c r="AJA51" s="280"/>
      <c r="AJB51" s="280"/>
      <c r="AJC51" s="280"/>
      <c r="AJD51" s="280"/>
      <c r="AJE51" s="280"/>
      <c r="AJF51" s="280"/>
      <c r="AJG51" s="280"/>
      <c r="AJH51" s="280"/>
      <c r="AJI51" s="280"/>
      <c r="AJJ51" s="280"/>
      <c r="AJK51" s="280"/>
      <c r="AJL51" s="280"/>
      <c r="AJM51" s="280"/>
      <c r="AJN51" s="280"/>
      <c r="AJO51" s="280"/>
      <c r="AJP51" s="280"/>
      <c r="AJQ51" s="280"/>
      <c r="AJR51" s="280"/>
      <c r="AJS51" s="280"/>
      <c r="AJT51" s="280"/>
      <c r="AJU51" s="280"/>
      <c r="AJV51" s="280"/>
      <c r="AJW51" s="280"/>
      <c r="AJX51" s="280"/>
      <c r="AJY51" s="280"/>
      <c r="AJZ51" s="280"/>
      <c r="AKA51" s="280"/>
      <c r="AKB51" s="280"/>
      <c r="AKC51" s="280"/>
      <c r="AKD51" s="280"/>
      <c r="AKE51" s="280"/>
      <c r="AKF51" s="280"/>
      <c r="AKG51" s="280"/>
      <c r="AKH51" s="280"/>
      <c r="AKI51" s="280"/>
      <c r="AKJ51" s="280"/>
      <c r="AKK51" s="280"/>
      <c r="AKL51" s="280"/>
      <c r="AKM51" s="280"/>
      <c r="AKN51" s="280"/>
      <c r="AKO51" s="280"/>
      <c r="AKP51" s="280"/>
      <c r="AKQ51" s="280"/>
      <c r="AKR51" s="280"/>
      <c r="AKS51" s="280"/>
      <c r="AKT51" s="280"/>
      <c r="AKU51" s="280"/>
      <c r="AKV51" s="280"/>
      <c r="AKW51" s="280"/>
      <c r="AKX51" s="280"/>
      <c r="AKY51" s="280"/>
      <c r="AKZ51" s="280"/>
      <c r="ALA51" s="280"/>
      <c r="ALB51" s="280"/>
      <c r="ALC51" s="280"/>
      <c r="ALD51" s="280"/>
      <c r="ALE51" s="280"/>
      <c r="ALF51" s="280"/>
      <c r="ALG51" s="280"/>
      <c r="ALH51" s="280"/>
      <c r="ALI51" s="280"/>
      <c r="ALJ51" s="280"/>
      <c r="ALK51" s="280"/>
      <c r="ALL51" s="280"/>
      <c r="ALM51" s="280"/>
      <c r="ALN51" s="280"/>
      <c r="ALO51" s="280"/>
      <c r="ALP51" s="280"/>
      <c r="ALQ51" s="280"/>
      <c r="ALR51" s="280"/>
      <c r="ALS51" s="280"/>
      <c r="ALT51" s="280"/>
      <c r="ALU51" s="280"/>
      <c r="ALV51" s="280"/>
      <c r="ALW51" s="280"/>
      <c r="ALX51" s="280"/>
      <c r="ALY51" s="280"/>
      <c r="ALZ51" s="280"/>
      <c r="AMA51" s="280"/>
      <c r="AMB51" s="280"/>
      <c r="AMC51" s="280"/>
      <c r="AMD51" s="280"/>
      <c r="AME51" s="280"/>
      <c r="AMF51" s="280"/>
      <c r="AMG51" s="280"/>
      <c r="AMH51" s="280"/>
      <c r="AMI51" s="280"/>
      <c r="AMJ51" s="280"/>
      <c r="AMK51" s="280"/>
      <c r="AML51" s="280"/>
      <c r="AMM51" s="280"/>
      <c r="AMN51" s="280"/>
      <c r="AMO51" s="280"/>
      <c r="AMP51" s="280"/>
      <c r="AMQ51" s="280"/>
      <c r="AMR51" s="280"/>
      <c r="AMS51" s="280"/>
      <c r="AMT51" s="280"/>
      <c r="AMU51" s="280"/>
      <c r="AMV51" s="280"/>
      <c r="AMW51" s="280"/>
      <c r="AMX51" s="280"/>
      <c r="AMY51" s="280"/>
      <c r="AMZ51" s="280"/>
      <c r="ANA51" s="280"/>
      <c r="ANB51" s="280"/>
      <c r="ANC51" s="280"/>
      <c r="AND51" s="280"/>
      <c r="ANE51" s="280"/>
      <c r="ANF51" s="280"/>
      <c r="ANG51" s="280"/>
      <c r="ANH51" s="280"/>
      <c r="ANI51" s="280"/>
      <c r="ANJ51" s="280"/>
      <c r="ANK51" s="280"/>
      <c r="ANL51" s="280"/>
      <c r="ANM51" s="280"/>
      <c r="ANN51" s="280"/>
      <c r="ANO51" s="280"/>
      <c r="ANP51" s="280"/>
      <c r="ANQ51" s="280"/>
      <c r="ANR51" s="280"/>
      <c r="ANS51" s="280"/>
      <c r="ANT51" s="280"/>
      <c r="ANU51" s="280"/>
      <c r="ANV51" s="280"/>
      <c r="ANW51" s="280"/>
      <c r="ANX51" s="280"/>
      <c r="ANY51" s="280"/>
      <c r="ANZ51" s="280"/>
      <c r="AOA51" s="280"/>
      <c r="AOB51" s="280"/>
      <c r="AOC51" s="280"/>
      <c r="AOD51" s="280"/>
      <c r="AOE51" s="280"/>
      <c r="AOF51" s="280"/>
      <c r="AOG51" s="280"/>
      <c r="AOH51" s="280"/>
      <c r="AOI51" s="280"/>
      <c r="AOJ51" s="280"/>
      <c r="AOK51" s="280"/>
      <c r="AOL51" s="280"/>
      <c r="AOM51" s="280"/>
      <c r="AON51" s="280"/>
      <c r="AOO51" s="280"/>
      <c r="AOP51" s="280"/>
      <c r="AOQ51" s="280"/>
      <c r="AOR51" s="280"/>
      <c r="AOS51" s="280"/>
      <c r="AOT51" s="280"/>
      <c r="AOU51" s="280"/>
      <c r="AOV51" s="280"/>
      <c r="AOW51" s="280"/>
      <c r="AOX51" s="280"/>
      <c r="AOY51" s="280"/>
      <c r="AOZ51" s="280"/>
      <c r="APA51" s="280"/>
      <c r="APB51" s="280"/>
      <c r="APC51" s="280"/>
      <c r="APD51" s="280"/>
      <c r="APE51" s="280"/>
      <c r="APF51" s="280"/>
      <c r="APG51" s="280"/>
      <c r="APH51" s="280"/>
      <c r="API51" s="280"/>
      <c r="APJ51" s="280"/>
      <c r="APK51" s="280"/>
      <c r="APL51" s="280"/>
      <c r="APM51" s="280"/>
      <c r="APN51" s="280"/>
      <c r="APO51" s="280"/>
      <c r="APP51" s="280"/>
      <c r="APQ51" s="280"/>
      <c r="APR51" s="280"/>
      <c r="APS51" s="280"/>
      <c r="APT51" s="280"/>
      <c r="APU51" s="280"/>
      <c r="APV51" s="280"/>
      <c r="APW51" s="280"/>
      <c r="APX51" s="280"/>
      <c r="APY51" s="280"/>
      <c r="APZ51" s="280"/>
      <c r="AQA51" s="280"/>
      <c r="AQB51" s="280"/>
      <c r="AQC51" s="280"/>
      <c r="AQD51" s="280"/>
      <c r="AQE51" s="280"/>
      <c r="AQF51" s="280"/>
      <c r="AQG51" s="280"/>
      <c r="AQH51" s="280"/>
      <c r="AQI51" s="280"/>
      <c r="AQJ51" s="280"/>
      <c r="AQK51" s="280"/>
      <c r="AQL51" s="280"/>
      <c r="AQM51" s="280"/>
      <c r="AQN51" s="280"/>
      <c r="AQO51" s="280"/>
      <c r="AQP51" s="280"/>
      <c r="AQQ51" s="280"/>
      <c r="AQR51" s="280"/>
      <c r="AQS51" s="280"/>
      <c r="AQT51" s="280"/>
      <c r="AQU51" s="280"/>
      <c r="AQV51" s="280"/>
      <c r="AQW51" s="280"/>
      <c r="AQX51" s="280"/>
      <c r="AQY51" s="280"/>
      <c r="AQZ51" s="280"/>
      <c r="ARA51" s="280"/>
      <c r="ARB51" s="280"/>
      <c r="ARC51" s="280"/>
      <c r="ARD51" s="280"/>
      <c r="ARE51" s="280"/>
      <c r="ARF51" s="280"/>
      <c r="ARG51" s="280"/>
      <c r="ARH51" s="280"/>
      <c r="ARI51" s="280"/>
      <c r="ARJ51" s="280"/>
      <c r="ARK51" s="280"/>
      <c r="ARL51" s="280"/>
      <c r="ARM51" s="280"/>
      <c r="ARN51" s="280"/>
      <c r="ARO51" s="280"/>
      <c r="ARP51" s="280"/>
      <c r="ARQ51" s="280"/>
      <c r="ARR51" s="280"/>
      <c r="ARS51" s="280"/>
      <c r="ART51" s="280"/>
      <c r="ARU51" s="280"/>
      <c r="ARV51" s="280"/>
      <c r="ARW51" s="280"/>
      <c r="ARX51" s="280"/>
      <c r="ARY51" s="280"/>
      <c r="ARZ51" s="280"/>
      <c r="ASA51" s="280"/>
      <c r="ASB51" s="280"/>
      <c r="ASC51" s="280"/>
      <c r="ASD51" s="280"/>
      <c r="ASE51" s="280"/>
      <c r="ASF51" s="280"/>
      <c r="ASG51" s="280"/>
      <c r="ASH51" s="280"/>
      <c r="ASI51" s="280"/>
      <c r="ASJ51" s="280"/>
      <c r="ASK51" s="280"/>
      <c r="ASL51" s="280"/>
      <c r="ASM51" s="280"/>
      <c r="ASN51" s="280"/>
      <c r="ASO51" s="280"/>
      <c r="ASP51" s="280"/>
      <c r="ASQ51" s="280"/>
      <c r="ASR51" s="280"/>
      <c r="ASS51" s="280"/>
      <c r="AST51" s="280"/>
      <c r="ASU51" s="280"/>
      <c r="ASV51" s="280"/>
      <c r="ASW51" s="280"/>
      <c r="ASX51" s="280"/>
      <c r="ASY51" s="280"/>
      <c r="ASZ51" s="280"/>
      <c r="ATA51" s="280"/>
      <c r="ATB51" s="280"/>
      <c r="ATC51" s="280"/>
      <c r="ATD51" s="280"/>
      <c r="ATE51" s="280"/>
      <c r="ATF51" s="280"/>
      <c r="ATG51" s="280"/>
      <c r="ATH51" s="280"/>
      <c r="ATI51" s="280"/>
      <c r="ATJ51" s="280"/>
      <c r="ATK51" s="280"/>
      <c r="ATL51" s="280"/>
      <c r="ATM51" s="280"/>
      <c r="ATN51" s="280"/>
      <c r="ATO51" s="280"/>
      <c r="ATP51" s="280"/>
      <c r="ATQ51" s="280"/>
      <c r="ATR51" s="280"/>
      <c r="ATS51" s="280"/>
      <c r="ATT51" s="280"/>
      <c r="ATU51" s="280"/>
      <c r="ATV51" s="280"/>
      <c r="ATW51" s="280"/>
      <c r="ATX51" s="280"/>
      <c r="ATY51" s="280"/>
      <c r="ATZ51" s="280"/>
      <c r="AUA51" s="280"/>
      <c r="AUB51" s="280"/>
      <c r="AUC51" s="280"/>
      <c r="AUD51" s="280"/>
      <c r="AUE51" s="280"/>
      <c r="AUF51" s="280"/>
      <c r="AUG51" s="280"/>
      <c r="AUH51" s="280"/>
      <c r="AUI51" s="280"/>
      <c r="AUJ51" s="280"/>
      <c r="AUK51" s="280"/>
      <c r="AUL51" s="280"/>
      <c r="AUM51" s="280"/>
      <c r="AUN51" s="280"/>
      <c r="AUO51" s="280"/>
      <c r="AUP51" s="280"/>
      <c r="AUQ51" s="280"/>
      <c r="AUR51" s="280"/>
      <c r="AUS51" s="280"/>
      <c r="AUT51" s="280"/>
      <c r="AUU51" s="280"/>
      <c r="AUV51" s="280"/>
      <c r="AUW51" s="280"/>
      <c r="AUX51" s="280"/>
      <c r="AUY51" s="280"/>
      <c r="AUZ51" s="280"/>
      <c r="AVA51" s="280"/>
      <c r="AVB51" s="280"/>
      <c r="AVC51" s="280"/>
      <c r="AVD51" s="280"/>
      <c r="AVE51" s="280"/>
      <c r="AVF51" s="280"/>
      <c r="AVG51" s="280"/>
      <c r="AVH51" s="280"/>
      <c r="AVI51" s="280"/>
      <c r="AVJ51" s="280"/>
      <c r="AVK51" s="280"/>
      <c r="AVL51" s="280"/>
      <c r="AVM51" s="280"/>
      <c r="AVN51" s="280"/>
      <c r="AVO51" s="280"/>
      <c r="AVP51" s="280"/>
      <c r="AVQ51" s="280"/>
      <c r="AVR51" s="280"/>
      <c r="AVS51" s="280"/>
      <c r="AVT51" s="280"/>
      <c r="AVU51" s="280"/>
      <c r="AVV51" s="280"/>
      <c r="AVW51" s="280"/>
      <c r="AVX51" s="280"/>
      <c r="AVY51" s="280"/>
      <c r="AVZ51" s="280"/>
      <c r="AWA51" s="280"/>
      <c r="AWB51" s="280"/>
      <c r="AWC51" s="280"/>
      <c r="AWD51" s="280"/>
      <c r="AWE51" s="280"/>
      <c r="AWF51" s="280"/>
      <c r="AWG51" s="280"/>
      <c r="AWH51" s="280"/>
      <c r="AWI51" s="280"/>
      <c r="AWJ51" s="280"/>
      <c r="AWK51" s="280"/>
      <c r="AWL51" s="280"/>
      <c r="AWM51" s="280"/>
      <c r="AWN51" s="280"/>
      <c r="AWO51" s="280"/>
      <c r="AWP51" s="280"/>
      <c r="AWQ51" s="280"/>
      <c r="AWR51" s="280"/>
      <c r="AWS51" s="280"/>
      <c r="AWT51" s="280"/>
      <c r="AWU51" s="280"/>
      <c r="AWV51" s="280"/>
      <c r="AWW51" s="280"/>
      <c r="AWX51" s="280"/>
      <c r="AWY51" s="280"/>
      <c r="AWZ51" s="280"/>
      <c r="AXA51" s="280"/>
      <c r="AXB51" s="280"/>
      <c r="AXC51" s="280"/>
      <c r="AXD51" s="280"/>
      <c r="AXE51" s="280"/>
      <c r="AXF51" s="280"/>
      <c r="AXG51" s="280"/>
      <c r="AXH51" s="280"/>
      <c r="AXI51" s="280"/>
      <c r="AXJ51" s="280"/>
      <c r="AXK51" s="280"/>
      <c r="AXL51" s="280"/>
      <c r="AXM51" s="280"/>
      <c r="AXN51" s="280"/>
      <c r="AXO51" s="280"/>
      <c r="AXP51" s="280"/>
      <c r="AXQ51" s="280"/>
      <c r="AXR51" s="280"/>
      <c r="AXS51" s="280"/>
      <c r="AXT51" s="280"/>
      <c r="AXU51" s="280"/>
      <c r="AXV51" s="280"/>
      <c r="AXW51" s="280"/>
      <c r="AXX51" s="280"/>
      <c r="AXY51" s="280"/>
      <c r="AXZ51" s="280"/>
      <c r="AYA51" s="280"/>
      <c r="AYB51" s="280"/>
      <c r="AYC51" s="280"/>
      <c r="AYD51" s="280"/>
      <c r="AYE51" s="280"/>
      <c r="AYF51" s="280"/>
      <c r="AYG51" s="280"/>
      <c r="AYH51" s="280"/>
      <c r="AYI51" s="280"/>
      <c r="AYJ51" s="280"/>
      <c r="AYK51" s="280"/>
      <c r="AYL51" s="280"/>
      <c r="AYM51" s="280"/>
      <c r="AYN51" s="280"/>
      <c r="AYO51" s="280"/>
      <c r="AYP51" s="280"/>
      <c r="AYQ51" s="280"/>
      <c r="AYR51" s="280"/>
      <c r="AYS51" s="280"/>
      <c r="AYT51" s="280"/>
      <c r="AYU51" s="280"/>
      <c r="AYV51" s="280"/>
      <c r="AYW51" s="280"/>
      <c r="AYX51" s="280"/>
      <c r="AYY51" s="280"/>
      <c r="AYZ51" s="280"/>
      <c r="AZA51" s="280"/>
      <c r="AZB51" s="280"/>
      <c r="AZC51" s="280"/>
      <c r="AZD51" s="280"/>
      <c r="AZE51" s="280"/>
      <c r="AZF51" s="280"/>
      <c r="AZG51" s="280"/>
      <c r="AZH51" s="280"/>
      <c r="AZI51" s="280"/>
      <c r="AZJ51" s="280"/>
      <c r="AZK51" s="280"/>
      <c r="AZL51" s="280"/>
      <c r="AZM51" s="280"/>
      <c r="AZN51" s="280"/>
      <c r="AZO51" s="280"/>
      <c r="AZP51" s="280"/>
      <c r="AZQ51" s="280"/>
      <c r="AZR51" s="280"/>
      <c r="AZS51" s="280"/>
      <c r="AZT51" s="280"/>
      <c r="AZU51" s="280"/>
      <c r="AZV51" s="280"/>
      <c r="AZW51" s="280"/>
      <c r="AZX51" s="280"/>
      <c r="AZY51" s="280"/>
      <c r="AZZ51" s="280"/>
      <c r="BAA51" s="280"/>
      <c r="BAB51" s="280"/>
      <c r="BAC51" s="280"/>
      <c r="BAD51" s="280"/>
      <c r="BAE51" s="280"/>
      <c r="BAF51" s="280"/>
      <c r="BAG51" s="280"/>
      <c r="BAH51" s="280"/>
      <c r="BAI51" s="280"/>
      <c r="BAJ51" s="280"/>
      <c r="BAK51" s="280"/>
      <c r="BAL51" s="280"/>
      <c r="BAM51" s="280"/>
      <c r="BAN51" s="280"/>
      <c r="BAO51" s="280"/>
      <c r="BAP51" s="280"/>
      <c r="BAQ51" s="280"/>
      <c r="BAR51" s="280"/>
      <c r="BAS51" s="280"/>
      <c r="BAT51" s="280"/>
      <c r="BAU51" s="280"/>
      <c r="BAV51" s="280"/>
      <c r="BAW51" s="280"/>
      <c r="BAX51" s="280"/>
      <c r="BAY51" s="280"/>
      <c r="BAZ51" s="280"/>
      <c r="BBA51" s="280"/>
      <c r="BBB51" s="280"/>
      <c r="BBC51" s="280"/>
      <c r="BBD51" s="280"/>
      <c r="BBE51" s="280"/>
      <c r="BBF51" s="280"/>
      <c r="BBG51" s="280"/>
      <c r="BBH51" s="280"/>
      <c r="BBI51" s="280"/>
      <c r="BBJ51" s="280"/>
      <c r="BBK51" s="280"/>
      <c r="BBL51" s="280"/>
      <c r="BBM51" s="280"/>
      <c r="BBN51" s="280"/>
      <c r="BBO51" s="280"/>
      <c r="BBP51" s="280"/>
      <c r="BBQ51" s="280"/>
      <c r="BBR51" s="280"/>
      <c r="BBS51" s="280"/>
      <c r="BBT51" s="280"/>
      <c r="BBU51" s="280"/>
      <c r="BBV51" s="280"/>
      <c r="BBW51" s="280"/>
      <c r="BBX51" s="280"/>
      <c r="BBY51" s="280"/>
      <c r="BBZ51" s="280"/>
      <c r="BCA51" s="280"/>
      <c r="BCB51" s="280"/>
      <c r="BCC51" s="280"/>
      <c r="BCD51" s="280"/>
      <c r="BCE51" s="280"/>
      <c r="BCF51" s="280"/>
      <c r="BCG51" s="280"/>
      <c r="BCH51" s="280"/>
      <c r="BCI51" s="280"/>
      <c r="BCJ51" s="280"/>
      <c r="BCK51" s="280"/>
      <c r="BCL51" s="280"/>
      <c r="BCM51" s="280"/>
      <c r="BCN51" s="280"/>
      <c r="BCO51" s="280"/>
      <c r="BCP51" s="280"/>
      <c r="BCQ51" s="280"/>
      <c r="BCR51" s="280"/>
      <c r="BCS51" s="280"/>
      <c r="BCT51" s="280"/>
      <c r="BCU51" s="280"/>
      <c r="BCV51" s="280"/>
      <c r="BCW51" s="280"/>
      <c r="BCX51" s="280"/>
      <c r="BCY51" s="280"/>
      <c r="BCZ51" s="280"/>
      <c r="BDA51" s="280"/>
      <c r="BDB51" s="280"/>
      <c r="BDC51" s="280"/>
      <c r="BDD51" s="280"/>
      <c r="BDE51" s="280"/>
      <c r="BDF51" s="280"/>
      <c r="BDG51" s="280"/>
      <c r="BDH51" s="280"/>
      <c r="BDI51" s="280"/>
      <c r="BDJ51" s="280"/>
      <c r="BDK51" s="280"/>
      <c r="BDL51" s="280"/>
      <c r="BDM51" s="280"/>
      <c r="BDN51" s="280"/>
      <c r="BDO51" s="280"/>
      <c r="BDP51" s="280"/>
      <c r="BDQ51" s="280"/>
      <c r="BDR51" s="280"/>
      <c r="BDS51" s="280"/>
      <c r="BDT51" s="280"/>
      <c r="BDU51" s="280"/>
      <c r="BDV51" s="280"/>
      <c r="BDW51" s="280"/>
      <c r="BDX51" s="280"/>
      <c r="BDY51" s="280"/>
      <c r="BDZ51" s="280"/>
      <c r="BEA51" s="280"/>
      <c r="BEB51" s="280"/>
      <c r="BEC51" s="280"/>
      <c r="BED51" s="280"/>
      <c r="BEE51" s="280"/>
      <c r="BEF51" s="280"/>
      <c r="BEG51" s="280"/>
      <c r="BEH51" s="280"/>
      <c r="BEI51" s="280"/>
      <c r="BEJ51" s="280"/>
      <c r="BEK51" s="280"/>
      <c r="BEL51" s="280"/>
      <c r="BEM51" s="280"/>
      <c r="BEN51" s="280"/>
      <c r="BEO51" s="280"/>
      <c r="BEP51" s="280"/>
      <c r="BEQ51" s="280"/>
      <c r="BER51" s="280"/>
      <c r="BES51" s="280"/>
      <c r="BET51" s="280"/>
      <c r="BEU51" s="280"/>
      <c r="BEV51" s="280"/>
      <c r="BEW51" s="280"/>
      <c r="BEX51" s="280"/>
      <c r="BEY51" s="280"/>
      <c r="BEZ51" s="280"/>
      <c r="BFA51" s="280"/>
      <c r="BFB51" s="280"/>
      <c r="BFC51" s="280"/>
      <c r="BFD51" s="280"/>
      <c r="BFE51" s="280"/>
      <c r="BFF51" s="280"/>
      <c r="BFG51" s="280"/>
      <c r="BFH51" s="280"/>
      <c r="BFI51" s="280"/>
      <c r="BFJ51" s="280"/>
      <c r="BFK51" s="280"/>
      <c r="BFL51" s="280"/>
      <c r="BFM51" s="280"/>
      <c r="BFN51" s="280"/>
      <c r="BFO51" s="280"/>
      <c r="BFP51" s="280"/>
      <c r="BFQ51" s="280"/>
      <c r="BFR51" s="280"/>
      <c r="BFS51" s="280"/>
      <c r="BFT51" s="280"/>
      <c r="BFU51" s="280"/>
      <c r="BFV51" s="280"/>
      <c r="BFW51" s="280"/>
      <c r="BFX51" s="280"/>
      <c r="BFY51" s="280"/>
      <c r="BFZ51" s="280"/>
      <c r="BGA51" s="280"/>
      <c r="BGB51" s="280"/>
      <c r="BGC51" s="280"/>
      <c r="BGD51" s="280"/>
      <c r="BGE51" s="280"/>
      <c r="BGF51" s="280"/>
      <c r="BGG51" s="280"/>
      <c r="BGH51" s="280"/>
      <c r="BGI51" s="280"/>
      <c r="BGJ51" s="280"/>
      <c r="BGK51" s="280"/>
      <c r="BGL51" s="280"/>
      <c r="BGM51" s="280"/>
      <c r="BGN51" s="280"/>
      <c r="BGO51" s="280"/>
      <c r="BGP51" s="280"/>
      <c r="BGQ51" s="280"/>
      <c r="BGR51" s="280"/>
      <c r="BGS51" s="280"/>
      <c r="BGT51" s="280"/>
      <c r="BGU51" s="280"/>
      <c r="BGV51" s="280"/>
      <c r="BGW51" s="280"/>
      <c r="BGX51" s="280"/>
      <c r="BGY51" s="280"/>
      <c r="BGZ51" s="280"/>
      <c r="BHA51" s="280"/>
      <c r="BHB51" s="280"/>
      <c r="BHC51" s="280"/>
      <c r="BHD51" s="280"/>
      <c r="BHE51" s="280"/>
      <c r="BHF51" s="280"/>
      <c r="BHG51" s="280"/>
      <c r="BHH51" s="280"/>
      <c r="BHI51" s="280"/>
      <c r="BHJ51" s="280"/>
      <c r="BHK51" s="280"/>
      <c r="BHL51" s="280"/>
      <c r="BHM51" s="280"/>
      <c r="BHN51" s="280"/>
      <c r="BHO51" s="280"/>
      <c r="BHP51" s="280"/>
      <c r="BHQ51" s="280"/>
      <c r="BHR51" s="280"/>
      <c r="BHS51" s="280"/>
      <c r="BHT51" s="280"/>
      <c r="BHU51" s="280"/>
      <c r="BHV51" s="280"/>
      <c r="BHW51" s="280"/>
      <c r="BHX51" s="280"/>
      <c r="BHY51" s="280"/>
      <c r="BHZ51" s="280"/>
      <c r="BIA51" s="280"/>
      <c r="BIB51" s="280"/>
      <c r="BIC51" s="280"/>
      <c r="BID51" s="280"/>
      <c r="BIE51" s="280"/>
      <c r="BIF51" s="280"/>
      <c r="BIG51" s="280"/>
      <c r="BIH51" s="280"/>
      <c r="BII51" s="280"/>
      <c r="BIJ51" s="280"/>
      <c r="BIK51" s="280"/>
      <c r="BIL51" s="280"/>
      <c r="BIM51" s="280"/>
      <c r="BIN51" s="280"/>
      <c r="BIO51" s="280"/>
      <c r="BIP51" s="280"/>
      <c r="BIQ51" s="280"/>
      <c r="BIR51" s="280"/>
      <c r="BIS51" s="280"/>
      <c r="BIT51" s="280"/>
      <c r="BIU51" s="280"/>
      <c r="BIV51" s="280"/>
      <c r="BIW51" s="280"/>
      <c r="BIX51" s="280"/>
      <c r="BIY51" s="280"/>
      <c r="BIZ51" s="280"/>
      <c r="BJA51" s="280"/>
      <c r="BJB51" s="280"/>
      <c r="BJC51" s="280"/>
      <c r="BJD51" s="280"/>
      <c r="BJE51" s="280"/>
      <c r="BJF51" s="280"/>
      <c r="BJG51" s="280"/>
      <c r="BJH51" s="280"/>
      <c r="BJI51" s="280"/>
      <c r="BJJ51" s="280"/>
      <c r="BJK51" s="280"/>
      <c r="BJL51" s="280"/>
      <c r="BJM51" s="280"/>
      <c r="BJN51" s="280"/>
      <c r="BJO51" s="280"/>
      <c r="BJP51" s="280"/>
      <c r="BJQ51" s="280"/>
      <c r="BJR51" s="280"/>
      <c r="BJS51" s="280"/>
      <c r="BJT51" s="280"/>
      <c r="BJU51" s="280"/>
      <c r="BJV51" s="280"/>
      <c r="BJW51" s="280"/>
      <c r="BJX51" s="280"/>
      <c r="BJY51" s="280"/>
      <c r="BJZ51" s="280"/>
      <c r="BKA51" s="280"/>
      <c r="BKB51" s="280"/>
      <c r="BKC51" s="280"/>
      <c r="BKD51" s="280"/>
      <c r="BKE51" s="280"/>
      <c r="BKF51" s="280"/>
      <c r="BKG51" s="280"/>
      <c r="BKH51" s="280"/>
      <c r="BKI51" s="280"/>
      <c r="BKJ51" s="280"/>
      <c r="BKK51" s="280"/>
      <c r="BKL51" s="280"/>
      <c r="BKM51" s="280"/>
      <c r="BKN51" s="280"/>
      <c r="BKO51" s="280"/>
      <c r="BKP51" s="280"/>
      <c r="BKQ51" s="280"/>
      <c r="BKR51" s="280"/>
      <c r="BKS51" s="280"/>
      <c r="BKT51" s="280"/>
      <c r="BKU51" s="280"/>
      <c r="BKV51" s="280"/>
      <c r="BKW51" s="280"/>
      <c r="BKX51" s="280"/>
      <c r="BKY51" s="280"/>
      <c r="BKZ51" s="280"/>
      <c r="BLA51" s="280"/>
      <c r="BLB51" s="280"/>
      <c r="BLC51" s="280"/>
      <c r="BLD51" s="280"/>
      <c r="BLE51" s="280"/>
      <c r="BLF51" s="280"/>
      <c r="BLG51" s="280"/>
      <c r="BLH51" s="280"/>
      <c r="BLI51" s="280"/>
      <c r="BLJ51" s="280"/>
      <c r="BLK51" s="280"/>
      <c r="BLL51" s="280"/>
      <c r="BLM51" s="280"/>
      <c r="BLN51" s="280"/>
      <c r="BLO51" s="280"/>
      <c r="BLP51" s="280"/>
      <c r="BLQ51" s="280"/>
      <c r="BLR51" s="280"/>
      <c r="BLS51" s="280"/>
      <c r="BLT51" s="280"/>
      <c r="BLU51" s="280"/>
      <c r="BLV51" s="280"/>
      <c r="BLW51" s="280"/>
      <c r="BLX51" s="280"/>
      <c r="BLY51" s="280"/>
      <c r="BLZ51" s="280"/>
      <c r="BMA51" s="280"/>
      <c r="BMB51" s="280"/>
      <c r="BMC51" s="280"/>
      <c r="BMD51" s="280"/>
      <c r="BME51" s="280"/>
      <c r="BMF51" s="280"/>
      <c r="BMG51" s="280"/>
      <c r="BMH51" s="280"/>
      <c r="BMI51" s="280"/>
      <c r="BMJ51" s="280"/>
      <c r="BMK51" s="280"/>
      <c r="BML51" s="280"/>
      <c r="BMM51" s="280"/>
      <c r="BMN51" s="280"/>
      <c r="BMO51" s="280"/>
      <c r="BMP51" s="280"/>
      <c r="BMQ51" s="280"/>
      <c r="BMR51" s="280"/>
      <c r="BMS51" s="280"/>
      <c r="BMT51" s="280"/>
      <c r="BMU51" s="280"/>
      <c r="BMV51" s="280"/>
      <c r="BMW51" s="280"/>
      <c r="BMX51" s="280"/>
      <c r="BMY51" s="280"/>
      <c r="BMZ51" s="280"/>
      <c r="BNA51" s="280"/>
      <c r="BNB51" s="280"/>
      <c r="BNC51" s="280"/>
      <c r="BND51" s="280"/>
      <c r="BNE51" s="280"/>
      <c r="BNF51" s="280"/>
      <c r="BNG51" s="280"/>
      <c r="BNH51" s="280"/>
      <c r="BNI51" s="280"/>
      <c r="BNJ51" s="280"/>
      <c r="BNK51" s="280"/>
      <c r="BNL51" s="280"/>
      <c r="BNM51" s="280"/>
      <c r="BNN51" s="280"/>
      <c r="BNO51" s="280"/>
      <c r="BNP51" s="280"/>
      <c r="BNQ51" s="280"/>
      <c r="BNR51" s="280"/>
      <c r="BNS51" s="280"/>
      <c r="BNT51" s="280"/>
      <c r="BNU51" s="280"/>
      <c r="BNV51" s="280"/>
      <c r="BNW51" s="280"/>
      <c r="BNX51" s="280"/>
      <c r="BNY51" s="280"/>
      <c r="BNZ51" s="280"/>
      <c r="BOA51" s="280"/>
      <c r="BOB51" s="280"/>
      <c r="BOC51" s="280"/>
      <c r="BOD51" s="280"/>
      <c r="BOE51" s="280"/>
      <c r="BOF51" s="280"/>
      <c r="BOG51" s="280"/>
      <c r="BOH51" s="280"/>
      <c r="BOI51" s="280"/>
      <c r="BOJ51" s="280"/>
      <c r="BOK51" s="280"/>
      <c r="BOL51" s="280"/>
      <c r="BOM51" s="280"/>
      <c r="BON51" s="280"/>
      <c r="BOO51" s="280"/>
      <c r="BOP51" s="280"/>
      <c r="BOQ51" s="280"/>
      <c r="BOR51" s="280"/>
      <c r="BOS51" s="280"/>
      <c r="BOT51" s="280"/>
      <c r="BOU51" s="280"/>
      <c r="BOV51" s="280"/>
      <c r="BOW51" s="280"/>
      <c r="BOX51" s="280"/>
      <c r="BOY51" s="280"/>
      <c r="BOZ51" s="280"/>
      <c r="BPA51" s="280"/>
      <c r="BPB51" s="280"/>
      <c r="BPC51" s="280"/>
      <c r="BPD51" s="280"/>
      <c r="BPE51" s="280"/>
      <c r="BPF51" s="280"/>
      <c r="BPG51" s="280"/>
      <c r="BPH51" s="280"/>
      <c r="BPI51" s="280"/>
      <c r="BPJ51" s="280"/>
      <c r="BPK51" s="280"/>
      <c r="BPL51" s="280"/>
      <c r="BPM51" s="280"/>
      <c r="BPN51" s="280"/>
      <c r="BPO51" s="280"/>
      <c r="BPP51" s="280"/>
      <c r="BPQ51" s="280"/>
      <c r="BPR51" s="280"/>
      <c r="BPS51" s="280"/>
      <c r="BPT51" s="280"/>
      <c r="BPU51" s="280"/>
      <c r="BPV51" s="280"/>
      <c r="BPW51" s="280"/>
      <c r="BPX51" s="280"/>
      <c r="BPY51" s="280"/>
      <c r="BPZ51" s="280"/>
      <c r="BQA51" s="280"/>
      <c r="BQB51" s="280"/>
      <c r="BQC51" s="280"/>
      <c r="BQD51" s="280"/>
      <c r="BQE51" s="280"/>
      <c r="BQF51" s="280"/>
      <c r="BQG51" s="280"/>
      <c r="BQH51" s="280"/>
      <c r="BQI51" s="280"/>
      <c r="BQJ51" s="280"/>
      <c r="BQK51" s="280"/>
      <c r="BQL51" s="280"/>
      <c r="BQM51" s="280"/>
      <c r="BQN51" s="280"/>
      <c r="BQO51" s="280"/>
      <c r="BQP51" s="280"/>
      <c r="BQQ51" s="280"/>
      <c r="BQR51" s="280"/>
      <c r="BQS51" s="280"/>
      <c r="BQT51" s="280"/>
      <c r="BQU51" s="280"/>
      <c r="BQV51" s="280"/>
      <c r="BQW51" s="280"/>
      <c r="BQX51" s="280"/>
      <c r="BQY51" s="280"/>
      <c r="BQZ51" s="280"/>
      <c r="BRA51" s="280"/>
      <c r="BRB51" s="280"/>
      <c r="BRC51" s="280"/>
      <c r="BRD51" s="280"/>
      <c r="BRE51" s="280"/>
      <c r="BRF51" s="280"/>
      <c r="BRG51" s="280"/>
      <c r="BRH51" s="280"/>
      <c r="BRI51" s="280"/>
      <c r="BRJ51" s="280"/>
      <c r="BRK51" s="280"/>
      <c r="BRL51" s="280"/>
      <c r="BRM51" s="280"/>
      <c r="BRN51" s="280"/>
      <c r="BRO51" s="280"/>
      <c r="BRP51" s="280"/>
      <c r="BRQ51" s="280"/>
      <c r="BRR51" s="280"/>
      <c r="BRS51" s="280"/>
      <c r="BRT51" s="280"/>
      <c r="BRU51" s="280"/>
      <c r="BRV51" s="280"/>
      <c r="BRW51" s="280"/>
      <c r="BRX51" s="280"/>
      <c r="BRY51" s="280"/>
      <c r="BRZ51" s="280"/>
      <c r="BSA51" s="280"/>
      <c r="BSB51" s="280"/>
      <c r="BSC51" s="280"/>
      <c r="BSD51" s="280"/>
      <c r="BSE51" s="280"/>
      <c r="BSF51" s="280"/>
      <c r="BSG51" s="280"/>
      <c r="BSH51" s="280"/>
      <c r="BSI51" s="280"/>
      <c r="BSJ51" s="280"/>
      <c r="BSK51" s="280"/>
      <c r="BSL51" s="280"/>
      <c r="BSM51" s="280"/>
      <c r="BSN51" s="280"/>
      <c r="BSO51" s="280"/>
      <c r="BSP51" s="280"/>
      <c r="BSQ51" s="280"/>
      <c r="BSR51" s="280"/>
      <c r="BSS51" s="280"/>
      <c r="BST51" s="280"/>
      <c r="BSU51" s="280"/>
      <c r="BSV51" s="280"/>
      <c r="BSW51" s="280"/>
      <c r="BSX51" s="280"/>
      <c r="BSY51" s="280"/>
      <c r="BSZ51" s="280"/>
      <c r="BTA51" s="280"/>
      <c r="BTB51" s="280"/>
      <c r="BTC51" s="280"/>
      <c r="BTD51" s="280"/>
      <c r="BTE51" s="280"/>
      <c r="BTF51" s="280"/>
      <c r="BTG51" s="280"/>
      <c r="BTH51" s="280"/>
      <c r="BTI51" s="280"/>
      <c r="BTJ51" s="280"/>
      <c r="BTK51" s="280"/>
      <c r="BTL51" s="280"/>
      <c r="BTM51" s="280"/>
      <c r="BTN51" s="280"/>
      <c r="BTO51" s="280"/>
      <c r="BTP51" s="280"/>
      <c r="BTQ51" s="280"/>
      <c r="BTR51" s="280"/>
      <c r="BTS51" s="280"/>
      <c r="BTT51" s="280"/>
      <c r="BTU51" s="280"/>
      <c r="BTV51" s="280"/>
      <c r="BTW51" s="280"/>
      <c r="BTX51" s="280"/>
      <c r="BTY51" s="280"/>
      <c r="BTZ51" s="280"/>
      <c r="BUA51" s="280"/>
      <c r="BUB51" s="280"/>
      <c r="BUC51" s="280"/>
      <c r="BUD51" s="280"/>
      <c r="BUE51" s="280"/>
      <c r="BUF51" s="280"/>
      <c r="BUG51" s="280"/>
      <c r="BUH51" s="280"/>
      <c r="BUI51" s="280"/>
      <c r="BUJ51" s="280"/>
      <c r="BUK51" s="280"/>
      <c r="BUL51" s="280"/>
      <c r="BUM51" s="280"/>
      <c r="BUN51" s="280"/>
      <c r="BUO51" s="280"/>
      <c r="BUP51" s="280"/>
      <c r="BUQ51" s="280"/>
      <c r="BUR51" s="280"/>
      <c r="BUS51" s="280"/>
      <c r="BUT51" s="280"/>
      <c r="BUU51" s="280"/>
      <c r="BUV51" s="280"/>
      <c r="BUW51" s="280"/>
      <c r="BUX51" s="280"/>
      <c r="BUY51" s="280"/>
      <c r="BUZ51" s="280"/>
      <c r="BVA51" s="280"/>
      <c r="BVB51" s="280"/>
      <c r="BVC51" s="280"/>
      <c r="BVD51" s="280"/>
      <c r="BVE51" s="280"/>
      <c r="BVF51" s="280"/>
      <c r="BVG51" s="280"/>
      <c r="BVH51" s="280"/>
      <c r="BVI51" s="280"/>
      <c r="BVJ51" s="280"/>
      <c r="BVK51" s="280"/>
      <c r="BVL51" s="280"/>
      <c r="BVM51" s="280"/>
      <c r="BVN51" s="280"/>
      <c r="BVO51" s="280"/>
      <c r="BVP51" s="280"/>
      <c r="BVQ51" s="280"/>
      <c r="BVR51" s="280"/>
      <c r="BVS51" s="280"/>
      <c r="BVT51" s="280"/>
      <c r="BVU51" s="280"/>
      <c r="BVV51" s="280"/>
      <c r="BVW51" s="280"/>
      <c r="BVX51" s="280"/>
      <c r="BVY51" s="280"/>
      <c r="BVZ51" s="280"/>
      <c r="BWA51" s="280"/>
      <c r="BWB51" s="280"/>
      <c r="BWC51" s="280"/>
      <c r="BWD51" s="280"/>
      <c r="BWE51" s="280"/>
      <c r="BWF51" s="280"/>
      <c r="BWG51" s="280"/>
      <c r="BWH51" s="280"/>
      <c r="BWI51" s="280"/>
      <c r="BWJ51" s="280"/>
      <c r="BWK51" s="280"/>
      <c r="BWL51" s="280"/>
      <c r="BWM51" s="280"/>
      <c r="BWN51" s="280"/>
      <c r="BWO51" s="280"/>
      <c r="BWP51" s="280"/>
      <c r="BWQ51" s="280"/>
      <c r="BWR51" s="280"/>
      <c r="BWS51" s="280"/>
      <c r="BWT51" s="280"/>
      <c r="BWU51" s="280"/>
      <c r="BWV51" s="280"/>
      <c r="BWW51" s="280"/>
      <c r="BWX51" s="280"/>
      <c r="BWY51" s="280"/>
      <c r="BWZ51" s="280"/>
      <c r="BXA51" s="280"/>
      <c r="BXB51" s="280"/>
      <c r="BXC51" s="280"/>
      <c r="BXD51" s="280"/>
      <c r="BXE51" s="280"/>
      <c r="BXF51" s="280"/>
      <c r="BXG51" s="280"/>
      <c r="BXH51" s="280"/>
      <c r="BXI51" s="280"/>
      <c r="BXJ51" s="280"/>
      <c r="BXK51" s="280"/>
      <c r="BXL51" s="280"/>
      <c r="BXM51" s="280"/>
      <c r="BXN51" s="280"/>
      <c r="BXO51" s="280"/>
      <c r="BXP51" s="280"/>
      <c r="BXQ51" s="280"/>
      <c r="BXR51" s="280"/>
      <c r="BXS51" s="280"/>
      <c r="BXT51" s="280"/>
      <c r="BXU51" s="280"/>
      <c r="BXV51" s="280"/>
      <c r="BXW51" s="280"/>
      <c r="BXX51" s="280"/>
      <c r="BXY51" s="280"/>
      <c r="BXZ51" s="280"/>
      <c r="BYA51" s="280"/>
      <c r="BYB51" s="280"/>
      <c r="BYC51" s="280"/>
      <c r="BYD51" s="280"/>
      <c r="BYE51" s="280"/>
      <c r="BYF51" s="280"/>
      <c r="BYG51" s="280"/>
      <c r="BYH51" s="280"/>
      <c r="BYI51" s="280"/>
      <c r="BYJ51" s="280"/>
      <c r="BYK51" s="280"/>
      <c r="BYL51" s="280"/>
      <c r="BYM51" s="280"/>
      <c r="BYN51" s="280"/>
      <c r="BYO51" s="280"/>
      <c r="BYP51" s="280"/>
      <c r="BYQ51" s="280"/>
      <c r="BYR51" s="280"/>
      <c r="BYS51" s="280"/>
      <c r="BYT51" s="280"/>
      <c r="BYU51" s="280"/>
      <c r="BYV51" s="280"/>
      <c r="BYW51" s="280"/>
      <c r="BYX51" s="280"/>
      <c r="BYY51" s="280"/>
      <c r="BYZ51" s="280"/>
      <c r="BZA51" s="280"/>
      <c r="BZB51" s="280"/>
      <c r="BZC51" s="280"/>
      <c r="BZD51" s="280"/>
      <c r="BZE51" s="280"/>
      <c r="BZF51" s="280"/>
      <c r="BZG51" s="280"/>
      <c r="BZH51" s="280"/>
      <c r="BZI51" s="280"/>
      <c r="BZJ51" s="280"/>
      <c r="BZK51" s="280"/>
      <c r="BZL51" s="280"/>
      <c r="BZM51" s="280"/>
      <c r="BZN51" s="280"/>
      <c r="BZO51" s="280"/>
      <c r="BZP51" s="280"/>
      <c r="BZQ51" s="280"/>
      <c r="BZR51" s="280"/>
      <c r="BZS51" s="280"/>
      <c r="BZT51" s="280"/>
      <c r="BZU51" s="280"/>
      <c r="BZV51" s="280"/>
      <c r="BZW51" s="280"/>
      <c r="BZX51" s="280"/>
      <c r="BZY51" s="280"/>
      <c r="BZZ51" s="280"/>
      <c r="CAA51" s="280"/>
      <c r="CAB51" s="280"/>
      <c r="CAC51" s="280"/>
      <c r="CAD51" s="280"/>
      <c r="CAE51" s="280"/>
      <c r="CAF51" s="280"/>
      <c r="CAG51" s="280"/>
      <c r="CAH51" s="280"/>
      <c r="CAI51" s="280"/>
      <c r="CAJ51" s="280"/>
      <c r="CAK51" s="280"/>
      <c r="CAL51" s="280"/>
      <c r="CAM51" s="280"/>
      <c r="CAN51" s="280"/>
      <c r="CAO51" s="280"/>
      <c r="CAP51" s="280"/>
      <c r="CAQ51" s="280"/>
      <c r="CAR51" s="280"/>
      <c r="CAS51" s="280"/>
      <c r="CAT51" s="280"/>
      <c r="CAU51" s="280"/>
      <c r="CAV51" s="280"/>
      <c r="CAW51" s="280"/>
      <c r="CAX51" s="280"/>
      <c r="CAY51" s="280"/>
      <c r="CAZ51" s="280"/>
      <c r="CBA51" s="280"/>
      <c r="CBB51" s="280"/>
      <c r="CBC51" s="280"/>
      <c r="CBD51" s="280"/>
      <c r="CBE51" s="280"/>
      <c r="CBF51" s="280"/>
      <c r="CBG51" s="280"/>
      <c r="CBH51" s="280"/>
      <c r="CBI51" s="280"/>
      <c r="CBJ51" s="280"/>
      <c r="CBK51" s="280"/>
      <c r="CBL51" s="280"/>
      <c r="CBM51" s="280"/>
      <c r="CBN51" s="280"/>
      <c r="CBO51" s="280"/>
      <c r="CBP51" s="280"/>
      <c r="CBQ51" s="280"/>
      <c r="CBR51" s="280"/>
      <c r="CBS51" s="280"/>
      <c r="CBT51" s="280"/>
      <c r="CBU51" s="280"/>
      <c r="CBV51" s="280"/>
      <c r="CBW51" s="280"/>
      <c r="CBX51" s="280"/>
      <c r="CBY51" s="280"/>
      <c r="CBZ51" s="280"/>
      <c r="CCA51" s="280"/>
      <c r="CCB51" s="280"/>
      <c r="CCC51" s="280"/>
      <c r="CCD51" s="280"/>
      <c r="CCE51" s="280"/>
      <c r="CCF51" s="280"/>
      <c r="CCG51" s="280"/>
      <c r="CCH51" s="280"/>
      <c r="CCI51" s="280"/>
      <c r="CCJ51" s="280"/>
      <c r="CCK51" s="280"/>
      <c r="CCL51" s="280"/>
      <c r="CCM51" s="280"/>
      <c r="CCN51" s="280"/>
      <c r="CCO51" s="280"/>
      <c r="CCP51" s="280"/>
      <c r="CCQ51" s="280"/>
      <c r="CCR51" s="280"/>
      <c r="CCS51" s="280"/>
      <c r="CCT51" s="280"/>
      <c r="CCU51" s="280"/>
      <c r="CCV51" s="280"/>
      <c r="CCW51" s="280"/>
      <c r="CCX51" s="280"/>
      <c r="CCY51" s="280"/>
      <c r="CCZ51" s="280"/>
      <c r="CDA51" s="280"/>
      <c r="CDB51" s="280"/>
      <c r="CDC51" s="280"/>
      <c r="CDD51" s="280"/>
      <c r="CDE51" s="280"/>
      <c r="CDF51" s="280"/>
      <c r="CDG51" s="280"/>
      <c r="CDH51" s="280"/>
      <c r="CDI51" s="280"/>
      <c r="CDJ51" s="280"/>
      <c r="CDK51" s="280"/>
      <c r="CDL51" s="280"/>
      <c r="CDM51" s="280"/>
      <c r="CDN51" s="280"/>
      <c r="CDO51" s="280"/>
      <c r="CDP51" s="280"/>
      <c r="CDQ51" s="280"/>
      <c r="CDR51" s="280"/>
      <c r="CDS51" s="280"/>
      <c r="CDT51" s="280"/>
      <c r="CDU51" s="280"/>
      <c r="CDV51" s="280"/>
      <c r="CDW51" s="280"/>
      <c r="CDX51" s="280"/>
      <c r="CDY51" s="280"/>
      <c r="CDZ51" s="280"/>
      <c r="CEA51" s="280"/>
      <c r="CEB51" s="280"/>
      <c r="CEC51" s="280"/>
      <c r="CED51" s="280"/>
      <c r="CEE51" s="280"/>
      <c r="CEF51" s="280"/>
      <c r="CEG51" s="280"/>
      <c r="CEH51" s="280"/>
      <c r="CEI51" s="280"/>
      <c r="CEJ51" s="280"/>
      <c r="CEK51" s="280"/>
      <c r="CEL51" s="280"/>
      <c r="CEM51" s="280"/>
      <c r="CEN51" s="280"/>
      <c r="CEO51" s="280"/>
      <c r="CEP51" s="280"/>
      <c r="CEQ51" s="280"/>
      <c r="CER51" s="280"/>
      <c r="CES51" s="280"/>
      <c r="CET51" s="280"/>
      <c r="CEU51" s="280"/>
      <c r="CEV51" s="280"/>
      <c r="CEW51" s="280"/>
      <c r="CEX51" s="280"/>
      <c r="CEY51" s="280"/>
      <c r="CEZ51" s="280"/>
      <c r="CFA51" s="280"/>
      <c r="CFB51" s="280"/>
      <c r="CFC51" s="280"/>
      <c r="CFD51" s="280"/>
      <c r="CFE51" s="280"/>
      <c r="CFF51" s="280"/>
      <c r="CFG51" s="280"/>
      <c r="CFH51" s="280"/>
      <c r="CFI51" s="280"/>
      <c r="CFJ51" s="280"/>
      <c r="CFK51" s="280"/>
      <c r="CFL51" s="280"/>
      <c r="CFM51" s="280"/>
      <c r="CFN51" s="280"/>
      <c r="CFO51" s="280"/>
      <c r="CFP51" s="280"/>
      <c r="CFQ51" s="280"/>
      <c r="CFR51" s="280"/>
      <c r="CFS51" s="280"/>
      <c r="CFT51" s="280"/>
      <c r="CFU51" s="280"/>
      <c r="CFV51" s="280"/>
      <c r="CFW51" s="280"/>
      <c r="CFX51" s="280"/>
      <c r="CFY51" s="280"/>
      <c r="CFZ51" s="280"/>
      <c r="CGA51" s="280"/>
      <c r="CGB51" s="280"/>
      <c r="CGC51" s="280"/>
      <c r="CGD51" s="280"/>
      <c r="CGE51" s="280"/>
      <c r="CGF51" s="280"/>
      <c r="CGG51" s="280"/>
      <c r="CGH51" s="280"/>
      <c r="CGI51" s="280"/>
      <c r="CGJ51" s="280"/>
      <c r="CGK51" s="280"/>
      <c r="CGL51" s="280"/>
      <c r="CGM51" s="280"/>
      <c r="CGN51" s="280"/>
      <c r="CGO51" s="280"/>
      <c r="CGP51" s="280"/>
      <c r="CGQ51" s="280"/>
      <c r="CGR51" s="280"/>
      <c r="CGS51" s="280"/>
      <c r="CGT51" s="280"/>
      <c r="CGU51" s="280"/>
      <c r="CGV51" s="280"/>
      <c r="CGW51" s="280"/>
      <c r="CGX51" s="280"/>
      <c r="CGY51" s="280"/>
      <c r="CGZ51" s="280"/>
      <c r="CHA51" s="280"/>
      <c r="CHB51" s="280"/>
      <c r="CHC51" s="280"/>
      <c r="CHD51" s="280"/>
      <c r="CHE51" s="280"/>
      <c r="CHF51" s="280"/>
      <c r="CHG51" s="280"/>
      <c r="CHH51" s="280"/>
      <c r="CHI51" s="280"/>
      <c r="CHJ51" s="280"/>
      <c r="CHK51" s="280"/>
      <c r="CHL51" s="280"/>
      <c r="CHM51" s="280"/>
      <c r="CHN51" s="280"/>
      <c r="CHO51" s="280"/>
      <c r="CHP51" s="280"/>
      <c r="CHQ51" s="280"/>
      <c r="CHR51" s="280"/>
      <c r="CHS51" s="280"/>
      <c r="CHT51" s="280"/>
      <c r="CHU51" s="280"/>
      <c r="CHV51" s="280"/>
      <c r="CHW51" s="280"/>
      <c r="CHX51" s="280"/>
      <c r="CHY51" s="280"/>
      <c r="CHZ51" s="280"/>
      <c r="CIA51" s="280"/>
      <c r="CIB51" s="280"/>
      <c r="CIC51" s="280"/>
      <c r="CID51" s="280"/>
      <c r="CIE51" s="280"/>
      <c r="CIF51" s="280"/>
      <c r="CIG51" s="280"/>
      <c r="CIH51" s="280"/>
      <c r="CII51" s="280"/>
      <c r="CIJ51" s="280"/>
      <c r="CIK51" s="280"/>
      <c r="CIL51" s="280"/>
      <c r="CIM51" s="280"/>
      <c r="CIN51" s="280"/>
      <c r="CIO51" s="280"/>
      <c r="CIP51" s="280"/>
      <c r="CIQ51" s="280"/>
      <c r="CIR51" s="280"/>
      <c r="CIS51" s="280"/>
      <c r="CIT51" s="280"/>
      <c r="CIU51" s="280"/>
      <c r="CIV51" s="280"/>
      <c r="CIW51" s="280"/>
      <c r="CIX51" s="280"/>
      <c r="CIY51" s="280"/>
      <c r="CIZ51" s="280"/>
      <c r="CJA51" s="280"/>
      <c r="CJB51" s="280"/>
      <c r="CJC51" s="280"/>
      <c r="CJD51" s="280"/>
      <c r="CJE51" s="280"/>
      <c r="CJF51" s="280"/>
      <c r="CJG51" s="280"/>
      <c r="CJH51" s="280"/>
      <c r="CJI51" s="280"/>
      <c r="CJJ51" s="280"/>
      <c r="CJK51" s="280"/>
      <c r="CJL51" s="280"/>
      <c r="CJM51" s="280"/>
      <c r="CJN51" s="280"/>
      <c r="CJO51" s="280"/>
      <c r="CJP51" s="280"/>
      <c r="CJQ51" s="280"/>
      <c r="CJR51" s="280"/>
      <c r="CJS51" s="280"/>
      <c r="CJT51" s="280"/>
      <c r="CJU51" s="280"/>
      <c r="CJV51" s="280"/>
      <c r="CJW51" s="280"/>
      <c r="CJX51" s="280"/>
      <c r="CJY51" s="280"/>
      <c r="CJZ51" s="280"/>
      <c r="CKA51" s="280"/>
      <c r="CKB51" s="280"/>
      <c r="CKC51" s="280"/>
      <c r="CKD51" s="280"/>
      <c r="CKE51" s="280"/>
      <c r="CKF51" s="280"/>
      <c r="CKG51" s="280"/>
      <c r="CKH51" s="280"/>
      <c r="CKI51" s="280"/>
      <c r="CKJ51" s="280"/>
      <c r="CKK51" s="280"/>
      <c r="CKL51" s="280"/>
      <c r="CKM51" s="280"/>
      <c r="CKN51" s="280"/>
      <c r="CKO51" s="280"/>
      <c r="CKP51" s="280"/>
      <c r="CKQ51" s="280"/>
      <c r="CKR51" s="280"/>
      <c r="CKS51" s="280"/>
      <c r="CKT51" s="280"/>
      <c r="CKU51" s="280"/>
      <c r="CKV51" s="280"/>
      <c r="CKW51" s="280"/>
      <c r="CKX51" s="280"/>
      <c r="CKY51" s="280"/>
      <c r="CKZ51" s="280"/>
      <c r="CLA51" s="280"/>
      <c r="CLB51" s="280"/>
      <c r="CLC51" s="280"/>
      <c r="CLD51" s="280"/>
      <c r="CLE51" s="280"/>
      <c r="CLF51" s="280"/>
      <c r="CLG51" s="280"/>
      <c r="CLH51" s="280"/>
      <c r="CLI51" s="280"/>
      <c r="CLJ51" s="280"/>
      <c r="CLK51" s="280"/>
      <c r="CLL51" s="280"/>
      <c r="CLM51" s="280"/>
      <c r="CLN51" s="280"/>
      <c r="CLO51" s="280"/>
      <c r="CLP51" s="280"/>
      <c r="CLQ51" s="280"/>
      <c r="CLR51" s="280"/>
      <c r="CLS51" s="280"/>
      <c r="CLT51" s="280"/>
      <c r="CLU51" s="280"/>
      <c r="CLV51" s="280"/>
      <c r="CLW51" s="280"/>
      <c r="CLX51" s="280"/>
      <c r="CLY51" s="280"/>
      <c r="CLZ51" s="280"/>
      <c r="CMA51" s="280"/>
      <c r="CMB51" s="280"/>
      <c r="CMC51" s="280"/>
      <c r="CMD51" s="280"/>
      <c r="CME51" s="280"/>
      <c r="CMF51" s="280"/>
      <c r="CMG51" s="280"/>
      <c r="CMH51" s="280"/>
      <c r="CMI51" s="280"/>
      <c r="CMJ51" s="280"/>
      <c r="CMK51" s="280"/>
      <c r="CML51" s="280"/>
      <c r="CMM51" s="280"/>
      <c r="CMN51" s="280"/>
      <c r="CMO51" s="280"/>
      <c r="CMP51" s="280"/>
      <c r="CMQ51" s="280"/>
      <c r="CMR51" s="280"/>
      <c r="CMS51" s="280"/>
      <c r="CMT51" s="280"/>
      <c r="CMU51" s="280"/>
      <c r="CMV51" s="280"/>
      <c r="CMW51" s="280"/>
      <c r="CMX51" s="280"/>
      <c r="CMY51" s="280"/>
      <c r="CMZ51" s="280"/>
      <c r="CNA51" s="280"/>
      <c r="CNB51" s="280"/>
      <c r="CNC51" s="280"/>
      <c r="CND51" s="280"/>
      <c r="CNE51" s="280"/>
      <c r="CNF51" s="280"/>
      <c r="CNG51" s="280"/>
      <c r="CNH51" s="280"/>
      <c r="CNI51" s="280"/>
      <c r="CNJ51" s="280"/>
      <c r="CNK51" s="280"/>
      <c r="CNL51" s="280"/>
      <c r="CNM51" s="280"/>
      <c r="CNN51" s="280"/>
      <c r="CNO51" s="280"/>
      <c r="CNP51" s="280"/>
      <c r="CNQ51" s="280"/>
      <c r="CNR51" s="280"/>
      <c r="CNS51" s="280"/>
      <c r="CNT51" s="280"/>
      <c r="CNU51" s="280"/>
      <c r="CNV51" s="280"/>
      <c r="CNW51" s="280"/>
      <c r="CNX51" s="280"/>
      <c r="CNY51" s="280"/>
      <c r="CNZ51" s="280"/>
      <c r="COA51" s="280"/>
      <c r="COB51" s="280"/>
      <c r="COC51" s="280"/>
      <c r="COD51" s="280"/>
      <c r="COE51" s="280"/>
      <c r="COF51" s="280"/>
      <c r="COG51" s="280"/>
      <c r="COH51" s="280"/>
      <c r="COI51" s="280"/>
    </row>
    <row r="52" spans="1:2427" x14ac:dyDescent="0.25">
      <c r="A52" s="1319" t="s">
        <v>1030</v>
      </c>
      <c r="B52" s="1313">
        <f>+'NEW Spring CHP by DISC'!B52/15</f>
        <v>55</v>
      </c>
      <c r="C52" s="1313">
        <f>+'NEW Spring CHP by DISC'!C52/15</f>
        <v>29.533333333333335</v>
      </c>
      <c r="D52" s="1313">
        <f>+'NEW Spring CHP by DISC'!D52/12</f>
        <v>0</v>
      </c>
      <c r="E52" s="1311">
        <f>SUM(B52:D52)</f>
        <v>84.533333333333331</v>
      </c>
      <c r="F52" s="1313">
        <f>+'NEW Spring CHP by DISC'!F52/15</f>
        <v>59</v>
      </c>
      <c r="G52" s="1313">
        <f>+'NEW Spring CHP by DISC'!G52/15</f>
        <v>30.733333333333334</v>
      </c>
      <c r="H52" s="1313">
        <f>+'NEW Spring CHP by DISC'!H52/12</f>
        <v>0</v>
      </c>
      <c r="I52" s="1313">
        <f>SUM(F52:H52)</f>
        <v>89.733333333333334</v>
      </c>
      <c r="J52" s="1307">
        <f>IF(E52&gt;0,(I52-E52)/E52,(IF(I52=0,"N/A",100%)))</f>
        <v>6.1514195583596248E-2</v>
      </c>
      <c r="K52" s="772">
        <f>+'NEW Spring CHP by DISC'!K52/15</f>
        <v>84.8</v>
      </c>
      <c r="L52" s="1313">
        <f>+'NEW Spring CHP by DISC'!L52/15</f>
        <v>20.466666666666665</v>
      </c>
      <c r="M52" s="1313">
        <f>+'NEW Spring CHP by DISC'!M52/12</f>
        <v>0</v>
      </c>
      <c r="N52" s="1313">
        <f>SUM(K52:M52)</f>
        <v>105.26666666666667</v>
      </c>
      <c r="O52" s="1339">
        <f>IF(I52&gt;0,(N52-I52)/I52,(IF(N52=0,"N/A",100%)))</f>
        <v>0.17310549777117382</v>
      </c>
      <c r="P52" s="772">
        <f>+'NEW Spring CHP by DISC'!P52/15</f>
        <v>93.4</v>
      </c>
      <c r="Q52" s="1313">
        <f>+'NEW Spring CHP by DISC'!Q52/15</f>
        <v>18.2</v>
      </c>
      <c r="R52" s="1313">
        <f>+'NEW Spring CHP by DISC'!R52/12</f>
        <v>0</v>
      </c>
      <c r="S52" s="1313">
        <f>SUM(P52:R52)</f>
        <v>111.60000000000001</v>
      </c>
      <c r="T52" s="1307">
        <f>IF(N52&gt;0,(S52-N52)/N52,(IF(S52=0,"N/A",100%)))</f>
        <v>6.0164661177960828E-2</v>
      </c>
      <c r="U52" s="1313">
        <f>+'NEW Spring CHP by DISC'!U52/15</f>
        <v>71.8</v>
      </c>
      <c r="V52" s="1313">
        <f>+'NEW Spring CHP by DISC'!V52/15</f>
        <v>33.333333333333336</v>
      </c>
      <c r="W52" s="1313">
        <f>+'NEW Spring CHP by DISC'!W52/12</f>
        <v>0</v>
      </c>
      <c r="X52" s="1313">
        <f>SUM(U52:W52)</f>
        <v>105.13333333333333</v>
      </c>
      <c r="Y52" s="1307">
        <f>IF(S52&gt;0,(X52-S52)/S52,(IF(X52=0,"N/A",100%)))</f>
        <v>-5.79450418160097E-2</v>
      </c>
      <c r="Z52" s="1312">
        <f>+'NEW Spring CHP by DISC'!Z52/15</f>
        <v>54.4</v>
      </c>
      <c r="AA52" s="1312">
        <f>+'NEW Spring CHP by DISC'!AA52/15</f>
        <v>36.466666666666669</v>
      </c>
      <c r="AB52" s="1312">
        <f>+'NEW Spring CHP by DISC'!AB52/12</f>
        <v>0.25</v>
      </c>
      <c r="AC52" s="1312">
        <f>SUM(Z52:AB52)</f>
        <v>91.116666666666674</v>
      </c>
      <c r="AD52" s="1320">
        <f>IF(X52&gt;0,(AC52-X52)/X52,(IF(AC52=0,"N/A",100%)))</f>
        <v>-0.13332276474318314</v>
      </c>
      <c r="AE52" s="1312">
        <f>+'NEW Spring CHP by DISC'!AE52/15</f>
        <v>61.6</v>
      </c>
      <c r="AF52" s="1312">
        <f>+'NEW Spring CHP by DISC'!AF52/15</f>
        <v>40.666666666666664</v>
      </c>
      <c r="AG52" s="1312">
        <f>+'NEW Spring CHP by DISC'!AG52/12</f>
        <v>0</v>
      </c>
      <c r="AH52" s="1312">
        <f>SUM(AE52:AG52)</f>
        <v>102.26666666666667</v>
      </c>
      <c r="AI52" s="1320">
        <f>IF(AC52&gt;0,(AH52-AC52)/AC52,(IF(AH52=0,"N/A",100%)))</f>
        <v>0.12237058715931945</v>
      </c>
      <c r="AJ52" s="1312">
        <f>+'NEW Spring CHP by DISC'!AJ52/15</f>
        <v>45.2</v>
      </c>
      <c r="AK52" s="1312">
        <f>+'NEW Spring CHP by DISC'!AK52/15</f>
        <v>24.533333333333335</v>
      </c>
      <c r="AL52" s="1312">
        <f>+'NEW Spring CHP by DISC'!AL52/12</f>
        <v>0</v>
      </c>
      <c r="AM52" s="1312">
        <f>SUM(AJ52:AL52)</f>
        <v>69.733333333333334</v>
      </c>
      <c r="AN52" s="1320">
        <f>IF(AH52&gt;0,(AM52-AH52)/AH52,(IF(AM52=0,"N/A",100%)))</f>
        <v>-0.31812255541069101</v>
      </c>
      <c r="AO52" s="1312">
        <f>+'NEW Spring CHP by DISC'!AO52/15</f>
        <v>37.6</v>
      </c>
      <c r="AP52" s="1312">
        <f>+'NEW Spring CHP by DISC'!AP52/15</f>
        <v>32.666666666666664</v>
      </c>
      <c r="AQ52" s="1312">
        <f>+'NEW Spring CHP by DISC'!AQ52/12</f>
        <v>0</v>
      </c>
      <c r="AR52" s="1312">
        <f>SUM(AO52:AQ52)</f>
        <v>70.266666666666666</v>
      </c>
      <c r="AS52" s="1320">
        <f>IF(AM52&gt;0,(AR52-AM52)/AM52,(IF(AR52=0,"N/A",100%)))</f>
        <v>7.6481835564053266E-3</v>
      </c>
      <c r="AT52" s="280"/>
      <c r="AU52" s="280"/>
      <c r="AV52" s="280"/>
      <c r="AW52" s="280"/>
      <c r="AX52" s="280"/>
      <c r="AY52" s="280"/>
      <c r="AZ52" s="280"/>
      <c r="BA52" s="280"/>
      <c r="BB52" s="280"/>
      <c r="BC52" s="280"/>
      <c r="BD52" s="280"/>
      <c r="BE52" s="280"/>
      <c r="BF52" s="280"/>
      <c r="BG52" s="280"/>
      <c r="BH52" s="280"/>
      <c r="BI52" s="280"/>
      <c r="BJ52" s="280"/>
      <c r="BK52" s="280"/>
      <c r="BL52" s="280"/>
      <c r="BM52" s="280"/>
      <c r="BN52" s="280"/>
      <c r="BO52" s="280"/>
      <c r="BP52" s="280"/>
      <c r="BQ52" s="280"/>
      <c r="BR52" s="280"/>
      <c r="BS52" s="280"/>
      <c r="BT52" s="280"/>
      <c r="BU52" s="280"/>
      <c r="BV52" s="280"/>
      <c r="BW52" s="280"/>
      <c r="BX52" s="280"/>
      <c r="BY52" s="280"/>
      <c r="BZ52" s="280"/>
      <c r="CA52" s="280"/>
      <c r="CB52" s="280"/>
      <c r="CC52" s="280"/>
      <c r="CD52" s="280"/>
      <c r="CE52" s="280"/>
      <c r="CF52" s="280"/>
      <c r="CG52" s="280"/>
      <c r="CH52" s="280"/>
      <c r="CI52" s="280"/>
      <c r="CJ52" s="280"/>
      <c r="CK52" s="280"/>
      <c r="CL52" s="280"/>
      <c r="CM52" s="280"/>
      <c r="CN52" s="280"/>
      <c r="CO52" s="280"/>
      <c r="CP52" s="280"/>
      <c r="CQ52" s="280"/>
      <c r="CR52" s="280"/>
      <c r="CS52" s="280"/>
      <c r="CT52" s="280"/>
      <c r="CU52" s="280"/>
      <c r="CV52" s="280"/>
      <c r="CW52" s="280"/>
      <c r="CX52" s="280"/>
      <c r="CY52" s="280"/>
      <c r="CZ52" s="280"/>
      <c r="DA52" s="280"/>
      <c r="DB52" s="280"/>
      <c r="DC52" s="280"/>
      <c r="DD52" s="280"/>
      <c r="DE52" s="280"/>
      <c r="DF52" s="280"/>
      <c r="DG52" s="280"/>
      <c r="DH52" s="280"/>
      <c r="DI52" s="280"/>
      <c r="DJ52" s="280"/>
      <c r="DK52" s="280"/>
      <c r="DL52" s="280"/>
      <c r="DM52" s="280"/>
      <c r="DN52" s="280"/>
      <c r="DO52" s="280"/>
      <c r="DP52" s="280"/>
      <c r="DQ52" s="280"/>
      <c r="DR52" s="280"/>
      <c r="DS52" s="280"/>
      <c r="DT52" s="280"/>
      <c r="DU52" s="280"/>
      <c r="DV52" s="280"/>
      <c r="DW52" s="280"/>
      <c r="DX52" s="280"/>
      <c r="DY52" s="280"/>
      <c r="DZ52" s="280"/>
      <c r="EA52" s="280"/>
      <c r="EB52" s="280"/>
      <c r="EC52" s="280"/>
      <c r="ED52" s="280"/>
      <c r="EE52" s="280"/>
      <c r="EF52" s="280"/>
      <c r="EG52" s="280"/>
      <c r="EH52" s="280"/>
      <c r="EI52" s="280"/>
      <c r="EJ52" s="280"/>
      <c r="EK52" s="280"/>
      <c r="EL52" s="280"/>
      <c r="EM52" s="280"/>
      <c r="EN52" s="280"/>
      <c r="EO52" s="280"/>
      <c r="EP52" s="280"/>
      <c r="EQ52" s="280"/>
      <c r="ER52" s="280"/>
      <c r="ES52" s="280"/>
      <c r="ET52" s="280"/>
      <c r="EU52" s="280"/>
      <c r="EV52" s="280"/>
      <c r="EW52" s="280"/>
      <c r="EX52" s="280"/>
      <c r="EY52" s="280"/>
      <c r="EZ52" s="280"/>
      <c r="FA52" s="280"/>
      <c r="FB52" s="280"/>
      <c r="FC52" s="280"/>
      <c r="FD52" s="280"/>
      <c r="FE52" s="280"/>
      <c r="FF52" s="280"/>
      <c r="FG52" s="280"/>
      <c r="FH52" s="280"/>
      <c r="FI52" s="280"/>
      <c r="FJ52" s="280"/>
      <c r="FK52" s="280"/>
      <c r="FL52" s="280"/>
      <c r="FM52" s="280"/>
      <c r="FN52" s="280"/>
      <c r="FO52" s="280"/>
      <c r="FP52" s="280"/>
      <c r="FQ52" s="280"/>
      <c r="FR52" s="280"/>
      <c r="FS52" s="280"/>
      <c r="FT52" s="280"/>
      <c r="FU52" s="280"/>
      <c r="FV52" s="280"/>
      <c r="FW52" s="280"/>
      <c r="FX52" s="280"/>
      <c r="FY52" s="280"/>
      <c r="FZ52" s="280"/>
      <c r="GA52" s="280"/>
      <c r="GB52" s="280"/>
      <c r="GC52" s="280"/>
      <c r="GD52" s="280"/>
      <c r="GE52" s="280"/>
      <c r="GF52" s="280"/>
      <c r="GG52" s="280"/>
      <c r="GH52" s="280"/>
      <c r="GI52" s="280"/>
      <c r="GJ52" s="280"/>
      <c r="GK52" s="280"/>
      <c r="GL52" s="280"/>
      <c r="GM52" s="280"/>
      <c r="GN52" s="280"/>
      <c r="GO52" s="280"/>
      <c r="GP52" s="280"/>
      <c r="GQ52" s="280"/>
      <c r="GR52" s="280"/>
      <c r="GS52" s="280"/>
      <c r="GT52" s="280"/>
      <c r="GU52" s="280"/>
      <c r="GV52" s="280"/>
      <c r="GW52" s="280"/>
      <c r="GX52" s="280"/>
      <c r="GY52" s="280"/>
      <c r="GZ52" s="280"/>
      <c r="HA52" s="280"/>
      <c r="HB52" s="280"/>
      <c r="HC52" s="280"/>
      <c r="HD52" s="280"/>
      <c r="HE52" s="280"/>
      <c r="HF52" s="280"/>
      <c r="HG52" s="280"/>
      <c r="HH52" s="280"/>
      <c r="HI52" s="280"/>
      <c r="HJ52" s="280"/>
      <c r="HK52" s="280"/>
      <c r="HL52" s="280"/>
      <c r="HM52" s="280"/>
      <c r="HN52" s="280"/>
      <c r="HO52" s="280"/>
      <c r="HP52" s="280"/>
      <c r="HQ52" s="280"/>
      <c r="HR52" s="280"/>
      <c r="HS52" s="280"/>
      <c r="HT52" s="280"/>
      <c r="HU52" s="280"/>
      <c r="HV52" s="280"/>
      <c r="HW52" s="280"/>
      <c r="HX52" s="280"/>
      <c r="HY52" s="280"/>
      <c r="HZ52" s="280"/>
      <c r="IA52" s="280"/>
      <c r="IB52" s="280"/>
      <c r="IC52" s="280"/>
      <c r="ID52" s="280"/>
      <c r="IE52" s="280"/>
      <c r="IF52" s="280"/>
      <c r="IG52" s="280"/>
      <c r="IH52" s="280"/>
      <c r="II52" s="280"/>
      <c r="IJ52" s="280"/>
      <c r="IK52" s="280"/>
      <c r="IL52" s="280"/>
      <c r="IM52" s="280"/>
      <c r="IN52" s="280"/>
      <c r="IO52" s="280"/>
      <c r="IP52" s="280"/>
      <c r="IQ52" s="280"/>
      <c r="IR52" s="280"/>
      <c r="IS52" s="280"/>
      <c r="IT52" s="280"/>
      <c r="IU52" s="280"/>
      <c r="IV52" s="280"/>
      <c r="IW52" s="280"/>
      <c r="IX52" s="280"/>
      <c r="IY52" s="280"/>
      <c r="IZ52" s="280"/>
      <c r="JA52" s="280"/>
      <c r="JB52" s="280"/>
      <c r="JC52" s="280"/>
      <c r="JD52" s="280"/>
      <c r="JE52" s="280"/>
      <c r="JF52" s="280"/>
      <c r="JG52" s="280"/>
      <c r="JH52" s="280"/>
      <c r="JI52" s="280"/>
      <c r="JJ52" s="280"/>
      <c r="JK52" s="280"/>
      <c r="JL52" s="280"/>
      <c r="JM52" s="280"/>
      <c r="JN52" s="280"/>
      <c r="JO52" s="280"/>
      <c r="JP52" s="280"/>
      <c r="JQ52" s="280"/>
      <c r="JR52" s="280"/>
      <c r="JS52" s="280"/>
      <c r="JT52" s="280"/>
      <c r="JU52" s="280"/>
      <c r="JV52" s="280"/>
      <c r="JW52" s="280"/>
      <c r="JX52" s="280"/>
      <c r="JY52" s="280"/>
      <c r="JZ52" s="280"/>
      <c r="KA52" s="280"/>
      <c r="KB52" s="280"/>
      <c r="KC52" s="280"/>
      <c r="KD52" s="280"/>
      <c r="KE52" s="280"/>
      <c r="KF52" s="280"/>
      <c r="KG52" s="280"/>
      <c r="KH52" s="280"/>
      <c r="KI52" s="280"/>
      <c r="KJ52" s="280"/>
      <c r="KK52" s="280"/>
      <c r="KL52" s="280"/>
      <c r="KM52" s="280"/>
      <c r="KN52" s="280"/>
      <c r="KO52" s="280"/>
      <c r="KP52" s="280"/>
      <c r="KQ52" s="280"/>
      <c r="KR52" s="280"/>
      <c r="KS52" s="280"/>
      <c r="KT52" s="280"/>
      <c r="KU52" s="280"/>
      <c r="KV52" s="280"/>
      <c r="KW52" s="280"/>
      <c r="KX52" s="280"/>
      <c r="KY52" s="280"/>
      <c r="KZ52" s="280"/>
      <c r="LA52" s="280"/>
      <c r="LB52" s="280"/>
      <c r="LC52" s="280"/>
      <c r="LD52" s="280"/>
      <c r="LE52" s="280"/>
      <c r="LF52" s="280"/>
      <c r="LG52" s="280"/>
      <c r="LH52" s="280"/>
      <c r="LI52" s="280"/>
      <c r="LJ52" s="280"/>
      <c r="LK52" s="280"/>
      <c r="LL52" s="280"/>
      <c r="LM52" s="280"/>
      <c r="LN52" s="280"/>
      <c r="LO52" s="280"/>
      <c r="LP52" s="280"/>
      <c r="LQ52" s="280"/>
      <c r="LR52" s="280"/>
      <c r="LS52" s="280"/>
      <c r="LT52" s="280"/>
      <c r="LU52" s="280"/>
      <c r="LV52" s="280"/>
      <c r="LW52" s="280"/>
      <c r="LX52" s="280"/>
      <c r="LY52" s="280"/>
      <c r="LZ52" s="280"/>
      <c r="MA52" s="280"/>
      <c r="MB52" s="280"/>
      <c r="MC52" s="280"/>
      <c r="MD52" s="280"/>
      <c r="ME52" s="280"/>
      <c r="MF52" s="280"/>
      <c r="MG52" s="280"/>
      <c r="MH52" s="280"/>
      <c r="MI52" s="280"/>
      <c r="MJ52" s="280"/>
      <c r="MK52" s="280"/>
      <c r="ML52" s="280"/>
      <c r="MM52" s="280"/>
      <c r="MN52" s="280"/>
      <c r="MO52" s="280"/>
      <c r="MP52" s="280"/>
      <c r="MQ52" s="280"/>
      <c r="MR52" s="280"/>
      <c r="MS52" s="280"/>
      <c r="MT52" s="280"/>
      <c r="MU52" s="280"/>
      <c r="MV52" s="280"/>
      <c r="MW52" s="280"/>
      <c r="MX52" s="280"/>
      <c r="MY52" s="280"/>
      <c r="MZ52" s="280"/>
      <c r="NA52" s="280"/>
      <c r="NB52" s="280"/>
      <c r="NC52" s="280"/>
      <c r="ND52" s="280"/>
      <c r="NE52" s="280"/>
      <c r="NF52" s="280"/>
      <c r="NG52" s="280"/>
      <c r="NH52" s="280"/>
      <c r="NI52" s="280"/>
      <c r="NJ52" s="280"/>
      <c r="NK52" s="280"/>
      <c r="NL52" s="280"/>
      <c r="NM52" s="280"/>
      <c r="NN52" s="280"/>
      <c r="NO52" s="280"/>
      <c r="NP52" s="280"/>
      <c r="NQ52" s="280"/>
      <c r="NR52" s="280"/>
      <c r="NS52" s="280"/>
      <c r="NT52" s="280"/>
      <c r="NU52" s="280"/>
      <c r="NV52" s="280"/>
      <c r="NW52" s="280"/>
      <c r="NX52" s="280"/>
      <c r="NY52" s="280"/>
      <c r="NZ52" s="280"/>
      <c r="OA52" s="280"/>
      <c r="OB52" s="280"/>
      <c r="OC52" s="280"/>
      <c r="OD52" s="280"/>
      <c r="OE52" s="280"/>
      <c r="OF52" s="280"/>
      <c r="OG52" s="280"/>
      <c r="OH52" s="280"/>
      <c r="OI52" s="280"/>
      <c r="OJ52" s="280"/>
      <c r="OK52" s="280"/>
      <c r="OL52" s="280"/>
      <c r="OM52" s="280"/>
      <c r="ON52" s="280"/>
      <c r="OO52" s="280"/>
      <c r="OP52" s="280"/>
      <c r="OQ52" s="280"/>
      <c r="OR52" s="280"/>
      <c r="OS52" s="280"/>
      <c r="OT52" s="280"/>
      <c r="OU52" s="280"/>
      <c r="OV52" s="280"/>
      <c r="OW52" s="280"/>
      <c r="OX52" s="280"/>
      <c r="OY52" s="280"/>
      <c r="OZ52" s="280"/>
      <c r="PA52" s="280"/>
      <c r="PB52" s="280"/>
      <c r="PC52" s="280"/>
      <c r="PD52" s="280"/>
      <c r="PE52" s="280"/>
      <c r="PF52" s="280"/>
      <c r="PG52" s="280"/>
      <c r="PH52" s="280"/>
      <c r="PI52" s="280"/>
      <c r="PJ52" s="280"/>
      <c r="PK52" s="280"/>
      <c r="PL52" s="280"/>
      <c r="PM52" s="280"/>
      <c r="PN52" s="280"/>
      <c r="PO52" s="280"/>
      <c r="PP52" s="280"/>
      <c r="PQ52" s="280"/>
      <c r="PR52" s="280"/>
      <c r="PS52" s="280"/>
      <c r="PT52" s="280"/>
      <c r="PU52" s="280"/>
      <c r="PV52" s="280"/>
      <c r="PW52" s="280"/>
      <c r="PX52" s="280"/>
      <c r="PY52" s="280"/>
      <c r="PZ52" s="280"/>
      <c r="QA52" s="280"/>
      <c r="QB52" s="280"/>
      <c r="QC52" s="280"/>
      <c r="QD52" s="280"/>
      <c r="QE52" s="280"/>
      <c r="QF52" s="280"/>
      <c r="QG52" s="280"/>
      <c r="QH52" s="280"/>
      <c r="QI52" s="280"/>
      <c r="QJ52" s="280"/>
      <c r="QK52" s="280"/>
      <c r="QL52" s="280"/>
      <c r="QM52" s="280"/>
      <c r="QN52" s="280"/>
      <c r="QO52" s="280"/>
      <c r="QP52" s="280"/>
      <c r="QQ52" s="280"/>
      <c r="QR52" s="280"/>
      <c r="QS52" s="280"/>
      <c r="QT52" s="280"/>
      <c r="QU52" s="280"/>
      <c r="QV52" s="280"/>
      <c r="QW52" s="280"/>
      <c r="QX52" s="280"/>
      <c r="QY52" s="280"/>
      <c r="QZ52" s="280"/>
      <c r="RA52" s="280"/>
      <c r="RB52" s="280"/>
      <c r="RC52" s="280"/>
      <c r="RD52" s="280"/>
      <c r="RE52" s="280"/>
      <c r="RF52" s="280"/>
      <c r="RG52" s="280"/>
      <c r="RH52" s="280"/>
      <c r="RI52" s="280"/>
      <c r="RJ52" s="280"/>
      <c r="RK52" s="280"/>
      <c r="RL52" s="280"/>
      <c r="RM52" s="280"/>
      <c r="RN52" s="280"/>
      <c r="RO52" s="280"/>
      <c r="RP52" s="280"/>
      <c r="RQ52" s="280"/>
      <c r="RR52" s="280"/>
      <c r="RS52" s="280"/>
      <c r="RT52" s="280"/>
      <c r="RU52" s="280"/>
      <c r="RV52" s="280"/>
      <c r="RW52" s="280"/>
      <c r="RX52" s="280"/>
      <c r="RY52" s="280"/>
      <c r="RZ52" s="280"/>
      <c r="SA52" s="280"/>
      <c r="SB52" s="280"/>
      <c r="SC52" s="280"/>
      <c r="SD52" s="280"/>
      <c r="SE52" s="280"/>
      <c r="SF52" s="280"/>
      <c r="SG52" s="280"/>
      <c r="SH52" s="280"/>
      <c r="SI52" s="280"/>
      <c r="SJ52" s="280"/>
      <c r="SK52" s="280"/>
      <c r="SL52" s="280"/>
      <c r="SM52" s="280"/>
      <c r="SN52" s="280"/>
      <c r="SO52" s="280"/>
      <c r="SP52" s="280"/>
      <c r="SQ52" s="280"/>
      <c r="SR52" s="280"/>
      <c r="SS52" s="280"/>
      <c r="ST52" s="280"/>
      <c r="SU52" s="280"/>
      <c r="SV52" s="280"/>
      <c r="SW52" s="280"/>
      <c r="SX52" s="280"/>
      <c r="SY52" s="280"/>
      <c r="SZ52" s="280"/>
      <c r="TA52" s="280"/>
      <c r="TB52" s="280"/>
      <c r="TC52" s="280"/>
      <c r="TD52" s="280"/>
      <c r="TE52" s="280"/>
      <c r="TF52" s="280"/>
      <c r="TG52" s="280"/>
      <c r="TH52" s="280"/>
      <c r="TI52" s="280"/>
      <c r="TJ52" s="280"/>
      <c r="TK52" s="280"/>
      <c r="TL52" s="280"/>
      <c r="TM52" s="280"/>
      <c r="TN52" s="280"/>
      <c r="TO52" s="280"/>
      <c r="TP52" s="280"/>
      <c r="TQ52" s="280"/>
      <c r="TR52" s="280"/>
      <c r="TS52" s="280"/>
      <c r="TT52" s="280"/>
      <c r="TU52" s="280"/>
      <c r="TV52" s="280"/>
      <c r="TW52" s="280"/>
      <c r="TX52" s="280"/>
      <c r="TY52" s="280"/>
      <c r="TZ52" s="280"/>
      <c r="UA52" s="280"/>
      <c r="UB52" s="280"/>
      <c r="UC52" s="280"/>
      <c r="UD52" s="280"/>
      <c r="UE52" s="280"/>
      <c r="UF52" s="280"/>
      <c r="UG52" s="280"/>
      <c r="UH52" s="280"/>
      <c r="UI52" s="280"/>
      <c r="UJ52" s="280"/>
      <c r="UK52" s="280"/>
      <c r="UL52" s="280"/>
      <c r="UM52" s="280"/>
      <c r="UN52" s="280"/>
      <c r="UO52" s="280"/>
      <c r="UP52" s="280"/>
      <c r="UQ52" s="280"/>
      <c r="UR52" s="280"/>
      <c r="US52" s="280"/>
      <c r="UT52" s="280"/>
      <c r="UU52" s="280"/>
      <c r="UV52" s="280"/>
      <c r="UW52" s="280"/>
      <c r="UX52" s="280"/>
      <c r="UY52" s="280"/>
      <c r="UZ52" s="280"/>
      <c r="VA52" s="280"/>
      <c r="VB52" s="280"/>
      <c r="VC52" s="280"/>
      <c r="VD52" s="280"/>
      <c r="VE52" s="280"/>
      <c r="VF52" s="280"/>
      <c r="VG52" s="280"/>
      <c r="VH52" s="280"/>
      <c r="VI52" s="280"/>
      <c r="VJ52" s="280"/>
      <c r="VK52" s="280"/>
      <c r="VL52" s="280"/>
      <c r="VM52" s="280"/>
      <c r="VN52" s="280"/>
      <c r="VO52" s="280"/>
      <c r="VP52" s="280"/>
      <c r="VQ52" s="280"/>
      <c r="VR52" s="280"/>
      <c r="VS52" s="280"/>
      <c r="VT52" s="280"/>
      <c r="VU52" s="280"/>
      <c r="VV52" s="280"/>
      <c r="VW52" s="280"/>
      <c r="VX52" s="280"/>
      <c r="VY52" s="280"/>
      <c r="VZ52" s="280"/>
      <c r="WA52" s="280"/>
      <c r="WB52" s="280"/>
      <c r="WC52" s="280"/>
      <c r="WD52" s="280"/>
      <c r="WE52" s="280"/>
      <c r="WF52" s="280"/>
      <c r="WG52" s="280"/>
      <c r="WH52" s="280"/>
      <c r="WI52" s="280"/>
      <c r="WJ52" s="280"/>
      <c r="WK52" s="280"/>
      <c r="WL52" s="280"/>
      <c r="WM52" s="280"/>
      <c r="WN52" s="280"/>
      <c r="WO52" s="280"/>
      <c r="WP52" s="280"/>
      <c r="WQ52" s="280"/>
      <c r="WR52" s="280"/>
      <c r="WS52" s="280"/>
      <c r="WT52" s="280"/>
      <c r="WU52" s="280"/>
      <c r="WV52" s="280"/>
      <c r="WW52" s="280"/>
      <c r="WX52" s="280"/>
      <c r="WY52" s="280"/>
      <c r="WZ52" s="280"/>
      <c r="XA52" s="280"/>
      <c r="XB52" s="280"/>
      <c r="XC52" s="280"/>
      <c r="XD52" s="280"/>
      <c r="XE52" s="280"/>
      <c r="XF52" s="280"/>
      <c r="XG52" s="280"/>
      <c r="XH52" s="280"/>
      <c r="XI52" s="280"/>
      <c r="XJ52" s="280"/>
      <c r="XK52" s="280"/>
      <c r="XL52" s="280"/>
      <c r="XM52" s="280"/>
      <c r="XN52" s="280"/>
      <c r="XO52" s="280"/>
      <c r="XP52" s="280"/>
      <c r="XQ52" s="280"/>
      <c r="XR52" s="280"/>
      <c r="XS52" s="280"/>
      <c r="XT52" s="280"/>
      <c r="XU52" s="280"/>
      <c r="XV52" s="280"/>
      <c r="XW52" s="280"/>
      <c r="XX52" s="280"/>
      <c r="XY52" s="280"/>
      <c r="XZ52" s="280"/>
      <c r="YA52" s="280"/>
      <c r="YB52" s="280"/>
      <c r="YC52" s="280"/>
      <c r="YD52" s="280"/>
      <c r="YE52" s="280"/>
      <c r="YF52" s="280"/>
      <c r="YG52" s="280"/>
      <c r="YH52" s="280"/>
      <c r="YI52" s="280"/>
      <c r="YJ52" s="280"/>
      <c r="YK52" s="280"/>
      <c r="YL52" s="280"/>
      <c r="YM52" s="280"/>
      <c r="YN52" s="280"/>
      <c r="YO52" s="280"/>
      <c r="YP52" s="280"/>
      <c r="YQ52" s="280"/>
      <c r="YR52" s="280"/>
      <c r="YS52" s="280"/>
      <c r="YT52" s="280"/>
      <c r="YU52" s="280"/>
      <c r="YV52" s="280"/>
      <c r="YW52" s="280"/>
      <c r="YX52" s="280"/>
      <c r="YY52" s="280"/>
      <c r="YZ52" s="280"/>
      <c r="ZA52" s="280"/>
      <c r="ZB52" s="280"/>
      <c r="ZC52" s="280"/>
      <c r="ZD52" s="280"/>
      <c r="ZE52" s="280"/>
      <c r="ZF52" s="280"/>
      <c r="ZG52" s="280"/>
      <c r="ZH52" s="280"/>
      <c r="ZI52" s="280"/>
      <c r="ZJ52" s="280"/>
      <c r="ZK52" s="280"/>
      <c r="ZL52" s="280"/>
      <c r="ZM52" s="280"/>
      <c r="ZN52" s="280"/>
      <c r="ZO52" s="280"/>
      <c r="ZP52" s="280"/>
      <c r="ZQ52" s="280"/>
      <c r="ZR52" s="280"/>
      <c r="ZS52" s="280"/>
      <c r="ZT52" s="280"/>
      <c r="ZU52" s="280"/>
      <c r="ZV52" s="280"/>
      <c r="ZW52" s="280"/>
      <c r="ZX52" s="280"/>
      <c r="ZY52" s="280"/>
      <c r="ZZ52" s="280"/>
      <c r="AAA52" s="280"/>
      <c r="AAB52" s="280"/>
      <c r="AAC52" s="280"/>
      <c r="AAD52" s="280"/>
      <c r="AAE52" s="280"/>
      <c r="AAF52" s="280"/>
      <c r="AAG52" s="280"/>
      <c r="AAH52" s="280"/>
      <c r="AAI52" s="280"/>
      <c r="AAJ52" s="280"/>
      <c r="AAK52" s="280"/>
      <c r="AAL52" s="280"/>
      <c r="AAM52" s="280"/>
      <c r="AAN52" s="280"/>
      <c r="AAO52" s="280"/>
      <c r="AAP52" s="280"/>
      <c r="AAQ52" s="280"/>
      <c r="AAR52" s="280"/>
      <c r="AAS52" s="280"/>
      <c r="AAT52" s="280"/>
      <c r="AAU52" s="280"/>
      <c r="AAV52" s="280"/>
      <c r="AAW52" s="280"/>
      <c r="AAX52" s="280"/>
      <c r="AAY52" s="280"/>
      <c r="AAZ52" s="280"/>
      <c r="ABA52" s="280"/>
      <c r="ABB52" s="280"/>
      <c r="ABC52" s="280"/>
      <c r="ABD52" s="280"/>
      <c r="ABE52" s="280"/>
      <c r="ABF52" s="280"/>
      <c r="ABG52" s="280"/>
      <c r="ABH52" s="280"/>
      <c r="ABI52" s="280"/>
      <c r="ABJ52" s="280"/>
      <c r="ABK52" s="280"/>
      <c r="ABL52" s="280"/>
      <c r="ABM52" s="280"/>
      <c r="ABN52" s="280"/>
      <c r="ABO52" s="280"/>
      <c r="ABP52" s="280"/>
      <c r="ABQ52" s="280"/>
      <c r="ABR52" s="280"/>
      <c r="ABS52" s="280"/>
      <c r="ABT52" s="280"/>
      <c r="ABU52" s="280"/>
      <c r="ABV52" s="280"/>
      <c r="ABW52" s="280"/>
      <c r="ABX52" s="280"/>
      <c r="ABY52" s="280"/>
      <c r="ABZ52" s="280"/>
      <c r="ACA52" s="280"/>
      <c r="ACB52" s="280"/>
      <c r="ACC52" s="280"/>
      <c r="ACD52" s="280"/>
      <c r="ACE52" s="280"/>
      <c r="ACF52" s="280"/>
      <c r="ACG52" s="280"/>
      <c r="ACH52" s="280"/>
      <c r="ACI52" s="280"/>
      <c r="ACJ52" s="280"/>
      <c r="ACK52" s="280"/>
      <c r="ACL52" s="280"/>
      <c r="ACM52" s="280"/>
      <c r="ACN52" s="280"/>
      <c r="ACO52" s="280"/>
      <c r="ACP52" s="280"/>
      <c r="ACQ52" s="280"/>
      <c r="ACR52" s="280"/>
      <c r="ACS52" s="280"/>
      <c r="ACT52" s="280"/>
      <c r="ACU52" s="280"/>
      <c r="ACV52" s="280"/>
      <c r="ACW52" s="280"/>
      <c r="ACX52" s="280"/>
      <c r="ACY52" s="280"/>
      <c r="ACZ52" s="280"/>
      <c r="ADA52" s="280"/>
      <c r="ADB52" s="280"/>
      <c r="ADC52" s="280"/>
      <c r="ADD52" s="280"/>
      <c r="ADE52" s="280"/>
      <c r="ADF52" s="280"/>
      <c r="ADG52" s="280"/>
      <c r="ADH52" s="280"/>
      <c r="ADI52" s="280"/>
      <c r="ADJ52" s="280"/>
      <c r="ADK52" s="280"/>
      <c r="ADL52" s="280"/>
      <c r="ADM52" s="280"/>
      <c r="ADN52" s="280"/>
      <c r="ADO52" s="280"/>
      <c r="ADP52" s="280"/>
      <c r="ADQ52" s="280"/>
      <c r="ADR52" s="280"/>
      <c r="ADS52" s="280"/>
      <c r="ADT52" s="280"/>
      <c r="ADU52" s="280"/>
      <c r="ADV52" s="280"/>
      <c r="ADW52" s="280"/>
      <c r="ADX52" s="280"/>
      <c r="ADY52" s="280"/>
      <c r="ADZ52" s="280"/>
      <c r="AEA52" s="280"/>
      <c r="AEB52" s="280"/>
      <c r="AEC52" s="280"/>
      <c r="AED52" s="280"/>
      <c r="AEE52" s="280"/>
      <c r="AEF52" s="280"/>
      <c r="AEG52" s="280"/>
      <c r="AEH52" s="280"/>
      <c r="AEI52" s="280"/>
      <c r="AEJ52" s="280"/>
      <c r="AEK52" s="280"/>
      <c r="AEL52" s="280"/>
      <c r="AEM52" s="280"/>
      <c r="AEN52" s="280"/>
      <c r="AEO52" s="280"/>
      <c r="AEP52" s="280"/>
      <c r="AEQ52" s="280"/>
      <c r="AER52" s="280"/>
      <c r="AES52" s="280"/>
      <c r="AET52" s="280"/>
      <c r="AEU52" s="280"/>
      <c r="AEV52" s="280"/>
      <c r="AEW52" s="280"/>
      <c r="AEX52" s="280"/>
      <c r="AEY52" s="280"/>
      <c r="AEZ52" s="280"/>
      <c r="AFA52" s="280"/>
      <c r="AFB52" s="280"/>
      <c r="AFC52" s="280"/>
      <c r="AFD52" s="280"/>
      <c r="AFE52" s="280"/>
      <c r="AFF52" s="280"/>
      <c r="AFG52" s="280"/>
      <c r="AFH52" s="280"/>
      <c r="AFI52" s="280"/>
      <c r="AFJ52" s="280"/>
      <c r="AFK52" s="280"/>
      <c r="AFL52" s="280"/>
      <c r="AFM52" s="280"/>
      <c r="AFN52" s="280"/>
      <c r="AFO52" s="280"/>
      <c r="AFP52" s="280"/>
      <c r="AFQ52" s="280"/>
      <c r="AFR52" s="280"/>
      <c r="AFS52" s="280"/>
      <c r="AFT52" s="280"/>
      <c r="AFU52" s="280"/>
      <c r="AFV52" s="280"/>
      <c r="AFW52" s="280"/>
      <c r="AFX52" s="280"/>
      <c r="AFY52" s="280"/>
      <c r="AFZ52" s="280"/>
      <c r="AGA52" s="280"/>
      <c r="AGB52" s="280"/>
      <c r="AGC52" s="280"/>
      <c r="AGD52" s="280"/>
      <c r="AGE52" s="280"/>
      <c r="AGF52" s="280"/>
      <c r="AGG52" s="280"/>
      <c r="AGH52" s="280"/>
      <c r="AGI52" s="280"/>
      <c r="AGJ52" s="280"/>
      <c r="AGK52" s="280"/>
      <c r="AGL52" s="280"/>
      <c r="AGM52" s="280"/>
      <c r="AGN52" s="280"/>
      <c r="AGO52" s="280"/>
      <c r="AGP52" s="280"/>
      <c r="AGQ52" s="280"/>
      <c r="AGR52" s="280"/>
      <c r="AGS52" s="280"/>
      <c r="AGT52" s="280"/>
      <c r="AGU52" s="280"/>
      <c r="AGV52" s="280"/>
      <c r="AGW52" s="280"/>
      <c r="AGX52" s="280"/>
      <c r="AGY52" s="280"/>
      <c r="AGZ52" s="280"/>
      <c r="AHA52" s="280"/>
      <c r="AHB52" s="280"/>
      <c r="AHC52" s="280"/>
      <c r="AHD52" s="280"/>
      <c r="AHE52" s="280"/>
      <c r="AHF52" s="280"/>
      <c r="AHG52" s="280"/>
      <c r="AHH52" s="280"/>
      <c r="AHI52" s="280"/>
      <c r="AHJ52" s="280"/>
      <c r="AHK52" s="280"/>
      <c r="AHL52" s="280"/>
      <c r="AHM52" s="280"/>
      <c r="AHN52" s="280"/>
      <c r="AHO52" s="280"/>
      <c r="AHP52" s="280"/>
      <c r="AHQ52" s="280"/>
      <c r="AHR52" s="280"/>
      <c r="AHS52" s="280"/>
      <c r="AHT52" s="280"/>
      <c r="AHU52" s="280"/>
      <c r="AHV52" s="280"/>
      <c r="AHW52" s="280"/>
      <c r="AHX52" s="280"/>
      <c r="AHY52" s="280"/>
      <c r="AHZ52" s="280"/>
      <c r="AIA52" s="280"/>
      <c r="AIB52" s="280"/>
      <c r="AIC52" s="280"/>
      <c r="AID52" s="280"/>
      <c r="AIE52" s="280"/>
      <c r="AIF52" s="280"/>
      <c r="AIG52" s="280"/>
      <c r="AIH52" s="280"/>
      <c r="AII52" s="280"/>
      <c r="AIJ52" s="280"/>
      <c r="AIK52" s="280"/>
      <c r="AIL52" s="280"/>
      <c r="AIM52" s="280"/>
      <c r="AIN52" s="280"/>
      <c r="AIO52" s="280"/>
      <c r="AIP52" s="280"/>
      <c r="AIQ52" s="280"/>
      <c r="AIR52" s="280"/>
      <c r="AIS52" s="280"/>
      <c r="AIT52" s="280"/>
      <c r="AIU52" s="280"/>
      <c r="AIV52" s="280"/>
      <c r="AIW52" s="280"/>
      <c r="AIX52" s="280"/>
      <c r="AIY52" s="280"/>
      <c r="AIZ52" s="280"/>
      <c r="AJA52" s="280"/>
      <c r="AJB52" s="280"/>
      <c r="AJC52" s="280"/>
      <c r="AJD52" s="280"/>
      <c r="AJE52" s="280"/>
      <c r="AJF52" s="280"/>
      <c r="AJG52" s="280"/>
      <c r="AJH52" s="280"/>
      <c r="AJI52" s="280"/>
      <c r="AJJ52" s="280"/>
      <c r="AJK52" s="280"/>
      <c r="AJL52" s="280"/>
      <c r="AJM52" s="280"/>
      <c r="AJN52" s="280"/>
      <c r="AJO52" s="280"/>
      <c r="AJP52" s="280"/>
      <c r="AJQ52" s="280"/>
      <c r="AJR52" s="280"/>
      <c r="AJS52" s="280"/>
      <c r="AJT52" s="280"/>
      <c r="AJU52" s="280"/>
      <c r="AJV52" s="280"/>
      <c r="AJW52" s="280"/>
      <c r="AJX52" s="280"/>
      <c r="AJY52" s="280"/>
      <c r="AJZ52" s="280"/>
      <c r="AKA52" s="280"/>
      <c r="AKB52" s="280"/>
      <c r="AKC52" s="280"/>
      <c r="AKD52" s="280"/>
      <c r="AKE52" s="280"/>
      <c r="AKF52" s="280"/>
      <c r="AKG52" s="280"/>
      <c r="AKH52" s="280"/>
      <c r="AKI52" s="280"/>
      <c r="AKJ52" s="280"/>
      <c r="AKK52" s="280"/>
      <c r="AKL52" s="280"/>
      <c r="AKM52" s="280"/>
      <c r="AKN52" s="280"/>
      <c r="AKO52" s="280"/>
      <c r="AKP52" s="280"/>
      <c r="AKQ52" s="280"/>
      <c r="AKR52" s="280"/>
      <c r="AKS52" s="280"/>
      <c r="AKT52" s="280"/>
      <c r="AKU52" s="280"/>
      <c r="AKV52" s="280"/>
      <c r="AKW52" s="280"/>
      <c r="AKX52" s="280"/>
      <c r="AKY52" s="280"/>
      <c r="AKZ52" s="280"/>
      <c r="ALA52" s="280"/>
      <c r="ALB52" s="280"/>
      <c r="ALC52" s="280"/>
      <c r="ALD52" s="280"/>
      <c r="ALE52" s="280"/>
      <c r="ALF52" s="280"/>
      <c r="ALG52" s="280"/>
      <c r="ALH52" s="280"/>
      <c r="ALI52" s="280"/>
      <c r="ALJ52" s="280"/>
      <c r="ALK52" s="280"/>
      <c r="ALL52" s="280"/>
      <c r="ALM52" s="280"/>
      <c r="ALN52" s="280"/>
      <c r="ALO52" s="280"/>
      <c r="ALP52" s="280"/>
      <c r="ALQ52" s="280"/>
      <c r="ALR52" s="280"/>
      <c r="ALS52" s="280"/>
      <c r="ALT52" s="280"/>
      <c r="ALU52" s="280"/>
      <c r="ALV52" s="280"/>
      <c r="ALW52" s="280"/>
      <c r="ALX52" s="280"/>
      <c r="ALY52" s="280"/>
      <c r="ALZ52" s="280"/>
      <c r="AMA52" s="280"/>
      <c r="AMB52" s="280"/>
      <c r="AMC52" s="280"/>
      <c r="AMD52" s="280"/>
      <c r="AME52" s="280"/>
      <c r="AMF52" s="280"/>
      <c r="AMG52" s="280"/>
      <c r="AMH52" s="280"/>
      <c r="AMI52" s="280"/>
      <c r="AMJ52" s="280"/>
      <c r="AMK52" s="280"/>
      <c r="AML52" s="280"/>
      <c r="AMM52" s="280"/>
      <c r="AMN52" s="280"/>
      <c r="AMO52" s="280"/>
      <c r="AMP52" s="280"/>
      <c r="AMQ52" s="280"/>
      <c r="AMR52" s="280"/>
      <c r="AMS52" s="280"/>
      <c r="AMT52" s="280"/>
      <c r="AMU52" s="280"/>
      <c r="AMV52" s="280"/>
      <c r="AMW52" s="280"/>
      <c r="AMX52" s="280"/>
      <c r="AMY52" s="280"/>
      <c r="AMZ52" s="280"/>
      <c r="ANA52" s="280"/>
      <c r="ANB52" s="280"/>
      <c r="ANC52" s="280"/>
      <c r="AND52" s="280"/>
      <c r="ANE52" s="280"/>
      <c r="ANF52" s="280"/>
      <c r="ANG52" s="280"/>
      <c r="ANH52" s="280"/>
      <c r="ANI52" s="280"/>
      <c r="ANJ52" s="280"/>
      <c r="ANK52" s="280"/>
      <c r="ANL52" s="280"/>
      <c r="ANM52" s="280"/>
      <c r="ANN52" s="280"/>
      <c r="ANO52" s="280"/>
      <c r="ANP52" s="280"/>
      <c r="ANQ52" s="280"/>
      <c r="ANR52" s="280"/>
      <c r="ANS52" s="280"/>
      <c r="ANT52" s="280"/>
      <c r="ANU52" s="280"/>
      <c r="ANV52" s="280"/>
      <c r="ANW52" s="280"/>
      <c r="ANX52" s="280"/>
      <c r="ANY52" s="280"/>
      <c r="ANZ52" s="280"/>
      <c r="AOA52" s="280"/>
      <c r="AOB52" s="280"/>
      <c r="AOC52" s="280"/>
      <c r="AOD52" s="280"/>
      <c r="AOE52" s="280"/>
      <c r="AOF52" s="280"/>
      <c r="AOG52" s="280"/>
      <c r="AOH52" s="280"/>
      <c r="AOI52" s="280"/>
      <c r="AOJ52" s="280"/>
      <c r="AOK52" s="280"/>
      <c r="AOL52" s="280"/>
      <c r="AOM52" s="280"/>
      <c r="AON52" s="280"/>
      <c r="AOO52" s="280"/>
      <c r="AOP52" s="280"/>
      <c r="AOQ52" s="280"/>
      <c r="AOR52" s="280"/>
      <c r="AOS52" s="280"/>
      <c r="AOT52" s="280"/>
      <c r="AOU52" s="280"/>
      <c r="AOV52" s="280"/>
      <c r="AOW52" s="280"/>
      <c r="AOX52" s="280"/>
      <c r="AOY52" s="280"/>
      <c r="AOZ52" s="280"/>
      <c r="APA52" s="280"/>
      <c r="APB52" s="280"/>
      <c r="APC52" s="280"/>
      <c r="APD52" s="280"/>
      <c r="APE52" s="280"/>
      <c r="APF52" s="280"/>
      <c r="APG52" s="280"/>
      <c r="APH52" s="280"/>
      <c r="API52" s="280"/>
      <c r="APJ52" s="280"/>
      <c r="APK52" s="280"/>
      <c r="APL52" s="280"/>
      <c r="APM52" s="280"/>
      <c r="APN52" s="280"/>
      <c r="APO52" s="280"/>
      <c r="APP52" s="280"/>
      <c r="APQ52" s="280"/>
      <c r="APR52" s="280"/>
      <c r="APS52" s="280"/>
      <c r="APT52" s="280"/>
      <c r="APU52" s="280"/>
      <c r="APV52" s="280"/>
      <c r="APW52" s="280"/>
      <c r="APX52" s="280"/>
      <c r="APY52" s="280"/>
      <c r="APZ52" s="280"/>
      <c r="AQA52" s="280"/>
      <c r="AQB52" s="280"/>
      <c r="AQC52" s="280"/>
      <c r="AQD52" s="280"/>
      <c r="AQE52" s="280"/>
      <c r="AQF52" s="280"/>
      <c r="AQG52" s="280"/>
      <c r="AQH52" s="280"/>
      <c r="AQI52" s="280"/>
      <c r="AQJ52" s="280"/>
      <c r="AQK52" s="280"/>
      <c r="AQL52" s="280"/>
      <c r="AQM52" s="280"/>
      <c r="AQN52" s="280"/>
      <c r="AQO52" s="280"/>
      <c r="AQP52" s="280"/>
      <c r="AQQ52" s="280"/>
      <c r="AQR52" s="280"/>
      <c r="AQS52" s="280"/>
      <c r="AQT52" s="280"/>
      <c r="AQU52" s="280"/>
      <c r="AQV52" s="280"/>
      <c r="AQW52" s="280"/>
      <c r="AQX52" s="280"/>
      <c r="AQY52" s="280"/>
      <c r="AQZ52" s="280"/>
      <c r="ARA52" s="280"/>
      <c r="ARB52" s="280"/>
      <c r="ARC52" s="280"/>
      <c r="ARD52" s="280"/>
      <c r="ARE52" s="280"/>
      <c r="ARF52" s="280"/>
      <c r="ARG52" s="280"/>
      <c r="ARH52" s="280"/>
      <c r="ARI52" s="280"/>
      <c r="ARJ52" s="280"/>
      <c r="ARK52" s="280"/>
      <c r="ARL52" s="280"/>
      <c r="ARM52" s="280"/>
      <c r="ARN52" s="280"/>
      <c r="ARO52" s="280"/>
      <c r="ARP52" s="280"/>
      <c r="ARQ52" s="280"/>
      <c r="ARR52" s="280"/>
      <c r="ARS52" s="280"/>
      <c r="ART52" s="280"/>
      <c r="ARU52" s="280"/>
      <c r="ARV52" s="280"/>
      <c r="ARW52" s="280"/>
      <c r="ARX52" s="280"/>
      <c r="ARY52" s="280"/>
      <c r="ARZ52" s="280"/>
      <c r="ASA52" s="280"/>
      <c r="ASB52" s="280"/>
      <c r="ASC52" s="280"/>
      <c r="ASD52" s="280"/>
      <c r="ASE52" s="280"/>
      <c r="ASF52" s="280"/>
      <c r="ASG52" s="280"/>
      <c r="ASH52" s="280"/>
      <c r="ASI52" s="280"/>
      <c r="ASJ52" s="280"/>
      <c r="ASK52" s="280"/>
      <c r="ASL52" s="280"/>
      <c r="ASM52" s="280"/>
      <c r="ASN52" s="280"/>
      <c r="ASO52" s="280"/>
      <c r="ASP52" s="280"/>
      <c r="ASQ52" s="280"/>
      <c r="ASR52" s="280"/>
      <c r="ASS52" s="280"/>
      <c r="AST52" s="280"/>
      <c r="ASU52" s="280"/>
      <c r="ASV52" s="280"/>
      <c r="ASW52" s="280"/>
      <c r="ASX52" s="280"/>
      <c r="ASY52" s="280"/>
      <c r="ASZ52" s="280"/>
      <c r="ATA52" s="280"/>
      <c r="ATB52" s="280"/>
      <c r="ATC52" s="280"/>
      <c r="ATD52" s="280"/>
      <c r="ATE52" s="280"/>
      <c r="ATF52" s="280"/>
      <c r="ATG52" s="280"/>
      <c r="ATH52" s="280"/>
      <c r="ATI52" s="280"/>
      <c r="ATJ52" s="280"/>
      <c r="ATK52" s="280"/>
      <c r="ATL52" s="280"/>
      <c r="ATM52" s="280"/>
      <c r="ATN52" s="280"/>
      <c r="ATO52" s="280"/>
      <c r="ATP52" s="280"/>
      <c r="ATQ52" s="280"/>
      <c r="ATR52" s="280"/>
      <c r="ATS52" s="280"/>
      <c r="ATT52" s="280"/>
      <c r="ATU52" s="280"/>
      <c r="ATV52" s="280"/>
      <c r="ATW52" s="280"/>
      <c r="ATX52" s="280"/>
      <c r="ATY52" s="280"/>
      <c r="ATZ52" s="280"/>
      <c r="AUA52" s="280"/>
      <c r="AUB52" s="280"/>
      <c r="AUC52" s="280"/>
      <c r="AUD52" s="280"/>
      <c r="AUE52" s="280"/>
      <c r="AUF52" s="280"/>
      <c r="AUG52" s="280"/>
      <c r="AUH52" s="280"/>
      <c r="AUI52" s="280"/>
      <c r="AUJ52" s="280"/>
      <c r="AUK52" s="280"/>
      <c r="AUL52" s="280"/>
      <c r="AUM52" s="280"/>
      <c r="AUN52" s="280"/>
      <c r="AUO52" s="280"/>
      <c r="AUP52" s="280"/>
      <c r="AUQ52" s="280"/>
      <c r="AUR52" s="280"/>
      <c r="AUS52" s="280"/>
      <c r="AUT52" s="280"/>
      <c r="AUU52" s="280"/>
      <c r="AUV52" s="280"/>
      <c r="AUW52" s="280"/>
      <c r="AUX52" s="280"/>
      <c r="AUY52" s="280"/>
      <c r="AUZ52" s="280"/>
      <c r="AVA52" s="280"/>
      <c r="AVB52" s="280"/>
      <c r="AVC52" s="280"/>
      <c r="AVD52" s="280"/>
      <c r="AVE52" s="280"/>
      <c r="AVF52" s="280"/>
      <c r="AVG52" s="280"/>
      <c r="AVH52" s="280"/>
      <c r="AVI52" s="280"/>
      <c r="AVJ52" s="280"/>
      <c r="AVK52" s="280"/>
      <c r="AVL52" s="280"/>
      <c r="AVM52" s="280"/>
      <c r="AVN52" s="280"/>
      <c r="AVO52" s="280"/>
      <c r="AVP52" s="280"/>
      <c r="AVQ52" s="280"/>
      <c r="AVR52" s="280"/>
      <c r="AVS52" s="280"/>
      <c r="AVT52" s="280"/>
      <c r="AVU52" s="280"/>
      <c r="AVV52" s="280"/>
      <c r="AVW52" s="280"/>
      <c r="AVX52" s="280"/>
      <c r="AVY52" s="280"/>
      <c r="AVZ52" s="280"/>
      <c r="AWA52" s="280"/>
      <c r="AWB52" s="280"/>
      <c r="AWC52" s="280"/>
      <c r="AWD52" s="280"/>
      <c r="AWE52" s="280"/>
      <c r="AWF52" s="280"/>
      <c r="AWG52" s="280"/>
      <c r="AWH52" s="280"/>
      <c r="AWI52" s="280"/>
      <c r="AWJ52" s="280"/>
      <c r="AWK52" s="280"/>
      <c r="AWL52" s="280"/>
      <c r="AWM52" s="280"/>
      <c r="AWN52" s="280"/>
      <c r="AWO52" s="280"/>
      <c r="AWP52" s="280"/>
      <c r="AWQ52" s="280"/>
      <c r="AWR52" s="280"/>
      <c r="AWS52" s="280"/>
      <c r="AWT52" s="280"/>
      <c r="AWU52" s="280"/>
      <c r="AWV52" s="280"/>
      <c r="AWW52" s="280"/>
      <c r="AWX52" s="280"/>
      <c r="AWY52" s="280"/>
      <c r="AWZ52" s="280"/>
      <c r="AXA52" s="280"/>
      <c r="AXB52" s="280"/>
      <c r="AXC52" s="280"/>
      <c r="AXD52" s="280"/>
      <c r="AXE52" s="280"/>
      <c r="AXF52" s="280"/>
      <c r="AXG52" s="280"/>
      <c r="AXH52" s="280"/>
      <c r="AXI52" s="280"/>
      <c r="AXJ52" s="280"/>
      <c r="AXK52" s="280"/>
      <c r="AXL52" s="280"/>
      <c r="AXM52" s="280"/>
      <c r="AXN52" s="280"/>
      <c r="AXO52" s="280"/>
      <c r="AXP52" s="280"/>
      <c r="AXQ52" s="280"/>
      <c r="AXR52" s="280"/>
      <c r="AXS52" s="280"/>
      <c r="AXT52" s="280"/>
      <c r="AXU52" s="280"/>
      <c r="AXV52" s="280"/>
      <c r="AXW52" s="280"/>
      <c r="AXX52" s="280"/>
      <c r="AXY52" s="280"/>
      <c r="AXZ52" s="280"/>
      <c r="AYA52" s="280"/>
      <c r="AYB52" s="280"/>
      <c r="AYC52" s="280"/>
      <c r="AYD52" s="280"/>
      <c r="AYE52" s="280"/>
      <c r="AYF52" s="280"/>
      <c r="AYG52" s="280"/>
      <c r="AYH52" s="280"/>
      <c r="AYI52" s="280"/>
      <c r="AYJ52" s="280"/>
      <c r="AYK52" s="280"/>
      <c r="AYL52" s="280"/>
      <c r="AYM52" s="280"/>
      <c r="AYN52" s="280"/>
      <c r="AYO52" s="280"/>
      <c r="AYP52" s="280"/>
      <c r="AYQ52" s="280"/>
      <c r="AYR52" s="280"/>
      <c r="AYS52" s="280"/>
      <c r="AYT52" s="280"/>
      <c r="AYU52" s="280"/>
      <c r="AYV52" s="280"/>
      <c r="AYW52" s="280"/>
      <c r="AYX52" s="280"/>
      <c r="AYY52" s="280"/>
      <c r="AYZ52" s="280"/>
      <c r="AZA52" s="280"/>
      <c r="AZB52" s="280"/>
      <c r="AZC52" s="280"/>
      <c r="AZD52" s="280"/>
      <c r="AZE52" s="280"/>
      <c r="AZF52" s="280"/>
      <c r="AZG52" s="280"/>
      <c r="AZH52" s="280"/>
      <c r="AZI52" s="280"/>
      <c r="AZJ52" s="280"/>
      <c r="AZK52" s="280"/>
      <c r="AZL52" s="280"/>
      <c r="AZM52" s="280"/>
      <c r="AZN52" s="280"/>
      <c r="AZO52" s="280"/>
      <c r="AZP52" s="280"/>
      <c r="AZQ52" s="280"/>
      <c r="AZR52" s="280"/>
      <c r="AZS52" s="280"/>
      <c r="AZT52" s="280"/>
      <c r="AZU52" s="280"/>
      <c r="AZV52" s="280"/>
      <c r="AZW52" s="280"/>
      <c r="AZX52" s="280"/>
      <c r="AZY52" s="280"/>
      <c r="AZZ52" s="280"/>
      <c r="BAA52" s="280"/>
      <c r="BAB52" s="280"/>
      <c r="BAC52" s="280"/>
      <c r="BAD52" s="280"/>
      <c r="BAE52" s="280"/>
      <c r="BAF52" s="280"/>
      <c r="BAG52" s="280"/>
      <c r="BAH52" s="280"/>
      <c r="BAI52" s="280"/>
      <c r="BAJ52" s="280"/>
      <c r="BAK52" s="280"/>
      <c r="BAL52" s="280"/>
      <c r="BAM52" s="280"/>
      <c r="BAN52" s="280"/>
      <c r="BAO52" s="280"/>
      <c r="BAP52" s="280"/>
      <c r="BAQ52" s="280"/>
      <c r="BAR52" s="280"/>
      <c r="BAS52" s="280"/>
      <c r="BAT52" s="280"/>
      <c r="BAU52" s="280"/>
      <c r="BAV52" s="280"/>
      <c r="BAW52" s="280"/>
      <c r="BAX52" s="280"/>
      <c r="BAY52" s="280"/>
      <c r="BAZ52" s="280"/>
      <c r="BBA52" s="280"/>
      <c r="BBB52" s="280"/>
      <c r="BBC52" s="280"/>
      <c r="BBD52" s="280"/>
      <c r="BBE52" s="280"/>
      <c r="BBF52" s="280"/>
      <c r="BBG52" s="280"/>
      <c r="BBH52" s="280"/>
      <c r="BBI52" s="280"/>
      <c r="BBJ52" s="280"/>
      <c r="BBK52" s="280"/>
      <c r="BBL52" s="280"/>
      <c r="BBM52" s="280"/>
      <c r="BBN52" s="280"/>
      <c r="BBO52" s="280"/>
      <c r="BBP52" s="280"/>
      <c r="BBQ52" s="280"/>
      <c r="BBR52" s="280"/>
      <c r="BBS52" s="280"/>
      <c r="BBT52" s="280"/>
      <c r="BBU52" s="280"/>
      <c r="BBV52" s="280"/>
      <c r="BBW52" s="280"/>
      <c r="BBX52" s="280"/>
      <c r="BBY52" s="280"/>
      <c r="BBZ52" s="280"/>
      <c r="BCA52" s="280"/>
      <c r="BCB52" s="280"/>
      <c r="BCC52" s="280"/>
      <c r="BCD52" s="280"/>
      <c r="BCE52" s="280"/>
      <c r="BCF52" s="280"/>
      <c r="BCG52" s="280"/>
      <c r="BCH52" s="280"/>
      <c r="BCI52" s="280"/>
      <c r="BCJ52" s="280"/>
      <c r="BCK52" s="280"/>
      <c r="BCL52" s="280"/>
      <c r="BCM52" s="280"/>
      <c r="BCN52" s="280"/>
      <c r="BCO52" s="280"/>
      <c r="BCP52" s="280"/>
      <c r="BCQ52" s="280"/>
      <c r="BCR52" s="280"/>
      <c r="BCS52" s="280"/>
      <c r="BCT52" s="280"/>
      <c r="BCU52" s="280"/>
      <c r="BCV52" s="280"/>
      <c r="BCW52" s="280"/>
      <c r="BCX52" s="280"/>
      <c r="BCY52" s="280"/>
      <c r="BCZ52" s="280"/>
      <c r="BDA52" s="280"/>
      <c r="BDB52" s="280"/>
      <c r="BDC52" s="280"/>
      <c r="BDD52" s="280"/>
      <c r="BDE52" s="280"/>
      <c r="BDF52" s="280"/>
      <c r="BDG52" s="280"/>
      <c r="BDH52" s="280"/>
      <c r="BDI52" s="280"/>
      <c r="BDJ52" s="280"/>
      <c r="BDK52" s="280"/>
      <c r="BDL52" s="280"/>
      <c r="BDM52" s="280"/>
      <c r="BDN52" s="280"/>
      <c r="BDO52" s="280"/>
      <c r="BDP52" s="280"/>
      <c r="BDQ52" s="280"/>
      <c r="BDR52" s="280"/>
      <c r="BDS52" s="280"/>
      <c r="BDT52" s="280"/>
      <c r="BDU52" s="280"/>
      <c r="BDV52" s="280"/>
      <c r="BDW52" s="280"/>
      <c r="BDX52" s="280"/>
      <c r="BDY52" s="280"/>
      <c r="BDZ52" s="280"/>
      <c r="BEA52" s="280"/>
      <c r="BEB52" s="280"/>
      <c r="BEC52" s="280"/>
      <c r="BED52" s="280"/>
      <c r="BEE52" s="280"/>
      <c r="BEF52" s="280"/>
      <c r="BEG52" s="280"/>
      <c r="BEH52" s="280"/>
      <c r="BEI52" s="280"/>
      <c r="BEJ52" s="280"/>
      <c r="BEK52" s="280"/>
      <c r="BEL52" s="280"/>
      <c r="BEM52" s="280"/>
      <c r="BEN52" s="280"/>
      <c r="BEO52" s="280"/>
      <c r="BEP52" s="280"/>
      <c r="BEQ52" s="280"/>
      <c r="BER52" s="280"/>
      <c r="BES52" s="280"/>
      <c r="BET52" s="280"/>
      <c r="BEU52" s="280"/>
      <c r="BEV52" s="280"/>
      <c r="BEW52" s="280"/>
      <c r="BEX52" s="280"/>
      <c r="BEY52" s="280"/>
      <c r="BEZ52" s="280"/>
      <c r="BFA52" s="280"/>
      <c r="BFB52" s="280"/>
      <c r="BFC52" s="280"/>
      <c r="BFD52" s="280"/>
      <c r="BFE52" s="280"/>
      <c r="BFF52" s="280"/>
      <c r="BFG52" s="280"/>
      <c r="BFH52" s="280"/>
      <c r="BFI52" s="280"/>
      <c r="BFJ52" s="280"/>
      <c r="BFK52" s="280"/>
      <c r="BFL52" s="280"/>
      <c r="BFM52" s="280"/>
      <c r="BFN52" s="280"/>
      <c r="BFO52" s="280"/>
      <c r="BFP52" s="280"/>
      <c r="BFQ52" s="280"/>
      <c r="BFR52" s="280"/>
      <c r="BFS52" s="280"/>
      <c r="BFT52" s="280"/>
      <c r="BFU52" s="280"/>
      <c r="BFV52" s="280"/>
      <c r="BFW52" s="280"/>
      <c r="BFX52" s="280"/>
      <c r="BFY52" s="280"/>
      <c r="BFZ52" s="280"/>
      <c r="BGA52" s="280"/>
      <c r="BGB52" s="280"/>
      <c r="BGC52" s="280"/>
      <c r="BGD52" s="280"/>
      <c r="BGE52" s="280"/>
      <c r="BGF52" s="280"/>
      <c r="BGG52" s="280"/>
      <c r="BGH52" s="280"/>
      <c r="BGI52" s="280"/>
      <c r="BGJ52" s="280"/>
      <c r="BGK52" s="280"/>
      <c r="BGL52" s="280"/>
      <c r="BGM52" s="280"/>
      <c r="BGN52" s="280"/>
      <c r="BGO52" s="280"/>
      <c r="BGP52" s="280"/>
      <c r="BGQ52" s="280"/>
      <c r="BGR52" s="280"/>
      <c r="BGS52" s="280"/>
      <c r="BGT52" s="280"/>
      <c r="BGU52" s="280"/>
      <c r="BGV52" s="280"/>
      <c r="BGW52" s="280"/>
      <c r="BGX52" s="280"/>
      <c r="BGY52" s="280"/>
      <c r="BGZ52" s="280"/>
      <c r="BHA52" s="280"/>
      <c r="BHB52" s="280"/>
      <c r="BHC52" s="280"/>
      <c r="BHD52" s="280"/>
      <c r="BHE52" s="280"/>
      <c r="BHF52" s="280"/>
      <c r="BHG52" s="280"/>
      <c r="BHH52" s="280"/>
      <c r="BHI52" s="280"/>
      <c r="BHJ52" s="280"/>
      <c r="BHK52" s="280"/>
      <c r="BHL52" s="280"/>
      <c r="BHM52" s="280"/>
      <c r="BHN52" s="280"/>
      <c r="BHO52" s="280"/>
      <c r="BHP52" s="280"/>
      <c r="BHQ52" s="280"/>
      <c r="BHR52" s="280"/>
      <c r="BHS52" s="280"/>
      <c r="BHT52" s="280"/>
      <c r="BHU52" s="280"/>
      <c r="BHV52" s="280"/>
      <c r="BHW52" s="280"/>
      <c r="BHX52" s="280"/>
      <c r="BHY52" s="280"/>
      <c r="BHZ52" s="280"/>
      <c r="BIA52" s="280"/>
      <c r="BIB52" s="280"/>
      <c r="BIC52" s="280"/>
      <c r="BID52" s="280"/>
      <c r="BIE52" s="280"/>
      <c r="BIF52" s="280"/>
      <c r="BIG52" s="280"/>
      <c r="BIH52" s="280"/>
      <c r="BII52" s="280"/>
      <c r="BIJ52" s="280"/>
      <c r="BIK52" s="280"/>
      <c r="BIL52" s="280"/>
      <c r="BIM52" s="280"/>
      <c r="BIN52" s="280"/>
      <c r="BIO52" s="280"/>
      <c r="BIP52" s="280"/>
      <c r="BIQ52" s="280"/>
      <c r="BIR52" s="280"/>
      <c r="BIS52" s="280"/>
      <c r="BIT52" s="280"/>
      <c r="BIU52" s="280"/>
      <c r="BIV52" s="280"/>
      <c r="BIW52" s="280"/>
      <c r="BIX52" s="280"/>
      <c r="BIY52" s="280"/>
      <c r="BIZ52" s="280"/>
      <c r="BJA52" s="280"/>
      <c r="BJB52" s="280"/>
      <c r="BJC52" s="280"/>
      <c r="BJD52" s="280"/>
      <c r="BJE52" s="280"/>
      <c r="BJF52" s="280"/>
      <c r="BJG52" s="280"/>
      <c r="BJH52" s="280"/>
      <c r="BJI52" s="280"/>
      <c r="BJJ52" s="280"/>
      <c r="BJK52" s="280"/>
      <c r="BJL52" s="280"/>
      <c r="BJM52" s="280"/>
      <c r="BJN52" s="280"/>
      <c r="BJO52" s="280"/>
      <c r="BJP52" s="280"/>
      <c r="BJQ52" s="280"/>
      <c r="BJR52" s="280"/>
      <c r="BJS52" s="280"/>
      <c r="BJT52" s="280"/>
      <c r="BJU52" s="280"/>
      <c r="BJV52" s="280"/>
      <c r="BJW52" s="280"/>
      <c r="BJX52" s="280"/>
      <c r="BJY52" s="280"/>
      <c r="BJZ52" s="280"/>
      <c r="BKA52" s="280"/>
      <c r="BKB52" s="280"/>
      <c r="BKC52" s="280"/>
      <c r="BKD52" s="280"/>
      <c r="BKE52" s="280"/>
      <c r="BKF52" s="280"/>
      <c r="BKG52" s="280"/>
      <c r="BKH52" s="280"/>
      <c r="BKI52" s="280"/>
      <c r="BKJ52" s="280"/>
      <c r="BKK52" s="280"/>
      <c r="BKL52" s="280"/>
      <c r="BKM52" s="280"/>
      <c r="BKN52" s="280"/>
      <c r="BKO52" s="280"/>
      <c r="BKP52" s="280"/>
      <c r="BKQ52" s="280"/>
      <c r="BKR52" s="280"/>
      <c r="BKS52" s="280"/>
      <c r="BKT52" s="280"/>
      <c r="BKU52" s="280"/>
      <c r="BKV52" s="280"/>
      <c r="BKW52" s="280"/>
      <c r="BKX52" s="280"/>
      <c r="BKY52" s="280"/>
      <c r="BKZ52" s="280"/>
      <c r="BLA52" s="280"/>
      <c r="BLB52" s="280"/>
      <c r="BLC52" s="280"/>
      <c r="BLD52" s="280"/>
      <c r="BLE52" s="280"/>
      <c r="BLF52" s="280"/>
      <c r="BLG52" s="280"/>
      <c r="BLH52" s="280"/>
      <c r="BLI52" s="280"/>
      <c r="BLJ52" s="280"/>
      <c r="BLK52" s="280"/>
      <c r="BLL52" s="280"/>
      <c r="BLM52" s="280"/>
      <c r="BLN52" s="280"/>
      <c r="BLO52" s="280"/>
      <c r="BLP52" s="280"/>
      <c r="BLQ52" s="280"/>
      <c r="BLR52" s="280"/>
      <c r="BLS52" s="280"/>
      <c r="BLT52" s="280"/>
      <c r="BLU52" s="280"/>
      <c r="BLV52" s="280"/>
      <c r="BLW52" s="280"/>
      <c r="BLX52" s="280"/>
      <c r="BLY52" s="280"/>
      <c r="BLZ52" s="280"/>
      <c r="BMA52" s="280"/>
      <c r="BMB52" s="280"/>
      <c r="BMC52" s="280"/>
      <c r="BMD52" s="280"/>
      <c r="BME52" s="280"/>
      <c r="BMF52" s="280"/>
      <c r="BMG52" s="280"/>
      <c r="BMH52" s="280"/>
      <c r="BMI52" s="280"/>
      <c r="BMJ52" s="280"/>
      <c r="BMK52" s="280"/>
      <c r="BML52" s="280"/>
      <c r="BMM52" s="280"/>
      <c r="BMN52" s="280"/>
      <c r="BMO52" s="280"/>
      <c r="BMP52" s="280"/>
      <c r="BMQ52" s="280"/>
      <c r="BMR52" s="280"/>
      <c r="BMS52" s="280"/>
      <c r="BMT52" s="280"/>
      <c r="BMU52" s="280"/>
      <c r="BMV52" s="280"/>
      <c r="BMW52" s="280"/>
      <c r="BMX52" s="280"/>
      <c r="BMY52" s="280"/>
      <c r="BMZ52" s="280"/>
      <c r="BNA52" s="280"/>
      <c r="BNB52" s="280"/>
      <c r="BNC52" s="280"/>
      <c r="BND52" s="280"/>
      <c r="BNE52" s="280"/>
      <c r="BNF52" s="280"/>
      <c r="BNG52" s="280"/>
      <c r="BNH52" s="280"/>
      <c r="BNI52" s="280"/>
      <c r="BNJ52" s="280"/>
      <c r="BNK52" s="280"/>
      <c r="BNL52" s="280"/>
      <c r="BNM52" s="280"/>
      <c r="BNN52" s="280"/>
      <c r="BNO52" s="280"/>
      <c r="BNP52" s="280"/>
      <c r="BNQ52" s="280"/>
      <c r="BNR52" s="280"/>
      <c r="BNS52" s="280"/>
      <c r="BNT52" s="280"/>
      <c r="BNU52" s="280"/>
      <c r="BNV52" s="280"/>
      <c r="BNW52" s="280"/>
      <c r="BNX52" s="280"/>
      <c r="BNY52" s="280"/>
      <c r="BNZ52" s="280"/>
      <c r="BOA52" s="280"/>
      <c r="BOB52" s="280"/>
      <c r="BOC52" s="280"/>
      <c r="BOD52" s="280"/>
      <c r="BOE52" s="280"/>
      <c r="BOF52" s="280"/>
      <c r="BOG52" s="280"/>
      <c r="BOH52" s="280"/>
      <c r="BOI52" s="280"/>
      <c r="BOJ52" s="280"/>
      <c r="BOK52" s="280"/>
      <c r="BOL52" s="280"/>
      <c r="BOM52" s="280"/>
      <c r="BON52" s="280"/>
      <c r="BOO52" s="280"/>
      <c r="BOP52" s="280"/>
      <c r="BOQ52" s="280"/>
      <c r="BOR52" s="280"/>
      <c r="BOS52" s="280"/>
      <c r="BOT52" s="280"/>
      <c r="BOU52" s="280"/>
      <c r="BOV52" s="280"/>
      <c r="BOW52" s="280"/>
      <c r="BOX52" s="280"/>
      <c r="BOY52" s="280"/>
      <c r="BOZ52" s="280"/>
      <c r="BPA52" s="280"/>
      <c r="BPB52" s="280"/>
      <c r="BPC52" s="280"/>
      <c r="BPD52" s="280"/>
      <c r="BPE52" s="280"/>
      <c r="BPF52" s="280"/>
      <c r="BPG52" s="280"/>
      <c r="BPH52" s="280"/>
      <c r="BPI52" s="280"/>
      <c r="BPJ52" s="280"/>
      <c r="BPK52" s="280"/>
      <c r="BPL52" s="280"/>
      <c r="BPM52" s="280"/>
      <c r="BPN52" s="280"/>
      <c r="BPO52" s="280"/>
      <c r="BPP52" s="280"/>
      <c r="BPQ52" s="280"/>
      <c r="BPR52" s="280"/>
      <c r="BPS52" s="280"/>
      <c r="BPT52" s="280"/>
      <c r="BPU52" s="280"/>
      <c r="BPV52" s="280"/>
      <c r="BPW52" s="280"/>
      <c r="BPX52" s="280"/>
      <c r="BPY52" s="280"/>
      <c r="BPZ52" s="280"/>
      <c r="BQA52" s="280"/>
      <c r="BQB52" s="280"/>
      <c r="BQC52" s="280"/>
      <c r="BQD52" s="280"/>
      <c r="BQE52" s="280"/>
      <c r="BQF52" s="280"/>
      <c r="BQG52" s="280"/>
      <c r="BQH52" s="280"/>
      <c r="BQI52" s="280"/>
      <c r="BQJ52" s="280"/>
      <c r="BQK52" s="280"/>
      <c r="BQL52" s="280"/>
      <c r="BQM52" s="280"/>
      <c r="BQN52" s="280"/>
      <c r="BQO52" s="280"/>
      <c r="BQP52" s="280"/>
      <c r="BQQ52" s="280"/>
      <c r="BQR52" s="280"/>
      <c r="BQS52" s="280"/>
      <c r="BQT52" s="280"/>
      <c r="BQU52" s="280"/>
      <c r="BQV52" s="280"/>
      <c r="BQW52" s="280"/>
      <c r="BQX52" s="280"/>
      <c r="BQY52" s="280"/>
      <c r="BQZ52" s="280"/>
      <c r="BRA52" s="280"/>
      <c r="BRB52" s="280"/>
      <c r="BRC52" s="280"/>
      <c r="BRD52" s="280"/>
      <c r="BRE52" s="280"/>
      <c r="BRF52" s="280"/>
      <c r="BRG52" s="280"/>
      <c r="BRH52" s="280"/>
      <c r="BRI52" s="280"/>
      <c r="BRJ52" s="280"/>
      <c r="BRK52" s="280"/>
      <c r="BRL52" s="280"/>
      <c r="BRM52" s="280"/>
      <c r="BRN52" s="280"/>
      <c r="BRO52" s="280"/>
      <c r="BRP52" s="280"/>
      <c r="BRQ52" s="280"/>
      <c r="BRR52" s="280"/>
      <c r="BRS52" s="280"/>
      <c r="BRT52" s="280"/>
      <c r="BRU52" s="280"/>
      <c r="BRV52" s="280"/>
      <c r="BRW52" s="280"/>
      <c r="BRX52" s="280"/>
      <c r="BRY52" s="280"/>
      <c r="BRZ52" s="280"/>
      <c r="BSA52" s="280"/>
      <c r="BSB52" s="280"/>
      <c r="BSC52" s="280"/>
      <c r="BSD52" s="280"/>
      <c r="BSE52" s="280"/>
      <c r="BSF52" s="280"/>
      <c r="BSG52" s="280"/>
      <c r="BSH52" s="280"/>
      <c r="BSI52" s="280"/>
      <c r="BSJ52" s="280"/>
      <c r="BSK52" s="280"/>
      <c r="BSL52" s="280"/>
      <c r="BSM52" s="280"/>
      <c r="BSN52" s="280"/>
      <c r="BSO52" s="280"/>
      <c r="BSP52" s="280"/>
      <c r="BSQ52" s="280"/>
      <c r="BSR52" s="280"/>
      <c r="BSS52" s="280"/>
      <c r="BST52" s="280"/>
      <c r="BSU52" s="280"/>
      <c r="BSV52" s="280"/>
      <c r="BSW52" s="280"/>
      <c r="BSX52" s="280"/>
      <c r="BSY52" s="280"/>
      <c r="BSZ52" s="280"/>
      <c r="BTA52" s="280"/>
      <c r="BTB52" s="280"/>
      <c r="BTC52" s="280"/>
      <c r="BTD52" s="280"/>
      <c r="BTE52" s="280"/>
      <c r="BTF52" s="280"/>
      <c r="BTG52" s="280"/>
      <c r="BTH52" s="280"/>
      <c r="BTI52" s="280"/>
      <c r="BTJ52" s="280"/>
      <c r="BTK52" s="280"/>
      <c r="BTL52" s="280"/>
      <c r="BTM52" s="280"/>
      <c r="BTN52" s="280"/>
      <c r="BTO52" s="280"/>
      <c r="BTP52" s="280"/>
      <c r="BTQ52" s="280"/>
      <c r="BTR52" s="280"/>
      <c r="BTS52" s="280"/>
      <c r="BTT52" s="280"/>
      <c r="BTU52" s="280"/>
      <c r="BTV52" s="280"/>
      <c r="BTW52" s="280"/>
      <c r="BTX52" s="280"/>
      <c r="BTY52" s="280"/>
      <c r="BTZ52" s="280"/>
      <c r="BUA52" s="280"/>
      <c r="BUB52" s="280"/>
      <c r="BUC52" s="280"/>
      <c r="BUD52" s="280"/>
      <c r="BUE52" s="280"/>
      <c r="BUF52" s="280"/>
      <c r="BUG52" s="280"/>
      <c r="BUH52" s="280"/>
      <c r="BUI52" s="280"/>
      <c r="BUJ52" s="280"/>
      <c r="BUK52" s="280"/>
      <c r="BUL52" s="280"/>
      <c r="BUM52" s="280"/>
      <c r="BUN52" s="280"/>
      <c r="BUO52" s="280"/>
      <c r="BUP52" s="280"/>
      <c r="BUQ52" s="280"/>
      <c r="BUR52" s="280"/>
      <c r="BUS52" s="280"/>
      <c r="BUT52" s="280"/>
      <c r="BUU52" s="280"/>
      <c r="BUV52" s="280"/>
      <c r="BUW52" s="280"/>
      <c r="BUX52" s="280"/>
      <c r="BUY52" s="280"/>
      <c r="BUZ52" s="280"/>
      <c r="BVA52" s="280"/>
      <c r="BVB52" s="280"/>
      <c r="BVC52" s="280"/>
      <c r="BVD52" s="280"/>
      <c r="BVE52" s="280"/>
      <c r="BVF52" s="280"/>
      <c r="BVG52" s="280"/>
      <c r="BVH52" s="280"/>
      <c r="BVI52" s="280"/>
      <c r="BVJ52" s="280"/>
      <c r="BVK52" s="280"/>
      <c r="BVL52" s="280"/>
      <c r="BVM52" s="280"/>
      <c r="BVN52" s="280"/>
      <c r="BVO52" s="280"/>
      <c r="BVP52" s="280"/>
      <c r="BVQ52" s="280"/>
      <c r="BVR52" s="280"/>
      <c r="BVS52" s="280"/>
      <c r="BVT52" s="280"/>
      <c r="BVU52" s="280"/>
      <c r="BVV52" s="280"/>
      <c r="BVW52" s="280"/>
      <c r="BVX52" s="280"/>
      <c r="BVY52" s="280"/>
      <c r="BVZ52" s="280"/>
      <c r="BWA52" s="280"/>
      <c r="BWB52" s="280"/>
      <c r="BWC52" s="280"/>
      <c r="BWD52" s="280"/>
      <c r="BWE52" s="280"/>
      <c r="BWF52" s="280"/>
      <c r="BWG52" s="280"/>
      <c r="BWH52" s="280"/>
      <c r="BWI52" s="280"/>
      <c r="BWJ52" s="280"/>
      <c r="BWK52" s="280"/>
      <c r="BWL52" s="280"/>
      <c r="BWM52" s="280"/>
      <c r="BWN52" s="280"/>
      <c r="BWO52" s="280"/>
      <c r="BWP52" s="280"/>
      <c r="BWQ52" s="280"/>
      <c r="BWR52" s="280"/>
      <c r="BWS52" s="280"/>
      <c r="BWT52" s="280"/>
      <c r="BWU52" s="280"/>
      <c r="BWV52" s="280"/>
      <c r="BWW52" s="280"/>
      <c r="BWX52" s="280"/>
      <c r="BWY52" s="280"/>
      <c r="BWZ52" s="280"/>
      <c r="BXA52" s="280"/>
      <c r="BXB52" s="280"/>
      <c r="BXC52" s="280"/>
      <c r="BXD52" s="280"/>
      <c r="BXE52" s="280"/>
      <c r="BXF52" s="280"/>
      <c r="BXG52" s="280"/>
      <c r="BXH52" s="280"/>
      <c r="BXI52" s="280"/>
      <c r="BXJ52" s="280"/>
      <c r="BXK52" s="280"/>
      <c r="BXL52" s="280"/>
      <c r="BXM52" s="280"/>
      <c r="BXN52" s="280"/>
      <c r="BXO52" s="280"/>
      <c r="BXP52" s="280"/>
      <c r="BXQ52" s="280"/>
      <c r="BXR52" s="280"/>
      <c r="BXS52" s="280"/>
      <c r="BXT52" s="280"/>
      <c r="BXU52" s="280"/>
      <c r="BXV52" s="280"/>
      <c r="BXW52" s="280"/>
      <c r="BXX52" s="280"/>
      <c r="BXY52" s="280"/>
      <c r="BXZ52" s="280"/>
      <c r="BYA52" s="280"/>
      <c r="BYB52" s="280"/>
      <c r="BYC52" s="280"/>
      <c r="BYD52" s="280"/>
      <c r="BYE52" s="280"/>
      <c r="BYF52" s="280"/>
      <c r="BYG52" s="280"/>
      <c r="BYH52" s="280"/>
      <c r="BYI52" s="280"/>
      <c r="BYJ52" s="280"/>
      <c r="BYK52" s="280"/>
      <c r="BYL52" s="280"/>
      <c r="BYM52" s="280"/>
      <c r="BYN52" s="280"/>
      <c r="BYO52" s="280"/>
      <c r="BYP52" s="280"/>
      <c r="BYQ52" s="280"/>
      <c r="BYR52" s="280"/>
      <c r="BYS52" s="280"/>
      <c r="BYT52" s="280"/>
      <c r="BYU52" s="280"/>
      <c r="BYV52" s="280"/>
      <c r="BYW52" s="280"/>
      <c r="BYX52" s="280"/>
      <c r="BYY52" s="280"/>
      <c r="BYZ52" s="280"/>
      <c r="BZA52" s="280"/>
      <c r="BZB52" s="280"/>
      <c r="BZC52" s="280"/>
      <c r="BZD52" s="280"/>
      <c r="BZE52" s="280"/>
      <c r="BZF52" s="280"/>
      <c r="BZG52" s="280"/>
      <c r="BZH52" s="280"/>
      <c r="BZI52" s="280"/>
      <c r="BZJ52" s="280"/>
      <c r="BZK52" s="280"/>
      <c r="BZL52" s="280"/>
      <c r="BZM52" s="280"/>
      <c r="BZN52" s="280"/>
      <c r="BZO52" s="280"/>
      <c r="BZP52" s="280"/>
      <c r="BZQ52" s="280"/>
      <c r="BZR52" s="280"/>
      <c r="BZS52" s="280"/>
      <c r="BZT52" s="280"/>
      <c r="BZU52" s="280"/>
      <c r="BZV52" s="280"/>
      <c r="BZW52" s="280"/>
      <c r="BZX52" s="280"/>
      <c r="BZY52" s="280"/>
      <c r="BZZ52" s="280"/>
      <c r="CAA52" s="280"/>
      <c r="CAB52" s="280"/>
      <c r="CAC52" s="280"/>
      <c r="CAD52" s="280"/>
      <c r="CAE52" s="280"/>
      <c r="CAF52" s="280"/>
      <c r="CAG52" s="280"/>
      <c r="CAH52" s="280"/>
      <c r="CAI52" s="280"/>
      <c r="CAJ52" s="280"/>
      <c r="CAK52" s="280"/>
      <c r="CAL52" s="280"/>
      <c r="CAM52" s="280"/>
      <c r="CAN52" s="280"/>
      <c r="CAO52" s="280"/>
      <c r="CAP52" s="280"/>
      <c r="CAQ52" s="280"/>
      <c r="CAR52" s="280"/>
      <c r="CAS52" s="280"/>
      <c r="CAT52" s="280"/>
      <c r="CAU52" s="280"/>
      <c r="CAV52" s="280"/>
      <c r="CAW52" s="280"/>
      <c r="CAX52" s="280"/>
      <c r="CAY52" s="280"/>
      <c r="CAZ52" s="280"/>
      <c r="CBA52" s="280"/>
      <c r="CBB52" s="280"/>
      <c r="CBC52" s="280"/>
      <c r="CBD52" s="280"/>
      <c r="CBE52" s="280"/>
      <c r="CBF52" s="280"/>
      <c r="CBG52" s="280"/>
      <c r="CBH52" s="280"/>
      <c r="CBI52" s="280"/>
      <c r="CBJ52" s="280"/>
      <c r="CBK52" s="280"/>
      <c r="CBL52" s="280"/>
      <c r="CBM52" s="280"/>
      <c r="CBN52" s="280"/>
      <c r="CBO52" s="280"/>
      <c r="CBP52" s="280"/>
      <c r="CBQ52" s="280"/>
      <c r="CBR52" s="280"/>
      <c r="CBS52" s="280"/>
      <c r="CBT52" s="280"/>
      <c r="CBU52" s="280"/>
      <c r="CBV52" s="280"/>
      <c r="CBW52" s="280"/>
      <c r="CBX52" s="280"/>
      <c r="CBY52" s="280"/>
      <c r="CBZ52" s="280"/>
      <c r="CCA52" s="280"/>
      <c r="CCB52" s="280"/>
      <c r="CCC52" s="280"/>
      <c r="CCD52" s="280"/>
      <c r="CCE52" s="280"/>
      <c r="CCF52" s="280"/>
      <c r="CCG52" s="280"/>
      <c r="CCH52" s="280"/>
      <c r="CCI52" s="280"/>
      <c r="CCJ52" s="280"/>
      <c r="CCK52" s="280"/>
      <c r="CCL52" s="280"/>
      <c r="CCM52" s="280"/>
      <c r="CCN52" s="280"/>
      <c r="CCO52" s="280"/>
      <c r="CCP52" s="280"/>
      <c r="CCQ52" s="280"/>
      <c r="CCR52" s="280"/>
      <c r="CCS52" s="280"/>
      <c r="CCT52" s="280"/>
      <c r="CCU52" s="280"/>
      <c r="CCV52" s="280"/>
      <c r="CCW52" s="280"/>
      <c r="CCX52" s="280"/>
      <c r="CCY52" s="280"/>
      <c r="CCZ52" s="280"/>
      <c r="CDA52" s="280"/>
      <c r="CDB52" s="280"/>
      <c r="CDC52" s="280"/>
      <c r="CDD52" s="280"/>
      <c r="CDE52" s="280"/>
      <c r="CDF52" s="280"/>
      <c r="CDG52" s="280"/>
      <c r="CDH52" s="280"/>
      <c r="CDI52" s="280"/>
      <c r="CDJ52" s="280"/>
      <c r="CDK52" s="280"/>
      <c r="CDL52" s="280"/>
      <c r="CDM52" s="280"/>
      <c r="CDN52" s="280"/>
      <c r="CDO52" s="280"/>
      <c r="CDP52" s="280"/>
      <c r="CDQ52" s="280"/>
      <c r="CDR52" s="280"/>
      <c r="CDS52" s="280"/>
      <c r="CDT52" s="280"/>
      <c r="CDU52" s="280"/>
      <c r="CDV52" s="280"/>
      <c r="CDW52" s="280"/>
      <c r="CDX52" s="280"/>
      <c r="CDY52" s="280"/>
      <c r="CDZ52" s="280"/>
      <c r="CEA52" s="280"/>
      <c r="CEB52" s="280"/>
      <c r="CEC52" s="280"/>
      <c r="CED52" s="280"/>
      <c r="CEE52" s="280"/>
      <c r="CEF52" s="280"/>
      <c r="CEG52" s="280"/>
      <c r="CEH52" s="280"/>
      <c r="CEI52" s="280"/>
      <c r="CEJ52" s="280"/>
      <c r="CEK52" s="280"/>
      <c r="CEL52" s="280"/>
      <c r="CEM52" s="280"/>
      <c r="CEN52" s="280"/>
      <c r="CEO52" s="280"/>
      <c r="CEP52" s="280"/>
      <c r="CEQ52" s="280"/>
      <c r="CER52" s="280"/>
      <c r="CES52" s="280"/>
      <c r="CET52" s="280"/>
      <c r="CEU52" s="280"/>
      <c r="CEV52" s="280"/>
      <c r="CEW52" s="280"/>
      <c r="CEX52" s="280"/>
      <c r="CEY52" s="280"/>
      <c r="CEZ52" s="280"/>
      <c r="CFA52" s="280"/>
      <c r="CFB52" s="280"/>
      <c r="CFC52" s="280"/>
      <c r="CFD52" s="280"/>
      <c r="CFE52" s="280"/>
      <c r="CFF52" s="280"/>
      <c r="CFG52" s="280"/>
      <c r="CFH52" s="280"/>
      <c r="CFI52" s="280"/>
      <c r="CFJ52" s="280"/>
      <c r="CFK52" s="280"/>
      <c r="CFL52" s="280"/>
      <c r="CFM52" s="280"/>
      <c r="CFN52" s="280"/>
      <c r="CFO52" s="280"/>
      <c r="CFP52" s="280"/>
      <c r="CFQ52" s="280"/>
      <c r="CFR52" s="280"/>
      <c r="CFS52" s="280"/>
      <c r="CFT52" s="280"/>
      <c r="CFU52" s="280"/>
      <c r="CFV52" s="280"/>
      <c r="CFW52" s="280"/>
      <c r="CFX52" s="280"/>
      <c r="CFY52" s="280"/>
      <c r="CFZ52" s="280"/>
      <c r="CGA52" s="280"/>
      <c r="CGB52" s="280"/>
      <c r="CGC52" s="280"/>
      <c r="CGD52" s="280"/>
      <c r="CGE52" s="280"/>
      <c r="CGF52" s="280"/>
      <c r="CGG52" s="280"/>
      <c r="CGH52" s="280"/>
      <c r="CGI52" s="280"/>
      <c r="CGJ52" s="280"/>
      <c r="CGK52" s="280"/>
      <c r="CGL52" s="280"/>
      <c r="CGM52" s="280"/>
      <c r="CGN52" s="280"/>
      <c r="CGO52" s="280"/>
      <c r="CGP52" s="280"/>
      <c r="CGQ52" s="280"/>
      <c r="CGR52" s="280"/>
      <c r="CGS52" s="280"/>
      <c r="CGT52" s="280"/>
      <c r="CGU52" s="280"/>
      <c r="CGV52" s="280"/>
      <c r="CGW52" s="280"/>
      <c r="CGX52" s="280"/>
      <c r="CGY52" s="280"/>
      <c r="CGZ52" s="280"/>
      <c r="CHA52" s="280"/>
      <c r="CHB52" s="280"/>
      <c r="CHC52" s="280"/>
      <c r="CHD52" s="280"/>
      <c r="CHE52" s="280"/>
      <c r="CHF52" s="280"/>
      <c r="CHG52" s="280"/>
      <c r="CHH52" s="280"/>
      <c r="CHI52" s="280"/>
      <c r="CHJ52" s="280"/>
      <c r="CHK52" s="280"/>
      <c r="CHL52" s="280"/>
      <c r="CHM52" s="280"/>
      <c r="CHN52" s="280"/>
      <c r="CHO52" s="280"/>
      <c r="CHP52" s="280"/>
      <c r="CHQ52" s="280"/>
      <c r="CHR52" s="280"/>
      <c r="CHS52" s="280"/>
      <c r="CHT52" s="280"/>
      <c r="CHU52" s="280"/>
      <c r="CHV52" s="280"/>
      <c r="CHW52" s="280"/>
      <c r="CHX52" s="280"/>
      <c r="CHY52" s="280"/>
      <c r="CHZ52" s="280"/>
      <c r="CIA52" s="280"/>
      <c r="CIB52" s="280"/>
      <c r="CIC52" s="280"/>
      <c r="CID52" s="280"/>
      <c r="CIE52" s="280"/>
      <c r="CIF52" s="280"/>
      <c r="CIG52" s="280"/>
      <c r="CIH52" s="280"/>
      <c r="CII52" s="280"/>
      <c r="CIJ52" s="280"/>
      <c r="CIK52" s="280"/>
      <c r="CIL52" s="280"/>
      <c r="CIM52" s="280"/>
      <c r="CIN52" s="280"/>
      <c r="CIO52" s="280"/>
      <c r="CIP52" s="280"/>
      <c r="CIQ52" s="280"/>
      <c r="CIR52" s="280"/>
      <c r="CIS52" s="280"/>
      <c r="CIT52" s="280"/>
      <c r="CIU52" s="280"/>
      <c r="CIV52" s="280"/>
      <c r="CIW52" s="280"/>
      <c r="CIX52" s="280"/>
      <c r="CIY52" s="280"/>
      <c r="CIZ52" s="280"/>
      <c r="CJA52" s="280"/>
      <c r="CJB52" s="280"/>
      <c r="CJC52" s="280"/>
      <c r="CJD52" s="280"/>
      <c r="CJE52" s="280"/>
      <c r="CJF52" s="280"/>
      <c r="CJG52" s="280"/>
      <c r="CJH52" s="280"/>
      <c r="CJI52" s="280"/>
      <c r="CJJ52" s="280"/>
      <c r="CJK52" s="280"/>
      <c r="CJL52" s="280"/>
      <c r="CJM52" s="280"/>
      <c r="CJN52" s="280"/>
      <c r="CJO52" s="280"/>
      <c r="CJP52" s="280"/>
      <c r="CJQ52" s="280"/>
      <c r="CJR52" s="280"/>
      <c r="CJS52" s="280"/>
      <c r="CJT52" s="280"/>
      <c r="CJU52" s="280"/>
      <c r="CJV52" s="280"/>
      <c r="CJW52" s="280"/>
      <c r="CJX52" s="280"/>
      <c r="CJY52" s="280"/>
      <c r="CJZ52" s="280"/>
      <c r="CKA52" s="280"/>
      <c r="CKB52" s="280"/>
      <c r="CKC52" s="280"/>
      <c r="CKD52" s="280"/>
      <c r="CKE52" s="280"/>
      <c r="CKF52" s="280"/>
      <c r="CKG52" s="280"/>
      <c r="CKH52" s="280"/>
      <c r="CKI52" s="280"/>
      <c r="CKJ52" s="280"/>
      <c r="CKK52" s="280"/>
      <c r="CKL52" s="280"/>
      <c r="CKM52" s="280"/>
      <c r="CKN52" s="280"/>
      <c r="CKO52" s="280"/>
      <c r="CKP52" s="280"/>
      <c r="CKQ52" s="280"/>
      <c r="CKR52" s="280"/>
      <c r="CKS52" s="280"/>
      <c r="CKT52" s="280"/>
      <c r="CKU52" s="280"/>
      <c r="CKV52" s="280"/>
      <c r="CKW52" s="280"/>
      <c r="CKX52" s="280"/>
      <c r="CKY52" s="280"/>
      <c r="CKZ52" s="280"/>
      <c r="CLA52" s="280"/>
      <c r="CLB52" s="280"/>
      <c r="CLC52" s="280"/>
      <c r="CLD52" s="280"/>
      <c r="CLE52" s="280"/>
      <c r="CLF52" s="280"/>
      <c r="CLG52" s="280"/>
      <c r="CLH52" s="280"/>
      <c r="CLI52" s="280"/>
      <c r="CLJ52" s="280"/>
      <c r="CLK52" s="280"/>
      <c r="CLL52" s="280"/>
      <c r="CLM52" s="280"/>
      <c r="CLN52" s="280"/>
      <c r="CLO52" s="280"/>
      <c r="CLP52" s="280"/>
      <c r="CLQ52" s="280"/>
      <c r="CLR52" s="280"/>
      <c r="CLS52" s="280"/>
      <c r="CLT52" s="280"/>
      <c r="CLU52" s="280"/>
      <c r="CLV52" s="280"/>
      <c r="CLW52" s="280"/>
      <c r="CLX52" s="280"/>
      <c r="CLY52" s="280"/>
      <c r="CLZ52" s="280"/>
      <c r="CMA52" s="280"/>
      <c r="CMB52" s="280"/>
      <c r="CMC52" s="280"/>
      <c r="CMD52" s="280"/>
      <c r="CME52" s="280"/>
      <c r="CMF52" s="280"/>
      <c r="CMG52" s="280"/>
      <c r="CMH52" s="280"/>
      <c r="CMI52" s="280"/>
      <c r="CMJ52" s="280"/>
      <c r="CMK52" s="280"/>
      <c r="CML52" s="280"/>
      <c r="CMM52" s="280"/>
      <c r="CMN52" s="280"/>
      <c r="CMO52" s="280"/>
      <c r="CMP52" s="280"/>
      <c r="CMQ52" s="280"/>
      <c r="CMR52" s="280"/>
      <c r="CMS52" s="280"/>
      <c r="CMT52" s="280"/>
      <c r="CMU52" s="280"/>
      <c r="CMV52" s="280"/>
      <c r="CMW52" s="280"/>
      <c r="CMX52" s="280"/>
      <c r="CMY52" s="280"/>
      <c r="CMZ52" s="280"/>
      <c r="CNA52" s="280"/>
      <c r="CNB52" s="280"/>
      <c r="CNC52" s="280"/>
      <c r="CND52" s="280"/>
      <c r="CNE52" s="280"/>
      <c r="CNF52" s="280"/>
      <c r="CNG52" s="280"/>
      <c r="CNH52" s="280"/>
      <c r="CNI52" s="280"/>
      <c r="CNJ52" s="280"/>
      <c r="CNK52" s="280"/>
      <c r="CNL52" s="280"/>
      <c r="CNM52" s="280"/>
      <c r="CNN52" s="280"/>
      <c r="CNO52" s="280"/>
      <c r="CNP52" s="280"/>
      <c r="CNQ52" s="280"/>
      <c r="CNR52" s="280"/>
      <c r="CNS52" s="280"/>
      <c r="CNT52" s="280"/>
      <c r="CNU52" s="280"/>
      <c r="CNV52" s="280"/>
      <c r="CNW52" s="280"/>
      <c r="CNX52" s="280"/>
      <c r="CNY52" s="280"/>
      <c r="CNZ52" s="280"/>
      <c r="COA52" s="280"/>
      <c r="COB52" s="280"/>
      <c r="COC52" s="280"/>
      <c r="COD52" s="280"/>
      <c r="COE52" s="280"/>
      <c r="COF52" s="280"/>
      <c r="COG52" s="280"/>
      <c r="COH52" s="280"/>
      <c r="COI52" s="280"/>
    </row>
    <row r="53" spans="1:2427" x14ac:dyDescent="0.25">
      <c r="A53" s="1319" t="s">
        <v>1031</v>
      </c>
      <c r="B53" s="1313">
        <f>+'NEW Spring CHP by DISC'!B53/15</f>
        <v>1.0666666666666667</v>
      </c>
      <c r="C53" s="1313">
        <f>+'NEW Spring CHP by DISC'!C53/15</f>
        <v>2.7333333333333334</v>
      </c>
      <c r="D53" s="1313">
        <f>+'NEW Spring CHP by DISC'!D53/12</f>
        <v>0</v>
      </c>
      <c r="E53" s="1311">
        <f>SUM(B53:D53)</f>
        <v>3.8</v>
      </c>
      <c r="F53" s="1313">
        <f>+'NEW Spring CHP by DISC'!F53/15</f>
        <v>3.9333333333333331</v>
      </c>
      <c r="G53" s="1313">
        <f>+'NEW Spring CHP by DISC'!G53/15</f>
        <v>0.73333333333333328</v>
      </c>
      <c r="H53" s="1313">
        <f>+'NEW Spring CHP by DISC'!H53/12</f>
        <v>0</v>
      </c>
      <c r="I53" s="1313">
        <f>SUM(F53:H53)</f>
        <v>4.6666666666666661</v>
      </c>
      <c r="J53" s="1307">
        <f>IF(E53&gt;0,(I53-E53)/E53,(IF(I53=0,"N/A",100%)))</f>
        <v>0.2280701754385964</v>
      </c>
      <c r="K53" s="772">
        <f>+'NEW Spring CHP by DISC'!K53/15</f>
        <v>0</v>
      </c>
      <c r="L53" s="1313">
        <f>+'NEW Spring CHP by DISC'!L53/15</f>
        <v>1.2</v>
      </c>
      <c r="M53" s="1313">
        <f>+'NEW Spring CHP by DISC'!M53/12</f>
        <v>0</v>
      </c>
      <c r="N53" s="1313">
        <f>SUM(K53:M53)</f>
        <v>1.2</v>
      </c>
      <c r="O53" s="1339">
        <f>IF(I53&gt;0,(N53-I53)/I53,(IF(N53=0,"N/A",100%)))</f>
        <v>-0.74285714285714277</v>
      </c>
      <c r="P53" s="772">
        <f>+'NEW Spring CHP by DISC'!P53/15</f>
        <v>5.8</v>
      </c>
      <c r="Q53" s="1313">
        <f>+'NEW Spring CHP by DISC'!Q53/15</f>
        <v>1.6666666666666667</v>
      </c>
      <c r="R53" s="1313">
        <f>+'NEW Spring CHP by DISC'!R53/12</f>
        <v>0</v>
      </c>
      <c r="S53" s="1313">
        <f>SUM(P53:R53)</f>
        <v>7.4666666666666668</v>
      </c>
      <c r="T53" s="1307">
        <f>IF(N53&gt;0,(S53-N53)/N53,(IF(S53=0,"N/A",100%)))</f>
        <v>5.2222222222222223</v>
      </c>
      <c r="U53" s="1313">
        <f>+'NEW Spring CHP by DISC'!U53/15</f>
        <v>10.6</v>
      </c>
      <c r="V53" s="1313">
        <f>+'NEW Spring CHP by DISC'!V53/15</f>
        <v>4</v>
      </c>
      <c r="W53" s="1313">
        <f>+'NEW Spring CHP by DISC'!W53/12</f>
        <v>0</v>
      </c>
      <c r="X53" s="1313">
        <f>SUM(U53:W53)</f>
        <v>14.6</v>
      </c>
      <c r="Y53" s="1307">
        <f>IF(S53&gt;0,(X53-S53)/S53,(IF(X53=0,"N/A",100%)))</f>
        <v>0.95535714285714279</v>
      </c>
      <c r="Z53" s="1312">
        <f>+'NEW Spring CHP by DISC'!Z53/15</f>
        <v>5.2</v>
      </c>
      <c r="AA53" s="1312">
        <f>+'NEW Spring CHP by DISC'!AA53/15</f>
        <v>1.4</v>
      </c>
      <c r="AB53" s="1312">
        <f>+'NEW Spring CHP by DISC'!AB53/12</f>
        <v>0</v>
      </c>
      <c r="AC53" s="1312">
        <f>SUM(Z53:AB53)</f>
        <v>6.6</v>
      </c>
      <c r="AD53" s="1320">
        <f>IF(X53&gt;0,(AC53-X53)/X53,(IF(AC53=0,"N/A",100%)))</f>
        <v>-0.54794520547945202</v>
      </c>
      <c r="AE53" s="1312">
        <f>+'NEW Spring CHP by DISC'!AE53/15</f>
        <v>9.3333333333333339</v>
      </c>
      <c r="AF53" s="1312">
        <f>+'NEW Spring CHP by DISC'!AF53/15</f>
        <v>3.2</v>
      </c>
      <c r="AG53" s="1312">
        <f>+'NEW Spring CHP by DISC'!AG53/12</f>
        <v>0</v>
      </c>
      <c r="AH53" s="1312">
        <f>SUM(AE53:AG53)</f>
        <v>12.533333333333335</v>
      </c>
      <c r="AI53" s="1320">
        <f>IF(AC53&gt;0,(AH53-AC53)/AC53,(IF(AH53=0,"N/A",100%)))</f>
        <v>0.89898989898989934</v>
      </c>
      <c r="AJ53" s="1312">
        <f>+'NEW Spring CHP by DISC'!AJ53/15</f>
        <v>9.8000000000000007</v>
      </c>
      <c r="AK53" s="1312">
        <f>+'NEW Spring CHP by DISC'!AK53/15</f>
        <v>2.5333333333333332</v>
      </c>
      <c r="AL53" s="1312">
        <f>+'NEW Spring CHP by DISC'!AL53/12</f>
        <v>0</v>
      </c>
      <c r="AM53" s="1312">
        <f>SUM(AJ53:AL53)</f>
        <v>12.333333333333334</v>
      </c>
      <c r="AN53" s="1320">
        <f>IF(AH53&gt;0,(AM53-AH53)/AH53,(IF(AM53=0,"N/A",100%)))</f>
        <v>-1.595744680851072E-2</v>
      </c>
      <c r="AO53" s="1312">
        <f>+'NEW Spring CHP by DISC'!AO53/15</f>
        <v>0</v>
      </c>
      <c r="AP53" s="1312">
        <f>+'NEW Spring CHP by DISC'!AP53/15</f>
        <v>0</v>
      </c>
      <c r="AQ53" s="1312">
        <f>+'NEW Spring CHP by DISC'!AQ53/12</f>
        <v>0</v>
      </c>
      <c r="AR53" s="1312">
        <f>SUM(AO53:AQ53)</f>
        <v>0</v>
      </c>
      <c r="AS53" s="1320">
        <f>IF(AM53&gt;0,(AR53-AM53)/AM53,(IF(AR53=0,"N/A",100%)))</f>
        <v>-1</v>
      </c>
      <c r="AT53" s="280"/>
      <c r="AU53" s="280"/>
      <c r="AV53" s="280"/>
      <c r="AW53" s="280"/>
      <c r="AX53" s="280"/>
      <c r="AY53" s="280"/>
      <c r="AZ53" s="280"/>
      <c r="BA53" s="280"/>
      <c r="BB53" s="280"/>
      <c r="BC53" s="280"/>
      <c r="BD53" s="280"/>
      <c r="BE53" s="280"/>
      <c r="BF53" s="280"/>
      <c r="BG53" s="280"/>
      <c r="BH53" s="280"/>
      <c r="BI53" s="280"/>
      <c r="BJ53" s="280"/>
      <c r="BK53" s="280"/>
      <c r="BL53" s="280"/>
      <c r="BM53" s="280"/>
      <c r="BN53" s="280"/>
      <c r="BO53" s="280"/>
      <c r="BP53" s="280"/>
      <c r="BQ53" s="280"/>
      <c r="BR53" s="280"/>
      <c r="BS53" s="280"/>
      <c r="BT53" s="280"/>
      <c r="BU53" s="280"/>
      <c r="BV53" s="280"/>
      <c r="BW53" s="280"/>
      <c r="BX53" s="280"/>
      <c r="BY53" s="280"/>
      <c r="BZ53" s="280"/>
      <c r="CA53" s="280"/>
      <c r="CB53" s="280"/>
      <c r="CC53" s="280"/>
      <c r="CD53" s="280"/>
      <c r="CE53" s="280"/>
      <c r="CF53" s="280"/>
      <c r="CG53" s="280"/>
      <c r="CH53" s="280"/>
      <c r="CI53" s="280"/>
      <c r="CJ53" s="280"/>
      <c r="CK53" s="280"/>
      <c r="CL53" s="280"/>
      <c r="CM53" s="280"/>
      <c r="CN53" s="280"/>
      <c r="CO53" s="280"/>
      <c r="CP53" s="280"/>
      <c r="CQ53" s="280"/>
      <c r="CR53" s="280"/>
      <c r="CS53" s="280"/>
      <c r="CT53" s="280"/>
      <c r="CU53" s="280"/>
      <c r="CV53" s="280"/>
      <c r="CW53" s="280"/>
      <c r="CX53" s="280"/>
      <c r="CY53" s="280"/>
      <c r="CZ53" s="280"/>
      <c r="DA53" s="280"/>
      <c r="DB53" s="280"/>
      <c r="DC53" s="280"/>
      <c r="DD53" s="280"/>
      <c r="DE53" s="280"/>
      <c r="DF53" s="280"/>
      <c r="DG53" s="280"/>
      <c r="DH53" s="280"/>
      <c r="DI53" s="280"/>
      <c r="DJ53" s="280"/>
      <c r="DK53" s="280"/>
      <c r="DL53" s="280"/>
      <c r="DM53" s="280"/>
      <c r="DN53" s="280"/>
      <c r="DO53" s="280"/>
      <c r="DP53" s="280"/>
      <c r="DQ53" s="280"/>
      <c r="DR53" s="280"/>
      <c r="DS53" s="280"/>
      <c r="DT53" s="280"/>
      <c r="DU53" s="280"/>
      <c r="DV53" s="280"/>
      <c r="DW53" s="280"/>
      <c r="DX53" s="280"/>
      <c r="DY53" s="280"/>
      <c r="DZ53" s="280"/>
      <c r="EA53" s="280"/>
      <c r="EB53" s="280"/>
      <c r="EC53" s="280"/>
      <c r="ED53" s="280"/>
      <c r="EE53" s="280"/>
      <c r="EF53" s="280"/>
      <c r="EG53" s="280"/>
      <c r="EH53" s="280"/>
      <c r="EI53" s="280"/>
      <c r="EJ53" s="280"/>
      <c r="EK53" s="280"/>
      <c r="EL53" s="280"/>
      <c r="EM53" s="280"/>
      <c r="EN53" s="280"/>
      <c r="EO53" s="280"/>
      <c r="EP53" s="280"/>
      <c r="EQ53" s="280"/>
      <c r="ER53" s="280"/>
      <c r="ES53" s="280"/>
      <c r="ET53" s="280"/>
      <c r="EU53" s="280"/>
      <c r="EV53" s="280"/>
      <c r="EW53" s="280"/>
      <c r="EX53" s="280"/>
      <c r="EY53" s="280"/>
      <c r="EZ53" s="280"/>
      <c r="FA53" s="280"/>
      <c r="FB53" s="280"/>
      <c r="FC53" s="280"/>
      <c r="FD53" s="280"/>
      <c r="FE53" s="280"/>
      <c r="FF53" s="280"/>
      <c r="FG53" s="280"/>
      <c r="FH53" s="280"/>
      <c r="FI53" s="280"/>
      <c r="FJ53" s="280"/>
      <c r="FK53" s="280"/>
      <c r="FL53" s="280"/>
      <c r="FM53" s="280"/>
      <c r="FN53" s="280"/>
      <c r="FO53" s="280"/>
      <c r="FP53" s="280"/>
      <c r="FQ53" s="280"/>
      <c r="FR53" s="280"/>
      <c r="FS53" s="280"/>
      <c r="FT53" s="280"/>
      <c r="FU53" s="280"/>
      <c r="FV53" s="280"/>
      <c r="FW53" s="280"/>
      <c r="FX53" s="280"/>
      <c r="FY53" s="280"/>
      <c r="FZ53" s="280"/>
      <c r="GA53" s="280"/>
      <c r="GB53" s="280"/>
      <c r="GC53" s="280"/>
      <c r="GD53" s="280"/>
      <c r="GE53" s="280"/>
      <c r="GF53" s="280"/>
      <c r="GG53" s="280"/>
      <c r="GH53" s="280"/>
      <c r="GI53" s="280"/>
      <c r="GJ53" s="280"/>
      <c r="GK53" s="280"/>
      <c r="GL53" s="280"/>
      <c r="GM53" s="280"/>
      <c r="GN53" s="280"/>
      <c r="GO53" s="280"/>
      <c r="GP53" s="280"/>
      <c r="GQ53" s="280"/>
      <c r="GR53" s="280"/>
      <c r="GS53" s="280"/>
      <c r="GT53" s="280"/>
      <c r="GU53" s="280"/>
      <c r="GV53" s="280"/>
      <c r="GW53" s="280"/>
      <c r="GX53" s="280"/>
      <c r="GY53" s="280"/>
      <c r="GZ53" s="280"/>
      <c r="HA53" s="280"/>
      <c r="HB53" s="280"/>
      <c r="HC53" s="280"/>
      <c r="HD53" s="280"/>
      <c r="HE53" s="280"/>
      <c r="HF53" s="280"/>
      <c r="HG53" s="280"/>
      <c r="HH53" s="280"/>
      <c r="HI53" s="280"/>
      <c r="HJ53" s="280"/>
      <c r="HK53" s="280"/>
      <c r="HL53" s="280"/>
      <c r="HM53" s="280"/>
      <c r="HN53" s="280"/>
      <c r="HO53" s="280"/>
      <c r="HP53" s="280"/>
      <c r="HQ53" s="280"/>
      <c r="HR53" s="280"/>
      <c r="HS53" s="280"/>
      <c r="HT53" s="280"/>
      <c r="HU53" s="280"/>
      <c r="HV53" s="280"/>
      <c r="HW53" s="280"/>
      <c r="HX53" s="280"/>
      <c r="HY53" s="280"/>
      <c r="HZ53" s="280"/>
      <c r="IA53" s="280"/>
      <c r="IB53" s="280"/>
      <c r="IC53" s="280"/>
      <c r="ID53" s="280"/>
      <c r="IE53" s="280"/>
      <c r="IF53" s="280"/>
      <c r="IG53" s="280"/>
      <c r="IH53" s="280"/>
      <c r="II53" s="280"/>
      <c r="IJ53" s="280"/>
      <c r="IK53" s="280"/>
      <c r="IL53" s="280"/>
      <c r="IM53" s="280"/>
      <c r="IN53" s="280"/>
      <c r="IO53" s="280"/>
      <c r="IP53" s="280"/>
      <c r="IQ53" s="280"/>
      <c r="IR53" s="280"/>
      <c r="IS53" s="280"/>
      <c r="IT53" s="280"/>
      <c r="IU53" s="280"/>
      <c r="IV53" s="280"/>
      <c r="IW53" s="280"/>
      <c r="IX53" s="280"/>
      <c r="IY53" s="280"/>
      <c r="IZ53" s="280"/>
      <c r="JA53" s="280"/>
      <c r="JB53" s="280"/>
      <c r="JC53" s="280"/>
      <c r="JD53" s="280"/>
      <c r="JE53" s="280"/>
      <c r="JF53" s="280"/>
      <c r="JG53" s="280"/>
      <c r="JH53" s="280"/>
      <c r="JI53" s="280"/>
      <c r="JJ53" s="280"/>
      <c r="JK53" s="280"/>
      <c r="JL53" s="280"/>
      <c r="JM53" s="280"/>
      <c r="JN53" s="280"/>
      <c r="JO53" s="280"/>
      <c r="JP53" s="280"/>
      <c r="JQ53" s="280"/>
      <c r="JR53" s="280"/>
      <c r="JS53" s="280"/>
      <c r="JT53" s="280"/>
      <c r="JU53" s="280"/>
      <c r="JV53" s="280"/>
      <c r="JW53" s="280"/>
      <c r="JX53" s="280"/>
      <c r="JY53" s="280"/>
      <c r="JZ53" s="280"/>
      <c r="KA53" s="280"/>
      <c r="KB53" s="280"/>
      <c r="KC53" s="280"/>
      <c r="KD53" s="280"/>
      <c r="KE53" s="280"/>
      <c r="KF53" s="280"/>
      <c r="KG53" s="280"/>
      <c r="KH53" s="280"/>
      <c r="KI53" s="280"/>
      <c r="KJ53" s="280"/>
      <c r="KK53" s="280"/>
      <c r="KL53" s="280"/>
      <c r="KM53" s="280"/>
      <c r="KN53" s="280"/>
      <c r="KO53" s="280"/>
      <c r="KP53" s="280"/>
      <c r="KQ53" s="280"/>
      <c r="KR53" s="280"/>
      <c r="KS53" s="280"/>
      <c r="KT53" s="280"/>
      <c r="KU53" s="280"/>
      <c r="KV53" s="280"/>
      <c r="KW53" s="280"/>
      <c r="KX53" s="280"/>
      <c r="KY53" s="280"/>
      <c r="KZ53" s="280"/>
      <c r="LA53" s="280"/>
      <c r="LB53" s="280"/>
      <c r="LC53" s="280"/>
      <c r="LD53" s="280"/>
      <c r="LE53" s="280"/>
      <c r="LF53" s="280"/>
      <c r="LG53" s="280"/>
      <c r="LH53" s="280"/>
      <c r="LI53" s="280"/>
      <c r="LJ53" s="280"/>
      <c r="LK53" s="280"/>
      <c r="LL53" s="280"/>
      <c r="LM53" s="280"/>
      <c r="LN53" s="280"/>
      <c r="LO53" s="280"/>
      <c r="LP53" s="280"/>
      <c r="LQ53" s="280"/>
      <c r="LR53" s="280"/>
      <c r="LS53" s="280"/>
      <c r="LT53" s="280"/>
      <c r="LU53" s="280"/>
      <c r="LV53" s="280"/>
      <c r="LW53" s="280"/>
      <c r="LX53" s="280"/>
      <c r="LY53" s="280"/>
      <c r="LZ53" s="280"/>
      <c r="MA53" s="280"/>
      <c r="MB53" s="280"/>
      <c r="MC53" s="280"/>
      <c r="MD53" s="280"/>
      <c r="ME53" s="280"/>
      <c r="MF53" s="280"/>
      <c r="MG53" s="280"/>
      <c r="MH53" s="280"/>
      <c r="MI53" s="280"/>
      <c r="MJ53" s="280"/>
      <c r="MK53" s="280"/>
      <c r="ML53" s="280"/>
      <c r="MM53" s="280"/>
      <c r="MN53" s="280"/>
      <c r="MO53" s="280"/>
      <c r="MP53" s="280"/>
      <c r="MQ53" s="280"/>
      <c r="MR53" s="280"/>
      <c r="MS53" s="280"/>
      <c r="MT53" s="280"/>
      <c r="MU53" s="280"/>
      <c r="MV53" s="280"/>
      <c r="MW53" s="280"/>
      <c r="MX53" s="280"/>
      <c r="MY53" s="280"/>
      <c r="MZ53" s="280"/>
      <c r="NA53" s="280"/>
      <c r="NB53" s="280"/>
      <c r="NC53" s="280"/>
      <c r="ND53" s="280"/>
      <c r="NE53" s="280"/>
      <c r="NF53" s="280"/>
      <c r="NG53" s="280"/>
      <c r="NH53" s="280"/>
      <c r="NI53" s="280"/>
      <c r="NJ53" s="280"/>
      <c r="NK53" s="280"/>
      <c r="NL53" s="280"/>
      <c r="NM53" s="280"/>
      <c r="NN53" s="280"/>
      <c r="NO53" s="280"/>
      <c r="NP53" s="280"/>
      <c r="NQ53" s="280"/>
      <c r="NR53" s="280"/>
      <c r="NS53" s="280"/>
      <c r="NT53" s="280"/>
      <c r="NU53" s="280"/>
      <c r="NV53" s="280"/>
      <c r="NW53" s="280"/>
      <c r="NX53" s="280"/>
      <c r="NY53" s="280"/>
      <c r="NZ53" s="280"/>
      <c r="OA53" s="280"/>
      <c r="OB53" s="280"/>
      <c r="OC53" s="280"/>
      <c r="OD53" s="280"/>
      <c r="OE53" s="280"/>
      <c r="OF53" s="280"/>
      <c r="OG53" s="280"/>
      <c r="OH53" s="280"/>
      <c r="OI53" s="280"/>
      <c r="OJ53" s="280"/>
      <c r="OK53" s="280"/>
      <c r="OL53" s="280"/>
      <c r="OM53" s="280"/>
      <c r="ON53" s="280"/>
      <c r="OO53" s="280"/>
      <c r="OP53" s="280"/>
      <c r="OQ53" s="280"/>
      <c r="OR53" s="280"/>
      <c r="OS53" s="280"/>
      <c r="OT53" s="280"/>
      <c r="OU53" s="280"/>
      <c r="OV53" s="280"/>
      <c r="OW53" s="280"/>
      <c r="OX53" s="280"/>
      <c r="OY53" s="280"/>
      <c r="OZ53" s="280"/>
      <c r="PA53" s="280"/>
      <c r="PB53" s="280"/>
      <c r="PC53" s="280"/>
      <c r="PD53" s="280"/>
      <c r="PE53" s="280"/>
      <c r="PF53" s="280"/>
      <c r="PG53" s="280"/>
      <c r="PH53" s="280"/>
      <c r="PI53" s="280"/>
      <c r="PJ53" s="280"/>
      <c r="PK53" s="280"/>
      <c r="PL53" s="280"/>
      <c r="PM53" s="280"/>
      <c r="PN53" s="280"/>
      <c r="PO53" s="280"/>
      <c r="PP53" s="280"/>
      <c r="PQ53" s="280"/>
      <c r="PR53" s="280"/>
      <c r="PS53" s="280"/>
      <c r="PT53" s="280"/>
      <c r="PU53" s="280"/>
      <c r="PV53" s="280"/>
      <c r="PW53" s="280"/>
      <c r="PX53" s="280"/>
      <c r="PY53" s="280"/>
      <c r="PZ53" s="280"/>
      <c r="QA53" s="280"/>
      <c r="QB53" s="280"/>
      <c r="QC53" s="280"/>
      <c r="QD53" s="280"/>
      <c r="QE53" s="280"/>
      <c r="QF53" s="280"/>
      <c r="QG53" s="280"/>
      <c r="QH53" s="280"/>
      <c r="QI53" s="280"/>
      <c r="QJ53" s="280"/>
      <c r="QK53" s="280"/>
      <c r="QL53" s="280"/>
      <c r="QM53" s="280"/>
      <c r="QN53" s="280"/>
      <c r="QO53" s="280"/>
      <c r="QP53" s="280"/>
      <c r="QQ53" s="280"/>
      <c r="QR53" s="280"/>
      <c r="QS53" s="280"/>
      <c r="QT53" s="280"/>
      <c r="QU53" s="280"/>
      <c r="QV53" s="280"/>
      <c r="QW53" s="280"/>
      <c r="QX53" s="280"/>
      <c r="QY53" s="280"/>
      <c r="QZ53" s="280"/>
      <c r="RA53" s="280"/>
      <c r="RB53" s="280"/>
      <c r="RC53" s="280"/>
      <c r="RD53" s="280"/>
      <c r="RE53" s="280"/>
      <c r="RF53" s="280"/>
      <c r="RG53" s="280"/>
      <c r="RH53" s="280"/>
      <c r="RI53" s="280"/>
      <c r="RJ53" s="280"/>
      <c r="RK53" s="280"/>
      <c r="RL53" s="280"/>
      <c r="RM53" s="280"/>
      <c r="RN53" s="280"/>
      <c r="RO53" s="280"/>
      <c r="RP53" s="280"/>
      <c r="RQ53" s="280"/>
      <c r="RR53" s="280"/>
      <c r="RS53" s="280"/>
      <c r="RT53" s="280"/>
      <c r="RU53" s="280"/>
      <c r="RV53" s="280"/>
      <c r="RW53" s="280"/>
      <c r="RX53" s="280"/>
      <c r="RY53" s="280"/>
      <c r="RZ53" s="280"/>
      <c r="SA53" s="280"/>
      <c r="SB53" s="280"/>
      <c r="SC53" s="280"/>
      <c r="SD53" s="280"/>
      <c r="SE53" s="280"/>
      <c r="SF53" s="280"/>
      <c r="SG53" s="280"/>
      <c r="SH53" s="280"/>
      <c r="SI53" s="280"/>
      <c r="SJ53" s="280"/>
      <c r="SK53" s="280"/>
      <c r="SL53" s="280"/>
      <c r="SM53" s="280"/>
      <c r="SN53" s="280"/>
      <c r="SO53" s="280"/>
      <c r="SP53" s="280"/>
      <c r="SQ53" s="280"/>
      <c r="SR53" s="280"/>
      <c r="SS53" s="280"/>
      <c r="ST53" s="280"/>
      <c r="SU53" s="280"/>
      <c r="SV53" s="280"/>
      <c r="SW53" s="280"/>
      <c r="SX53" s="280"/>
      <c r="SY53" s="280"/>
      <c r="SZ53" s="280"/>
      <c r="TA53" s="280"/>
      <c r="TB53" s="280"/>
      <c r="TC53" s="280"/>
      <c r="TD53" s="280"/>
      <c r="TE53" s="280"/>
      <c r="TF53" s="280"/>
      <c r="TG53" s="280"/>
      <c r="TH53" s="280"/>
      <c r="TI53" s="280"/>
      <c r="TJ53" s="280"/>
      <c r="TK53" s="280"/>
      <c r="TL53" s="280"/>
      <c r="TM53" s="280"/>
      <c r="TN53" s="280"/>
      <c r="TO53" s="280"/>
      <c r="TP53" s="280"/>
      <c r="TQ53" s="280"/>
      <c r="TR53" s="280"/>
      <c r="TS53" s="280"/>
      <c r="TT53" s="280"/>
      <c r="TU53" s="280"/>
      <c r="TV53" s="280"/>
      <c r="TW53" s="280"/>
      <c r="TX53" s="280"/>
      <c r="TY53" s="280"/>
      <c r="TZ53" s="280"/>
      <c r="UA53" s="280"/>
      <c r="UB53" s="280"/>
      <c r="UC53" s="280"/>
      <c r="UD53" s="280"/>
      <c r="UE53" s="280"/>
      <c r="UF53" s="280"/>
      <c r="UG53" s="280"/>
      <c r="UH53" s="280"/>
      <c r="UI53" s="280"/>
      <c r="UJ53" s="280"/>
      <c r="UK53" s="280"/>
      <c r="UL53" s="280"/>
      <c r="UM53" s="280"/>
      <c r="UN53" s="280"/>
      <c r="UO53" s="280"/>
      <c r="UP53" s="280"/>
      <c r="UQ53" s="280"/>
      <c r="UR53" s="280"/>
      <c r="US53" s="280"/>
      <c r="UT53" s="280"/>
      <c r="UU53" s="280"/>
      <c r="UV53" s="280"/>
      <c r="UW53" s="280"/>
      <c r="UX53" s="280"/>
      <c r="UY53" s="280"/>
      <c r="UZ53" s="280"/>
      <c r="VA53" s="280"/>
      <c r="VB53" s="280"/>
      <c r="VC53" s="280"/>
      <c r="VD53" s="280"/>
      <c r="VE53" s="280"/>
      <c r="VF53" s="280"/>
      <c r="VG53" s="280"/>
      <c r="VH53" s="280"/>
      <c r="VI53" s="280"/>
      <c r="VJ53" s="280"/>
      <c r="VK53" s="280"/>
      <c r="VL53" s="280"/>
      <c r="VM53" s="280"/>
      <c r="VN53" s="280"/>
      <c r="VO53" s="280"/>
      <c r="VP53" s="280"/>
      <c r="VQ53" s="280"/>
      <c r="VR53" s="280"/>
      <c r="VS53" s="280"/>
      <c r="VT53" s="280"/>
      <c r="VU53" s="280"/>
      <c r="VV53" s="280"/>
      <c r="VW53" s="280"/>
      <c r="VX53" s="280"/>
      <c r="VY53" s="280"/>
      <c r="VZ53" s="280"/>
      <c r="WA53" s="280"/>
      <c r="WB53" s="280"/>
      <c r="WC53" s="280"/>
      <c r="WD53" s="280"/>
      <c r="WE53" s="280"/>
      <c r="WF53" s="280"/>
      <c r="WG53" s="280"/>
      <c r="WH53" s="280"/>
      <c r="WI53" s="280"/>
      <c r="WJ53" s="280"/>
      <c r="WK53" s="280"/>
      <c r="WL53" s="280"/>
      <c r="WM53" s="280"/>
      <c r="WN53" s="280"/>
      <c r="WO53" s="280"/>
      <c r="WP53" s="280"/>
      <c r="WQ53" s="280"/>
      <c r="WR53" s="280"/>
      <c r="WS53" s="280"/>
      <c r="WT53" s="280"/>
      <c r="WU53" s="280"/>
      <c r="WV53" s="280"/>
      <c r="WW53" s="280"/>
      <c r="WX53" s="280"/>
      <c r="WY53" s="280"/>
      <c r="WZ53" s="280"/>
      <c r="XA53" s="280"/>
      <c r="XB53" s="280"/>
      <c r="XC53" s="280"/>
      <c r="XD53" s="280"/>
      <c r="XE53" s="280"/>
      <c r="XF53" s="280"/>
      <c r="XG53" s="280"/>
      <c r="XH53" s="280"/>
      <c r="XI53" s="280"/>
      <c r="XJ53" s="280"/>
      <c r="XK53" s="280"/>
      <c r="XL53" s="280"/>
      <c r="XM53" s="280"/>
      <c r="XN53" s="280"/>
      <c r="XO53" s="280"/>
      <c r="XP53" s="280"/>
      <c r="XQ53" s="280"/>
      <c r="XR53" s="280"/>
      <c r="XS53" s="280"/>
      <c r="XT53" s="280"/>
      <c r="XU53" s="280"/>
      <c r="XV53" s="280"/>
      <c r="XW53" s="280"/>
      <c r="XX53" s="280"/>
      <c r="XY53" s="280"/>
      <c r="XZ53" s="280"/>
      <c r="YA53" s="280"/>
      <c r="YB53" s="280"/>
      <c r="YC53" s="280"/>
      <c r="YD53" s="280"/>
      <c r="YE53" s="280"/>
      <c r="YF53" s="280"/>
      <c r="YG53" s="280"/>
      <c r="YH53" s="280"/>
      <c r="YI53" s="280"/>
      <c r="YJ53" s="280"/>
      <c r="YK53" s="280"/>
      <c r="YL53" s="280"/>
      <c r="YM53" s="280"/>
      <c r="YN53" s="280"/>
      <c r="YO53" s="280"/>
      <c r="YP53" s="280"/>
      <c r="YQ53" s="280"/>
      <c r="YR53" s="280"/>
      <c r="YS53" s="280"/>
      <c r="YT53" s="280"/>
      <c r="YU53" s="280"/>
      <c r="YV53" s="280"/>
      <c r="YW53" s="280"/>
      <c r="YX53" s="280"/>
      <c r="YY53" s="280"/>
      <c r="YZ53" s="280"/>
      <c r="ZA53" s="280"/>
      <c r="ZB53" s="280"/>
      <c r="ZC53" s="280"/>
      <c r="ZD53" s="280"/>
      <c r="ZE53" s="280"/>
      <c r="ZF53" s="280"/>
      <c r="ZG53" s="280"/>
      <c r="ZH53" s="280"/>
      <c r="ZI53" s="280"/>
      <c r="ZJ53" s="280"/>
      <c r="ZK53" s="280"/>
      <c r="ZL53" s="280"/>
      <c r="ZM53" s="280"/>
      <c r="ZN53" s="280"/>
      <c r="ZO53" s="280"/>
      <c r="ZP53" s="280"/>
      <c r="ZQ53" s="280"/>
      <c r="ZR53" s="280"/>
      <c r="ZS53" s="280"/>
      <c r="ZT53" s="280"/>
      <c r="ZU53" s="280"/>
      <c r="ZV53" s="280"/>
      <c r="ZW53" s="280"/>
      <c r="ZX53" s="280"/>
      <c r="ZY53" s="280"/>
      <c r="ZZ53" s="280"/>
      <c r="AAA53" s="280"/>
      <c r="AAB53" s="280"/>
      <c r="AAC53" s="280"/>
      <c r="AAD53" s="280"/>
      <c r="AAE53" s="280"/>
      <c r="AAF53" s="280"/>
      <c r="AAG53" s="280"/>
      <c r="AAH53" s="280"/>
      <c r="AAI53" s="280"/>
      <c r="AAJ53" s="280"/>
      <c r="AAK53" s="280"/>
      <c r="AAL53" s="280"/>
      <c r="AAM53" s="280"/>
      <c r="AAN53" s="280"/>
      <c r="AAO53" s="280"/>
      <c r="AAP53" s="280"/>
      <c r="AAQ53" s="280"/>
      <c r="AAR53" s="280"/>
      <c r="AAS53" s="280"/>
      <c r="AAT53" s="280"/>
      <c r="AAU53" s="280"/>
      <c r="AAV53" s="280"/>
      <c r="AAW53" s="280"/>
      <c r="AAX53" s="280"/>
      <c r="AAY53" s="280"/>
      <c r="AAZ53" s="280"/>
      <c r="ABA53" s="280"/>
      <c r="ABB53" s="280"/>
      <c r="ABC53" s="280"/>
      <c r="ABD53" s="280"/>
      <c r="ABE53" s="280"/>
      <c r="ABF53" s="280"/>
      <c r="ABG53" s="280"/>
      <c r="ABH53" s="280"/>
      <c r="ABI53" s="280"/>
      <c r="ABJ53" s="280"/>
      <c r="ABK53" s="280"/>
      <c r="ABL53" s="280"/>
      <c r="ABM53" s="280"/>
      <c r="ABN53" s="280"/>
      <c r="ABO53" s="280"/>
      <c r="ABP53" s="280"/>
      <c r="ABQ53" s="280"/>
      <c r="ABR53" s="280"/>
      <c r="ABS53" s="280"/>
      <c r="ABT53" s="280"/>
      <c r="ABU53" s="280"/>
      <c r="ABV53" s="280"/>
      <c r="ABW53" s="280"/>
      <c r="ABX53" s="280"/>
      <c r="ABY53" s="280"/>
      <c r="ABZ53" s="280"/>
      <c r="ACA53" s="280"/>
      <c r="ACB53" s="280"/>
      <c r="ACC53" s="280"/>
      <c r="ACD53" s="280"/>
      <c r="ACE53" s="280"/>
      <c r="ACF53" s="280"/>
      <c r="ACG53" s="280"/>
      <c r="ACH53" s="280"/>
      <c r="ACI53" s="280"/>
      <c r="ACJ53" s="280"/>
      <c r="ACK53" s="280"/>
      <c r="ACL53" s="280"/>
      <c r="ACM53" s="280"/>
      <c r="ACN53" s="280"/>
      <c r="ACO53" s="280"/>
      <c r="ACP53" s="280"/>
      <c r="ACQ53" s="280"/>
      <c r="ACR53" s="280"/>
      <c r="ACS53" s="280"/>
      <c r="ACT53" s="280"/>
      <c r="ACU53" s="280"/>
      <c r="ACV53" s="280"/>
      <c r="ACW53" s="280"/>
      <c r="ACX53" s="280"/>
      <c r="ACY53" s="280"/>
      <c r="ACZ53" s="280"/>
      <c r="ADA53" s="280"/>
      <c r="ADB53" s="280"/>
      <c r="ADC53" s="280"/>
      <c r="ADD53" s="280"/>
      <c r="ADE53" s="280"/>
      <c r="ADF53" s="280"/>
      <c r="ADG53" s="280"/>
      <c r="ADH53" s="280"/>
      <c r="ADI53" s="280"/>
      <c r="ADJ53" s="280"/>
      <c r="ADK53" s="280"/>
      <c r="ADL53" s="280"/>
      <c r="ADM53" s="280"/>
      <c r="ADN53" s="280"/>
      <c r="ADO53" s="280"/>
      <c r="ADP53" s="280"/>
      <c r="ADQ53" s="280"/>
      <c r="ADR53" s="280"/>
      <c r="ADS53" s="280"/>
      <c r="ADT53" s="280"/>
      <c r="ADU53" s="280"/>
      <c r="ADV53" s="280"/>
      <c r="ADW53" s="280"/>
      <c r="ADX53" s="280"/>
      <c r="ADY53" s="280"/>
      <c r="ADZ53" s="280"/>
      <c r="AEA53" s="280"/>
      <c r="AEB53" s="280"/>
      <c r="AEC53" s="280"/>
      <c r="AED53" s="280"/>
      <c r="AEE53" s="280"/>
      <c r="AEF53" s="280"/>
      <c r="AEG53" s="280"/>
      <c r="AEH53" s="280"/>
      <c r="AEI53" s="280"/>
      <c r="AEJ53" s="280"/>
      <c r="AEK53" s="280"/>
      <c r="AEL53" s="280"/>
      <c r="AEM53" s="280"/>
      <c r="AEN53" s="280"/>
      <c r="AEO53" s="280"/>
      <c r="AEP53" s="280"/>
      <c r="AEQ53" s="280"/>
      <c r="AER53" s="280"/>
      <c r="AES53" s="280"/>
      <c r="AET53" s="280"/>
      <c r="AEU53" s="280"/>
      <c r="AEV53" s="280"/>
      <c r="AEW53" s="280"/>
      <c r="AEX53" s="280"/>
      <c r="AEY53" s="280"/>
      <c r="AEZ53" s="280"/>
      <c r="AFA53" s="280"/>
      <c r="AFB53" s="280"/>
      <c r="AFC53" s="280"/>
      <c r="AFD53" s="280"/>
      <c r="AFE53" s="280"/>
      <c r="AFF53" s="280"/>
      <c r="AFG53" s="280"/>
      <c r="AFH53" s="280"/>
      <c r="AFI53" s="280"/>
      <c r="AFJ53" s="280"/>
      <c r="AFK53" s="280"/>
      <c r="AFL53" s="280"/>
      <c r="AFM53" s="280"/>
      <c r="AFN53" s="280"/>
      <c r="AFO53" s="280"/>
      <c r="AFP53" s="280"/>
      <c r="AFQ53" s="280"/>
      <c r="AFR53" s="280"/>
      <c r="AFS53" s="280"/>
      <c r="AFT53" s="280"/>
      <c r="AFU53" s="280"/>
      <c r="AFV53" s="280"/>
      <c r="AFW53" s="280"/>
      <c r="AFX53" s="280"/>
      <c r="AFY53" s="280"/>
      <c r="AFZ53" s="280"/>
      <c r="AGA53" s="280"/>
      <c r="AGB53" s="280"/>
      <c r="AGC53" s="280"/>
      <c r="AGD53" s="280"/>
      <c r="AGE53" s="280"/>
      <c r="AGF53" s="280"/>
      <c r="AGG53" s="280"/>
      <c r="AGH53" s="280"/>
      <c r="AGI53" s="280"/>
      <c r="AGJ53" s="280"/>
      <c r="AGK53" s="280"/>
      <c r="AGL53" s="280"/>
      <c r="AGM53" s="280"/>
      <c r="AGN53" s="280"/>
      <c r="AGO53" s="280"/>
      <c r="AGP53" s="280"/>
      <c r="AGQ53" s="280"/>
      <c r="AGR53" s="280"/>
      <c r="AGS53" s="280"/>
      <c r="AGT53" s="280"/>
      <c r="AGU53" s="280"/>
      <c r="AGV53" s="280"/>
      <c r="AGW53" s="280"/>
      <c r="AGX53" s="280"/>
      <c r="AGY53" s="280"/>
      <c r="AGZ53" s="280"/>
      <c r="AHA53" s="280"/>
      <c r="AHB53" s="280"/>
      <c r="AHC53" s="280"/>
      <c r="AHD53" s="280"/>
      <c r="AHE53" s="280"/>
      <c r="AHF53" s="280"/>
      <c r="AHG53" s="280"/>
      <c r="AHH53" s="280"/>
      <c r="AHI53" s="280"/>
      <c r="AHJ53" s="280"/>
      <c r="AHK53" s="280"/>
      <c r="AHL53" s="280"/>
      <c r="AHM53" s="280"/>
      <c r="AHN53" s="280"/>
      <c r="AHO53" s="280"/>
      <c r="AHP53" s="280"/>
      <c r="AHQ53" s="280"/>
      <c r="AHR53" s="280"/>
      <c r="AHS53" s="280"/>
      <c r="AHT53" s="280"/>
      <c r="AHU53" s="280"/>
      <c r="AHV53" s="280"/>
      <c r="AHW53" s="280"/>
      <c r="AHX53" s="280"/>
      <c r="AHY53" s="280"/>
      <c r="AHZ53" s="280"/>
      <c r="AIA53" s="280"/>
      <c r="AIB53" s="280"/>
      <c r="AIC53" s="280"/>
      <c r="AID53" s="280"/>
      <c r="AIE53" s="280"/>
      <c r="AIF53" s="280"/>
      <c r="AIG53" s="280"/>
      <c r="AIH53" s="280"/>
      <c r="AII53" s="280"/>
      <c r="AIJ53" s="280"/>
      <c r="AIK53" s="280"/>
      <c r="AIL53" s="280"/>
      <c r="AIM53" s="280"/>
      <c r="AIN53" s="280"/>
      <c r="AIO53" s="280"/>
      <c r="AIP53" s="280"/>
      <c r="AIQ53" s="280"/>
      <c r="AIR53" s="280"/>
      <c r="AIS53" s="280"/>
      <c r="AIT53" s="280"/>
      <c r="AIU53" s="280"/>
      <c r="AIV53" s="280"/>
      <c r="AIW53" s="280"/>
      <c r="AIX53" s="280"/>
      <c r="AIY53" s="280"/>
      <c r="AIZ53" s="280"/>
      <c r="AJA53" s="280"/>
      <c r="AJB53" s="280"/>
      <c r="AJC53" s="280"/>
      <c r="AJD53" s="280"/>
      <c r="AJE53" s="280"/>
      <c r="AJF53" s="280"/>
      <c r="AJG53" s="280"/>
      <c r="AJH53" s="280"/>
      <c r="AJI53" s="280"/>
      <c r="AJJ53" s="280"/>
      <c r="AJK53" s="280"/>
      <c r="AJL53" s="280"/>
      <c r="AJM53" s="280"/>
      <c r="AJN53" s="280"/>
      <c r="AJO53" s="280"/>
      <c r="AJP53" s="280"/>
      <c r="AJQ53" s="280"/>
      <c r="AJR53" s="280"/>
      <c r="AJS53" s="280"/>
      <c r="AJT53" s="280"/>
      <c r="AJU53" s="280"/>
      <c r="AJV53" s="280"/>
      <c r="AJW53" s="280"/>
      <c r="AJX53" s="280"/>
      <c r="AJY53" s="280"/>
      <c r="AJZ53" s="280"/>
      <c r="AKA53" s="280"/>
      <c r="AKB53" s="280"/>
      <c r="AKC53" s="280"/>
      <c r="AKD53" s="280"/>
      <c r="AKE53" s="280"/>
      <c r="AKF53" s="280"/>
      <c r="AKG53" s="280"/>
      <c r="AKH53" s="280"/>
      <c r="AKI53" s="280"/>
      <c r="AKJ53" s="280"/>
      <c r="AKK53" s="280"/>
      <c r="AKL53" s="280"/>
      <c r="AKM53" s="280"/>
      <c r="AKN53" s="280"/>
      <c r="AKO53" s="280"/>
      <c r="AKP53" s="280"/>
      <c r="AKQ53" s="280"/>
      <c r="AKR53" s="280"/>
      <c r="AKS53" s="280"/>
      <c r="AKT53" s="280"/>
      <c r="AKU53" s="280"/>
      <c r="AKV53" s="280"/>
      <c r="AKW53" s="280"/>
      <c r="AKX53" s="280"/>
      <c r="AKY53" s="280"/>
      <c r="AKZ53" s="280"/>
      <c r="ALA53" s="280"/>
      <c r="ALB53" s="280"/>
      <c r="ALC53" s="280"/>
      <c r="ALD53" s="280"/>
      <c r="ALE53" s="280"/>
      <c r="ALF53" s="280"/>
      <c r="ALG53" s="280"/>
      <c r="ALH53" s="280"/>
      <c r="ALI53" s="280"/>
      <c r="ALJ53" s="280"/>
      <c r="ALK53" s="280"/>
      <c r="ALL53" s="280"/>
      <c r="ALM53" s="280"/>
      <c r="ALN53" s="280"/>
      <c r="ALO53" s="280"/>
      <c r="ALP53" s="280"/>
      <c r="ALQ53" s="280"/>
      <c r="ALR53" s="280"/>
      <c r="ALS53" s="280"/>
      <c r="ALT53" s="280"/>
      <c r="ALU53" s="280"/>
      <c r="ALV53" s="280"/>
      <c r="ALW53" s="280"/>
      <c r="ALX53" s="280"/>
      <c r="ALY53" s="280"/>
      <c r="ALZ53" s="280"/>
      <c r="AMA53" s="280"/>
      <c r="AMB53" s="280"/>
      <c r="AMC53" s="280"/>
      <c r="AMD53" s="280"/>
      <c r="AME53" s="280"/>
      <c r="AMF53" s="280"/>
      <c r="AMG53" s="280"/>
      <c r="AMH53" s="280"/>
      <c r="AMI53" s="280"/>
      <c r="AMJ53" s="280"/>
      <c r="AMK53" s="280"/>
      <c r="AML53" s="280"/>
      <c r="AMM53" s="280"/>
      <c r="AMN53" s="280"/>
      <c r="AMO53" s="280"/>
      <c r="AMP53" s="280"/>
      <c r="AMQ53" s="280"/>
      <c r="AMR53" s="280"/>
      <c r="AMS53" s="280"/>
      <c r="AMT53" s="280"/>
      <c r="AMU53" s="280"/>
      <c r="AMV53" s="280"/>
      <c r="AMW53" s="280"/>
      <c r="AMX53" s="280"/>
      <c r="AMY53" s="280"/>
      <c r="AMZ53" s="280"/>
      <c r="ANA53" s="280"/>
      <c r="ANB53" s="280"/>
      <c r="ANC53" s="280"/>
      <c r="AND53" s="280"/>
      <c r="ANE53" s="280"/>
      <c r="ANF53" s="280"/>
      <c r="ANG53" s="280"/>
      <c r="ANH53" s="280"/>
      <c r="ANI53" s="280"/>
      <c r="ANJ53" s="280"/>
      <c r="ANK53" s="280"/>
      <c r="ANL53" s="280"/>
      <c r="ANM53" s="280"/>
      <c r="ANN53" s="280"/>
      <c r="ANO53" s="280"/>
      <c r="ANP53" s="280"/>
      <c r="ANQ53" s="280"/>
      <c r="ANR53" s="280"/>
      <c r="ANS53" s="280"/>
      <c r="ANT53" s="280"/>
      <c r="ANU53" s="280"/>
      <c r="ANV53" s="280"/>
      <c r="ANW53" s="280"/>
      <c r="ANX53" s="280"/>
      <c r="ANY53" s="280"/>
      <c r="ANZ53" s="280"/>
      <c r="AOA53" s="280"/>
      <c r="AOB53" s="280"/>
      <c r="AOC53" s="280"/>
      <c r="AOD53" s="280"/>
      <c r="AOE53" s="280"/>
      <c r="AOF53" s="280"/>
      <c r="AOG53" s="280"/>
      <c r="AOH53" s="280"/>
      <c r="AOI53" s="280"/>
      <c r="AOJ53" s="280"/>
      <c r="AOK53" s="280"/>
      <c r="AOL53" s="280"/>
      <c r="AOM53" s="280"/>
      <c r="AON53" s="280"/>
      <c r="AOO53" s="280"/>
      <c r="AOP53" s="280"/>
      <c r="AOQ53" s="280"/>
      <c r="AOR53" s="280"/>
      <c r="AOS53" s="280"/>
      <c r="AOT53" s="280"/>
      <c r="AOU53" s="280"/>
      <c r="AOV53" s="280"/>
      <c r="AOW53" s="280"/>
      <c r="AOX53" s="280"/>
      <c r="AOY53" s="280"/>
      <c r="AOZ53" s="280"/>
      <c r="APA53" s="280"/>
      <c r="APB53" s="280"/>
      <c r="APC53" s="280"/>
      <c r="APD53" s="280"/>
      <c r="APE53" s="280"/>
      <c r="APF53" s="280"/>
      <c r="APG53" s="280"/>
      <c r="APH53" s="280"/>
      <c r="API53" s="280"/>
      <c r="APJ53" s="280"/>
      <c r="APK53" s="280"/>
      <c r="APL53" s="280"/>
      <c r="APM53" s="280"/>
      <c r="APN53" s="280"/>
      <c r="APO53" s="280"/>
      <c r="APP53" s="280"/>
      <c r="APQ53" s="280"/>
      <c r="APR53" s="280"/>
      <c r="APS53" s="280"/>
      <c r="APT53" s="280"/>
      <c r="APU53" s="280"/>
      <c r="APV53" s="280"/>
      <c r="APW53" s="280"/>
      <c r="APX53" s="280"/>
      <c r="APY53" s="280"/>
      <c r="APZ53" s="280"/>
      <c r="AQA53" s="280"/>
      <c r="AQB53" s="280"/>
      <c r="AQC53" s="280"/>
      <c r="AQD53" s="280"/>
      <c r="AQE53" s="280"/>
      <c r="AQF53" s="280"/>
      <c r="AQG53" s="280"/>
      <c r="AQH53" s="280"/>
      <c r="AQI53" s="280"/>
      <c r="AQJ53" s="280"/>
      <c r="AQK53" s="280"/>
      <c r="AQL53" s="280"/>
      <c r="AQM53" s="280"/>
      <c r="AQN53" s="280"/>
      <c r="AQO53" s="280"/>
      <c r="AQP53" s="280"/>
      <c r="AQQ53" s="280"/>
      <c r="AQR53" s="280"/>
      <c r="AQS53" s="280"/>
      <c r="AQT53" s="280"/>
      <c r="AQU53" s="280"/>
      <c r="AQV53" s="280"/>
      <c r="AQW53" s="280"/>
      <c r="AQX53" s="280"/>
      <c r="AQY53" s="280"/>
      <c r="AQZ53" s="280"/>
      <c r="ARA53" s="280"/>
      <c r="ARB53" s="280"/>
      <c r="ARC53" s="280"/>
      <c r="ARD53" s="280"/>
      <c r="ARE53" s="280"/>
      <c r="ARF53" s="280"/>
      <c r="ARG53" s="280"/>
      <c r="ARH53" s="280"/>
      <c r="ARI53" s="280"/>
      <c r="ARJ53" s="280"/>
      <c r="ARK53" s="280"/>
      <c r="ARL53" s="280"/>
      <c r="ARM53" s="280"/>
      <c r="ARN53" s="280"/>
      <c r="ARO53" s="280"/>
      <c r="ARP53" s="280"/>
      <c r="ARQ53" s="280"/>
      <c r="ARR53" s="280"/>
      <c r="ARS53" s="280"/>
      <c r="ART53" s="280"/>
      <c r="ARU53" s="280"/>
      <c r="ARV53" s="280"/>
      <c r="ARW53" s="280"/>
      <c r="ARX53" s="280"/>
      <c r="ARY53" s="280"/>
      <c r="ARZ53" s="280"/>
      <c r="ASA53" s="280"/>
      <c r="ASB53" s="280"/>
      <c r="ASC53" s="280"/>
      <c r="ASD53" s="280"/>
      <c r="ASE53" s="280"/>
      <c r="ASF53" s="280"/>
      <c r="ASG53" s="280"/>
      <c r="ASH53" s="280"/>
      <c r="ASI53" s="280"/>
      <c r="ASJ53" s="280"/>
      <c r="ASK53" s="280"/>
      <c r="ASL53" s="280"/>
      <c r="ASM53" s="280"/>
      <c r="ASN53" s="280"/>
      <c r="ASO53" s="280"/>
      <c r="ASP53" s="280"/>
      <c r="ASQ53" s="280"/>
      <c r="ASR53" s="280"/>
      <c r="ASS53" s="280"/>
      <c r="AST53" s="280"/>
      <c r="ASU53" s="280"/>
      <c r="ASV53" s="280"/>
      <c r="ASW53" s="280"/>
      <c r="ASX53" s="280"/>
      <c r="ASY53" s="280"/>
      <c r="ASZ53" s="280"/>
      <c r="ATA53" s="280"/>
      <c r="ATB53" s="280"/>
      <c r="ATC53" s="280"/>
      <c r="ATD53" s="280"/>
      <c r="ATE53" s="280"/>
      <c r="ATF53" s="280"/>
      <c r="ATG53" s="280"/>
      <c r="ATH53" s="280"/>
      <c r="ATI53" s="280"/>
      <c r="ATJ53" s="280"/>
      <c r="ATK53" s="280"/>
      <c r="ATL53" s="280"/>
      <c r="ATM53" s="280"/>
      <c r="ATN53" s="280"/>
      <c r="ATO53" s="280"/>
      <c r="ATP53" s="280"/>
      <c r="ATQ53" s="280"/>
      <c r="ATR53" s="280"/>
      <c r="ATS53" s="280"/>
      <c r="ATT53" s="280"/>
      <c r="ATU53" s="280"/>
      <c r="ATV53" s="280"/>
      <c r="ATW53" s="280"/>
      <c r="ATX53" s="280"/>
      <c r="ATY53" s="280"/>
      <c r="ATZ53" s="280"/>
      <c r="AUA53" s="280"/>
      <c r="AUB53" s="280"/>
      <c r="AUC53" s="280"/>
      <c r="AUD53" s="280"/>
      <c r="AUE53" s="280"/>
      <c r="AUF53" s="280"/>
      <c r="AUG53" s="280"/>
      <c r="AUH53" s="280"/>
      <c r="AUI53" s="280"/>
      <c r="AUJ53" s="280"/>
      <c r="AUK53" s="280"/>
      <c r="AUL53" s="280"/>
      <c r="AUM53" s="280"/>
      <c r="AUN53" s="280"/>
      <c r="AUO53" s="280"/>
      <c r="AUP53" s="280"/>
      <c r="AUQ53" s="280"/>
      <c r="AUR53" s="280"/>
      <c r="AUS53" s="280"/>
      <c r="AUT53" s="280"/>
      <c r="AUU53" s="280"/>
      <c r="AUV53" s="280"/>
      <c r="AUW53" s="280"/>
      <c r="AUX53" s="280"/>
      <c r="AUY53" s="280"/>
      <c r="AUZ53" s="280"/>
      <c r="AVA53" s="280"/>
      <c r="AVB53" s="280"/>
      <c r="AVC53" s="280"/>
      <c r="AVD53" s="280"/>
      <c r="AVE53" s="280"/>
      <c r="AVF53" s="280"/>
      <c r="AVG53" s="280"/>
      <c r="AVH53" s="280"/>
      <c r="AVI53" s="280"/>
      <c r="AVJ53" s="280"/>
      <c r="AVK53" s="280"/>
      <c r="AVL53" s="280"/>
      <c r="AVM53" s="280"/>
      <c r="AVN53" s="280"/>
      <c r="AVO53" s="280"/>
      <c r="AVP53" s="280"/>
      <c r="AVQ53" s="280"/>
      <c r="AVR53" s="280"/>
      <c r="AVS53" s="280"/>
      <c r="AVT53" s="280"/>
      <c r="AVU53" s="280"/>
      <c r="AVV53" s="280"/>
      <c r="AVW53" s="280"/>
      <c r="AVX53" s="280"/>
      <c r="AVY53" s="280"/>
      <c r="AVZ53" s="280"/>
      <c r="AWA53" s="280"/>
      <c r="AWB53" s="280"/>
      <c r="AWC53" s="280"/>
      <c r="AWD53" s="280"/>
      <c r="AWE53" s="280"/>
      <c r="AWF53" s="280"/>
      <c r="AWG53" s="280"/>
      <c r="AWH53" s="280"/>
      <c r="AWI53" s="280"/>
      <c r="AWJ53" s="280"/>
      <c r="AWK53" s="280"/>
      <c r="AWL53" s="280"/>
      <c r="AWM53" s="280"/>
      <c r="AWN53" s="280"/>
      <c r="AWO53" s="280"/>
      <c r="AWP53" s="280"/>
      <c r="AWQ53" s="280"/>
      <c r="AWR53" s="280"/>
      <c r="AWS53" s="280"/>
      <c r="AWT53" s="280"/>
      <c r="AWU53" s="280"/>
      <c r="AWV53" s="280"/>
      <c r="AWW53" s="280"/>
      <c r="AWX53" s="280"/>
      <c r="AWY53" s="280"/>
      <c r="AWZ53" s="280"/>
      <c r="AXA53" s="280"/>
      <c r="AXB53" s="280"/>
      <c r="AXC53" s="280"/>
      <c r="AXD53" s="280"/>
      <c r="AXE53" s="280"/>
      <c r="AXF53" s="280"/>
      <c r="AXG53" s="280"/>
      <c r="AXH53" s="280"/>
      <c r="AXI53" s="280"/>
      <c r="AXJ53" s="280"/>
      <c r="AXK53" s="280"/>
      <c r="AXL53" s="280"/>
      <c r="AXM53" s="280"/>
      <c r="AXN53" s="280"/>
      <c r="AXO53" s="280"/>
      <c r="AXP53" s="280"/>
      <c r="AXQ53" s="280"/>
      <c r="AXR53" s="280"/>
      <c r="AXS53" s="280"/>
      <c r="AXT53" s="280"/>
      <c r="AXU53" s="280"/>
      <c r="AXV53" s="280"/>
      <c r="AXW53" s="280"/>
      <c r="AXX53" s="280"/>
      <c r="AXY53" s="280"/>
      <c r="AXZ53" s="280"/>
      <c r="AYA53" s="280"/>
      <c r="AYB53" s="280"/>
      <c r="AYC53" s="280"/>
      <c r="AYD53" s="280"/>
      <c r="AYE53" s="280"/>
      <c r="AYF53" s="280"/>
      <c r="AYG53" s="280"/>
      <c r="AYH53" s="280"/>
      <c r="AYI53" s="280"/>
      <c r="AYJ53" s="280"/>
      <c r="AYK53" s="280"/>
      <c r="AYL53" s="280"/>
      <c r="AYM53" s="280"/>
      <c r="AYN53" s="280"/>
      <c r="AYO53" s="280"/>
      <c r="AYP53" s="280"/>
      <c r="AYQ53" s="280"/>
      <c r="AYR53" s="280"/>
      <c r="AYS53" s="280"/>
      <c r="AYT53" s="280"/>
      <c r="AYU53" s="280"/>
      <c r="AYV53" s="280"/>
      <c r="AYW53" s="280"/>
      <c r="AYX53" s="280"/>
      <c r="AYY53" s="280"/>
      <c r="AYZ53" s="280"/>
      <c r="AZA53" s="280"/>
      <c r="AZB53" s="280"/>
      <c r="AZC53" s="280"/>
      <c r="AZD53" s="280"/>
      <c r="AZE53" s="280"/>
      <c r="AZF53" s="280"/>
      <c r="AZG53" s="280"/>
      <c r="AZH53" s="280"/>
      <c r="AZI53" s="280"/>
      <c r="AZJ53" s="280"/>
      <c r="AZK53" s="280"/>
      <c r="AZL53" s="280"/>
      <c r="AZM53" s="280"/>
      <c r="AZN53" s="280"/>
      <c r="AZO53" s="280"/>
      <c r="AZP53" s="280"/>
      <c r="AZQ53" s="280"/>
      <c r="AZR53" s="280"/>
      <c r="AZS53" s="280"/>
      <c r="AZT53" s="280"/>
      <c r="AZU53" s="280"/>
      <c r="AZV53" s="280"/>
      <c r="AZW53" s="280"/>
      <c r="AZX53" s="280"/>
      <c r="AZY53" s="280"/>
      <c r="AZZ53" s="280"/>
      <c r="BAA53" s="280"/>
      <c r="BAB53" s="280"/>
      <c r="BAC53" s="280"/>
      <c r="BAD53" s="280"/>
      <c r="BAE53" s="280"/>
      <c r="BAF53" s="280"/>
      <c r="BAG53" s="280"/>
      <c r="BAH53" s="280"/>
      <c r="BAI53" s="280"/>
      <c r="BAJ53" s="280"/>
      <c r="BAK53" s="280"/>
      <c r="BAL53" s="280"/>
      <c r="BAM53" s="280"/>
      <c r="BAN53" s="280"/>
      <c r="BAO53" s="280"/>
      <c r="BAP53" s="280"/>
      <c r="BAQ53" s="280"/>
      <c r="BAR53" s="280"/>
      <c r="BAS53" s="280"/>
      <c r="BAT53" s="280"/>
      <c r="BAU53" s="280"/>
      <c r="BAV53" s="280"/>
      <c r="BAW53" s="280"/>
      <c r="BAX53" s="280"/>
      <c r="BAY53" s="280"/>
      <c r="BAZ53" s="280"/>
      <c r="BBA53" s="280"/>
      <c r="BBB53" s="280"/>
      <c r="BBC53" s="280"/>
      <c r="BBD53" s="280"/>
      <c r="BBE53" s="280"/>
      <c r="BBF53" s="280"/>
      <c r="BBG53" s="280"/>
      <c r="BBH53" s="280"/>
      <c r="BBI53" s="280"/>
      <c r="BBJ53" s="280"/>
      <c r="BBK53" s="280"/>
      <c r="BBL53" s="280"/>
      <c r="BBM53" s="280"/>
      <c r="BBN53" s="280"/>
      <c r="BBO53" s="280"/>
      <c r="BBP53" s="280"/>
      <c r="BBQ53" s="280"/>
      <c r="BBR53" s="280"/>
      <c r="BBS53" s="280"/>
      <c r="BBT53" s="280"/>
      <c r="BBU53" s="280"/>
      <c r="BBV53" s="280"/>
      <c r="BBW53" s="280"/>
      <c r="BBX53" s="280"/>
      <c r="BBY53" s="280"/>
      <c r="BBZ53" s="280"/>
      <c r="BCA53" s="280"/>
      <c r="BCB53" s="280"/>
      <c r="BCC53" s="280"/>
      <c r="BCD53" s="280"/>
      <c r="BCE53" s="280"/>
      <c r="BCF53" s="280"/>
      <c r="BCG53" s="280"/>
      <c r="BCH53" s="280"/>
      <c r="BCI53" s="280"/>
      <c r="BCJ53" s="280"/>
      <c r="BCK53" s="280"/>
      <c r="BCL53" s="280"/>
      <c r="BCM53" s="280"/>
      <c r="BCN53" s="280"/>
      <c r="BCO53" s="280"/>
      <c r="BCP53" s="280"/>
      <c r="BCQ53" s="280"/>
      <c r="BCR53" s="280"/>
      <c r="BCS53" s="280"/>
      <c r="BCT53" s="280"/>
      <c r="BCU53" s="280"/>
      <c r="BCV53" s="280"/>
      <c r="BCW53" s="280"/>
      <c r="BCX53" s="280"/>
      <c r="BCY53" s="280"/>
      <c r="BCZ53" s="280"/>
      <c r="BDA53" s="280"/>
      <c r="BDB53" s="280"/>
      <c r="BDC53" s="280"/>
      <c r="BDD53" s="280"/>
      <c r="BDE53" s="280"/>
      <c r="BDF53" s="280"/>
      <c r="BDG53" s="280"/>
      <c r="BDH53" s="280"/>
      <c r="BDI53" s="280"/>
      <c r="BDJ53" s="280"/>
      <c r="BDK53" s="280"/>
      <c r="BDL53" s="280"/>
      <c r="BDM53" s="280"/>
      <c r="BDN53" s="280"/>
      <c r="BDO53" s="280"/>
      <c r="BDP53" s="280"/>
      <c r="BDQ53" s="280"/>
      <c r="BDR53" s="280"/>
      <c r="BDS53" s="280"/>
      <c r="BDT53" s="280"/>
      <c r="BDU53" s="280"/>
      <c r="BDV53" s="280"/>
      <c r="BDW53" s="280"/>
      <c r="BDX53" s="280"/>
      <c r="BDY53" s="280"/>
      <c r="BDZ53" s="280"/>
      <c r="BEA53" s="280"/>
      <c r="BEB53" s="280"/>
      <c r="BEC53" s="280"/>
      <c r="BED53" s="280"/>
      <c r="BEE53" s="280"/>
      <c r="BEF53" s="280"/>
      <c r="BEG53" s="280"/>
      <c r="BEH53" s="280"/>
      <c r="BEI53" s="280"/>
      <c r="BEJ53" s="280"/>
      <c r="BEK53" s="280"/>
      <c r="BEL53" s="280"/>
      <c r="BEM53" s="280"/>
      <c r="BEN53" s="280"/>
      <c r="BEO53" s="280"/>
      <c r="BEP53" s="280"/>
      <c r="BEQ53" s="280"/>
      <c r="BER53" s="280"/>
      <c r="BES53" s="280"/>
      <c r="BET53" s="280"/>
      <c r="BEU53" s="280"/>
      <c r="BEV53" s="280"/>
      <c r="BEW53" s="280"/>
      <c r="BEX53" s="280"/>
      <c r="BEY53" s="280"/>
      <c r="BEZ53" s="280"/>
      <c r="BFA53" s="280"/>
      <c r="BFB53" s="280"/>
      <c r="BFC53" s="280"/>
      <c r="BFD53" s="280"/>
      <c r="BFE53" s="280"/>
      <c r="BFF53" s="280"/>
      <c r="BFG53" s="280"/>
      <c r="BFH53" s="280"/>
      <c r="BFI53" s="280"/>
      <c r="BFJ53" s="280"/>
      <c r="BFK53" s="280"/>
      <c r="BFL53" s="280"/>
      <c r="BFM53" s="280"/>
      <c r="BFN53" s="280"/>
      <c r="BFO53" s="280"/>
      <c r="BFP53" s="280"/>
      <c r="BFQ53" s="280"/>
      <c r="BFR53" s="280"/>
      <c r="BFS53" s="280"/>
      <c r="BFT53" s="280"/>
      <c r="BFU53" s="280"/>
      <c r="BFV53" s="280"/>
      <c r="BFW53" s="280"/>
      <c r="BFX53" s="280"/>
      <c r="BFY53" s="280"/>
      <c r="BFZ53" s="280"/>
      <c r="BGA53" s="280"/>
      <c r="BGB53" s="280"/>
      <c r="BGC53" s="280"/>
      <c r="BGD53" s="280"/>
      <c r="BGE53" s="280"/>
      <c r="BGF53" s="280"/>
      <c r="BGG53" s="280"/>
      <c r="BGH53" s="280"/>
      <c r="BGI53" s="280"/>
      <c r="BGJ53" s="280"/>
      <c r="BGK53" s="280"/>
      <c r="BGL53" s="280"/>
      <c r="BGM53" s="280"/>
      <c r="BGN53" s="280"/>
      <c r="BGO53" s="280"/>
      <c r="BGP53" s="280"/>
      <c r="BGQ53" s="280"/>
      <c r="BGR53" s="280"/>
      <c r="BGS53" s="280"/>
      <c r="BGT53" s="280"/>
      <c r="BGU53" s="280"/>
      <c r="BGV53" s="280"/>
      <c r="BGW53" s="280"/>
      <c r="BGX53" s="280"/>
      <c r="BGY53" s="280"/>
      <c r="BGZ53" s="280"/>
      <c r="BHA53" s="280"/>
      <c r="BHB53" s="280"/>
      <c r="BHC53" s="280"/>
      <c r="BHD53" s="280"/>
      <c r="BHE53" s="280"/>
      <c r="BHF53" s="280"/>
      <c r="BHG53" s="280"/>
      <c r="BHH53" s="280"/>
      <c r="BHI53" s="280"/>
      <c r="BHJ53" s="280"/>
      <c r="BHK53" s="280"/>
      <c r="BHL53" s="280"/>
      <c r="BHM53" s="280"/>
      <c r="BHN53" s="280"/>
      <c r="BHO53" s="280"/>
      <c r="BHP53" s="280"/>
      <c r="BHQ53" s="280"/>
      <c r="BHR53" s="280"/>
      <c r="BHS53" s="280"/>
      <c r="BHT53" s="280"/>
      <c r="BHU53" s="280"/>
      <c r="BHV53" s="280"/>
      <c r="BHW53" s="280"/>
      <c r="BHX53" s="280"/>
      <c r="BHY53" s="280"/>
      <c r="BHZ53" s="280"/>
      <c r="BIA53" s="280"/>
      <c r="BIB53" s="280"/>
      <c r="BIC53" s="280"/>
      <c r="BID53" s="280"/>
      <c r="BIE53" s="280"/>
      <c r="BIF53" s="280"/>
      <c r="BIG53" s="280"/>
      <c r="BIH53" s="280"/>
      <c r="BII53" s="280"/>
      <c r="BIJ53" s="280"/>
      <c r="BIK53" s="280"/>
      <c r="BIL53" s="280"/>
      <c r="BIM53" s="280"/>
      <c r="BIN53" s="280"/>
      <c r="BIO53" s="280"/>
      <c r="BIP53" s="280"/>
      <c r="BIQ53" s="280"/>
      <c r="BIR53" s="280"/>
      <c r="BIS53" s="280"/>
      <c r="BIT53" s="280"/>
      <c r="BIU53" s="280"/>
      <c r="BIV53" s="280"/>
      <c r="BIW53" s="280"/>
      <c r="BIX53" s="280"/>
      <c r="BIY53" s="280"/>
      <c r="BIZ53" s="280"/>
      <c r="BJA53" s="280"/>
      <c r="BJB53" s="280"/>
      <c r="BJC53" s="280"/>
      <c r="BJD53" s="280"/>
      <c r="BJE53" s="280"/>
      <c r="BJF53" s="280"/>
      <c r="BJG53" s="280"/>
      <c r="BJH53" s="280"/>
      <c r="BJI53" s="280"/>
      <c r="BJJ53" s="280"/>
      <c r="BJK53" s="280"/>
      <c r="BJL53" s="280"/>
      <c r="BJM53" s="280"/>
      <c r="BJN53" s="280"/>
      <c r="BJO53" s="280"/>
      <c r="BJP53" s="280"/>
      <c r="BJQ53" s="280"/>
      <c r="BJR53" s="280"/>
      <c r="BJS53" s="280"/>
      <c r="BJT53" s="280"/>
      <c r="BJU53" s="280"/>
      <c r="BJV53" s="280"/>
      <c r="BJW53" s="280"/>
      <c r="BJX53" s="280"/>
      <c r="BJY53" s="280"/>
      <c r="BJZ53" s="280"/>
      <c r="BKA53" s="280"/>
      <c r="BKB53" s="280"/>
      <c r="BKC53" s="280"/>
      <c r="BKD53" s="280"/>
      <c r="BKE53" s="280"/>
      <c r="BKF53" s="280"/>
      <c r="BKG53" s="280"/>
      <c r="BKH53" s="280"/>
      <c r="BKI53" s="280"/>
      <c r="BKJ53" s="280"/>
      <c r="BKK53" s="280"/>
      <c r="BKL53" s="280"/>
      <c r="BKM53" s="280"/>
      <c r="BKN53" s="280"/>
      <c r="BKO53" s="280"/>
      <c r="BKP53" s="280"/>
      <c r="BKQ53" s="280"/>
      <c r="BKR53" s="280"/>
      <c r="BKS53" s="280"/>
      <c r="BKT53" s="280"/>
      <c r="BKU53" s="280"/>
      <c r="BKV53" s="280"/>
      <c r="BKW53" s="280"/>
      <c r="BKX53" s="280"/>
      <c r="BKY53" s="280"/>
      <c r="BKZ53" s="280"/>
      <c r="BLA53" s="280"/>
      <c r="BLB53" s="280"/>
      <c r="BLC53" s="280"/>
      <c r="BLD53" s="280"/>
      <c r="BLE53" s="280"/>
      <c r="BLF53" s="280"/>
      <c r="BLG53" s="280"/>
      <c r="BLH53" s="280"/>
      <c r="BLI53" s="280"/>
      <c r="BLJ53" s="280"/>
      <c r="BLK53" s="280"/>
      <c r="BLL53" s="280"/>
      <c r="BLM53" s="280"/>
      <c r="BLN53" s="280"/>
      <c r="BLO53" s="280"/>
      <c r="BLP53" s="280"/>
      <c r="BLQ53" s="280"/>
      <c r="BLR53" s="280"/>
      <c r="BLS53" s="280"/>
      <c r="BLT53" s="280"/>
      <c r="BLU53" s="280"/>
      <c r="BLV53" s="280"/>
      <c r="BLW53" s="280"/>
      <c r="BLX53" s="280"/>
      <c r="BLY53" s="280"/>
      <c r="BLZ53" s="280"/>
      <c r="BMA53" s="280"/>
      <c r="BMB53" s="280"/>
      <c r="BMC53" s="280"/>
      <c r="BMD53" s="280"/>
      <c r="BME53" s="280"/>
      <c r="BMF53" s="280"/>
      <c r="BMG53" s="280"/>
      <c r="BMH53" s="280"/>
      <c r="BMI53" s="280"/>
      <c r="BMJ53" s="280"/>
      <c r="BMK53" s="280"/>
      <c r="BML53" s="280"/>
      <c r="BMM53" s="280"/>
      <c r="BMN53" s="280"/>
      <c r="BMO53" s="280"/>
      <c r="BMP53" s="280"/>
      <c r="BMQ53" s="280"/>
      <c r="BMR53" s="280"/>
      <c r="BMS53" s="280"/>
      <c r="BMT53" s="280"/>
      <c r="BMU53" s="280"/>
      <c r="BMV53" s="280"/>
      <c r="BMW53" s="280"/>
      <c r="BMX53" s="280"/>
      <c r="BMY53" s="280"/>
      <c r="BMZ53" s="280"/>
      <c r="BNA53" s="280"/>
      <c r="BNB53" s="280"/>
      <c r="BNC53" s="280"/>
      <c r="BND53" s="280"/>
      <c r="BNE53" s="280"/>
      <c r="BNF53" s="280"/>
      <c r="BNG53" s="280"/>
      <c r="BNH53" s="280"/>
      <c r="BNI53" s="280"/>
      <c r="BNJ53" s="280"/>
      <c r="BNK53" s="280"/>
      <c r="BNL53" s="280"/>
      <c r="BNM53" s="280"/>
      <c r="BNN53" s="280"/>
      <c r="BNO53" s="280"/>
      <c r="BNP53" s="280"/>
      <c r="BNQ53" s="280"/>
      <c r="BNR53" s="280"/>
      <c r="BNS53" s="280"/>
      <c r="BNT53" s="280"/>
      <c r="BNU53" s="280"/>
      <c r="BNV53" s="280"/>
      <c r="BNW53" s="280"/>
      <c r="BNX53" s="280"/>
      <c r="BNY53" s="280"/>
      <c r="BNZ53" s="280"/>
      <c r="BOA53" s="280"/>
      <c r="BOB53" s="280"/>
      <c r="BOC53" s="280"/>
      <c r="BOD53" s="280"/>
      <c r="BOE53" s="280"/>
      <c r="BOF53" s="280"/>
      <c r="BOG53" s="280"/>
      <c r="BOH53" s="280"/>
      <c r="BOI53" s="280"/>
      <c r="BOJ53" s="280"/>
      <c r="BOK53" s="280"/>
      <c r="BOL53" s="280"/>
      <c r="BOM53" s="280"/>
      <c r="BON53" s="280"/>
      <c r="BOO53" s="280"/>
      <c r="BOP53" s="280"/>
      <c r="BOQ53" s="280"/>
      <c r="BOR53" s="280"/>
      <c r="BOS53" s="280"/>
      <c r="BOT53" s="280"/>
      <c r="BOU53" s="280"/>
      <c r="BOV53" s="280"/>
      <c r="BOW53" s="280"/>
      <c r="BOX53" s="280"/>
      <c r="BOY53" s="280"/>
      <c r="BOZ53" s="280"/>
      <c r="BPA53" s="280"/>
      <c r="BPB53" s="280"/>
      <c r="BPC53" s="280"/>
      <c r="BPD53" s="280"/>
      <c r="BPE53" s="280"/>
      <c r="BPF53" s="280"/>
      <c r="BPG53" s="280"/>
      <c r="BPH53" s="280"/>
      <c r="BPI53" s="280"/>
      <c r="BPJ53" s="280"/>
      <c r="BPK53" s="280"/>
      <c r="BPL53" s="280"/>
      <c r="BPM53" s="280"/>
      <c r="BPN53" s="280"/>
      <c r="BPO53" s="280"/>
      <c r="BPP53" s="280"/>
      <c r="BPQ53" s="280"/>
      <c r="BPR53" s="280"/>
      <c r="BPS53" s="280"/>
      <c r="BPT53" s="280"/>
      <c r="BPU53" s="280"/>
      <c r="BPV53" s="280"/>
      <c r="BPW53" s="280"/>
      <c r="BPX53" s="280"/>
      <c r="BPY53" s="280"/>
      <c r="BPZ53" s="280"/>
      <c r="BQA53" s="280"/>
      <c r="BQB53" s="280"/>
      <c r="BQC53" s="280"/>
      <c r="BQD53" s="280"/>
      <c r="BQE53" s="280"/>
      <c r="BQF53" s="280"/>
      <c r="BQG53" s="280"/>
      <c r="BQH53" s="280"/>
      <c r="BQI53" s="280"/>
      <c r="BQJ53" s="280"/>
      <c r="BQK53" s="280"/>
      <c r="BQL53" s="280"/>
      <c r="BQM53" s="280"/>
      <c r="BQN53" s="280"/>
      <c r="BQO53" s="280"/>
      <c r="BQP53" s="280"/>
      <c r="BQQ53" s="280"/>
      <c r="BQR53" s="280"/>
      <c r="BQS53" s="280"/>
      <c r="BQT53" s="280"/>
      <c r="BQU53" s="280"/>
      <c r="BQV53" s="280"/>
      <c r="BQW53" s="280"/>
      <c r="BQX53" s="280"/>
      <c r="BQY53" s="280"/>
      <c r="BQZ53" s="280"/>
      <c r="BRA53" s="280"/>
      <c r="BRB53" s="280"/>
      <c r="BRC53" s="280"/>
      <c r="BRD53" s="280"/>
      <c r="BRE53" s="280"/>
      <c r="BRF53" s="280"/>
      <c r="BRG53" s="280"/>
      <c r="BRH53" s="280"/>
      <c r="BRI53" s="280"/>
      <c r="BRJ53" s="280"/>
      <c r="BRK53" s="280"/>
      <c r="BRL53" s="280"/>
      <c r="BRM53" s="280"/>
      <c r="BRN53" s="280"/>
      <c r="BRO53" s="280"/>
      <c r="BRP53" s="280"/>
      <c r="BRQ53" s="280"/>
      <c r="BRR53" s="280"/>
      <c r="BRS53" s="280"/>
      <c r="BRT53" s="280"/>
      <c r="BRU53" s="280"/>
      <c r="BRV53" s="280"/>
      <c r="BRW53" s="280"/>
      <c r="BRX53" s="280"/>
      <c r="BRY53" s="280"/>
      <c r="BRZ53" s="280"/>
      <c r="BSA53" s="280"/>
      <c r="BSB53" s="280"/>
      <c r="BSC53" s="280"/>
      <c r="BSD53" s="280"/>
      <c r="BSE53" s="280"/>
      <c r="BSF53" s="280"/>
      <c r="BSG53" s="280"/>
      <c r="BSH53" s="280"/>
      <c r="BSI53" s="280"/>
      <c r="BSJ53" s="280"/>
      <c r="BSK53" s="280"/>
      <c r="BSL53" s="280"/>
      <c r="BSM53" s="280"/>
      <c r="BSN53" s="280"/>
      <c r="BSO53" s="280"/>
      <c r="BSP53" s="280"/>
      <c r="BSQ53" s="280"/>
      <c r="BSR53" s="280"/>
      <c r="BSS53" s="280"/>
      <c r="BST53" s="280"/>
      <c r="BSU53" s="280"/>
      <c r="BSV53" s="280"/>
      <c r="BSW53" s="280"/>
      <c r="BSX53" s="280"/>
      <c r="BSY53" s="280"/>
      <c r="BSZ53" s="280"/>
      <c r="BTA53" s="280"/>
      <c r="BTB53" s="280"/>
      <c r="BTC53" s="280"/>
      <c r="BTD53" s="280"/>
      <c r="BTE53" s="280"/>
      <c r="BTF53" s="280"/>
      <c r="BTG53" s="280"/>
      <c r="BTH53" s="280"/>
      <c r="BTI53" s="280"/>
      <c r="BTJ53" s="280"/>
      <c r="BTK53" s="280"/>
      <c r="BTL53" s="280"/>
      <c r="BTM53" s="280"/>
      <c r="BTN53" s="280"/>
      <c r="BTO53" s="280"/>
      <c r="BTP53" s="280"/>
      <c r="BTQ53" s="280"/>
      <c r="BTR53" s="280"/>
      <c r="BTS53" s="280"/>
      <c r="BTT53" s="280"/>
      <c r="BTU53" s="280"/>
      <c r="BTV53" s="280"/>
      <c r="BTW53" s="280"/>
      <c r="BTX53" s="280"/>
      <c r="BTY53" s="280"/>
      <c r="BTZ53" s="280"/>
      <c r="BUA53" s="280"/>
      <c r="BUB53" s="280"/>
      <c r="BUC53" s="280"/>
      <c r="BUD53" s="280"/>
      <c r="BUE53" s="280"/>
      <c r="BUF53" s="280"/>
      <c r="BUG53" s="280"/>
      <c r="BUH53" s="280"/>
      <c r="BUI53" s="280"/>
      <c r="BUJ53" s="280"/>
      <c r="BUK53" s="280"/>
      <c r="BUL53" s="280"/>
      <c r="BUM53" s="280"/>
      <c r="BUN53" s="280"/>
      <c r="BUO53" s="280"/>
      <c r="BUP53" s="280"/>
      <c r="BUQ53" s="280"/>
      <c r="BUR53" s="280"/>
      <c r="BUS53" s="280"/>
      <c r="BUT53" s="280"/>
      <c r="BUU53" s="280"/>
      <c r="BUV53" s="280"/>
      <c r="BUW53" s="280"/>
      <c r="BUX53" s="280"/>
      <c r="BUY53" s="280"/>
      <c r="BUZ53" s="280"/>
      <c r="BVA53" s="280"/>
      <c r="BVB53" s="280"/>
      <c r="BVC53" s="280"/>
      <c r="BVD53" s="280"/>
      <c r="BVE53" s="280"/>
      <c r="BVF53" s="280"/>
      <c r="BVG53" s="280"/>
      <c r="BVH53" s="280"/>
      <c r="BVI53" s="280"/>
      <c r="BVJ53" s="280"/>
      <c r="BVK53" s="280"/>
      <c r="BVL53" s="280"/>
      <c r="BVM53" s="280"/>
      <c r="BVN53" s="280"/>
      <c r="BVO53" s="280"/>
      <c r="BVP53" s="280"/>
      <c r="BVQ53" s="280"/>
      <c r="BVR53" s="280"/>
      <c r="BVS53" s="280"/>
      <c r="BVT53" s="280"/>
      <c r="BVU53" s="280"/>
      <c r="BVV53" s="280"/>
      <c r="BVW53" s="280"/>
      <c r="BVX53" s="280"/>
      <c r="BVY53" s="280"/>
      <c r="BVZ53" s="280"/>
      <c r="BWA53" s="280"/>
      <c r="BWB53" s="280"/>
      <c r="BWC53" s="280"/>
      <c r="BWD53" s="280"/>
      <c r="BWE53" s="280"/>
      <c r="BWF53" s="280"/>
      <c r="BWG53" s="280"/>
      <c r="BWH53" s="280"/>
      <c r="BWI53" s="280"/>
      <c r="BWJ53" s="280"/>
      <c r="BWK53" s="280"/>
      <c r="BWL53" s="280"/>
      <c r="BWM53" s="280"/>
      <c r="BWN53" s="280"/>
      <c r="BWO53" s="280"/>
      <c r="BWP53" s="280"/>
      <c r="BWQ53" s="280"/>
      <c r="BWR53" s="280"/>
      <c r="BWS53" s="280"/>
      <c r="BWT53" s="280"/>
      <c r="BWU53" s="280"/>
      <c r="BWV53" s="280"/>
      <c r="BWW53" s="280"/>
      <c r="BWX53" s="280"/>
      <c r="BWY53" s="280"/>
      <c r="BWZ53" s="280"/>
      <c r="BXA53" s="280"/>
      <c r="BXB53" s="280"/>
      <c r="BXC53" s="280"/>
      <c r="BXD53" s="280"/>
      <c r="BXE53" s="280"/>
      <c r="BXF53" s="280"/>
      <c r="BXG53" s="280"/>
      <c r="BXH53" s="280"/>
      <c r="BXI53" s="280"/>
      <c r="BXJ53" s="280"/>
      <c r="BXK53" s="280"/>
      <c r="BXL53" s="280"/>
      <c r="BXM53" s="280"/>
      <c r="BXN53" s="280"/>
      <c r="BXO53" s="280"/>
      <c r="BXP53" s="280"/>
      <c r="BXQ53" s="280"/>
      <c r="BXR53" s="280"/>
      <c r="BXS53" s="280"/>
      <c r="BXT53" s="280"/>
      <c r="BXU53" s="280"/>
      <c r="BXV53" s="280"/>
      <c r="BXW53" s="280"/>
      <c r="BXX53" s="280"/>
      <c r="BXY53" s="280"/>
      <c r="BXZ53" s="280"/>
      <c r="BYA53" s="280"/>
      <c r="BYB53" s="280"/>
      <c r="BYC53" s="280"/>
      <c r="BYD53" s="280"/>
      <c r="BYE53" s="280"/>
      <c r="BYF53" s="280"/>
      <c r="BYG53" s="280"/>
      <c r="BYH53" s="280"/>
      <c r="BYI53" s="280"/>
      <c r="BYJ53" s="280"/>
      <c r="BYK53" s="280"/>
      <c r="BYL53" s="280"/>
      <c r="BYM53" s="280"/>
      <c r="BYN53" s="280"/>
      <c r="BYO53" s="280"/>
      <c r="BYP53" s="280"/>
      <c r="BYQ53" s="280"/>
      <c r="BYR53" s="280"/>
      <c r="BYS53" s="280"/>
      <c r="BYT53" s="280"/>
      <c r="BYU53" s="280"/>
      <c r="BYV53" s="280"/>
      <c r="BYW53" s="280"/>
      <c r="BYX53" s="280"/>
      <c r="BYY53" s="280"/>
      <c r="BYZ53" s="280"/>
      <c r="BZA53" s="280"/>
      <c r="BZB53" s="280"/>
      <c r="BZC53" s="280"/>
      <c r="BZD53" s="280"/>
      <c r="BZE53" s="280"/>
      <c r="BZF53" s="280"/>
      <c r="BZG53" s="280"/>
      <c r="BZH53" s="280"/>
      <c r="BZI53" s="280"/>
      <c r="BZJ53" s="280"/>
      <c r="BZK53" s="280"/>
      <c r="BZL53" s="280"/>
      <c r="BZM53" s="280"/>
      <c r="BZN53" s="280"/>
      <c r="BZO53" s="280"/>
      <c r="BZP53" s="280"/>
      <c r="BZQ53" s="280"/>
      <c r="BZR53" s="280"/>
      <c r="BZS53" s="280"/>
      <c r="BZT53" s="280"/>
      <c r="BZU53" s="280"/>
      <c r="BZV53" s="280"/>
      <c r="BZW53" s="280"/>
      <c r="BZX53" s="280"/>
      <c r="BZY53" s="280"/>
      <c r="BZZ53" s="280"/>
      <c r="CAA53" s="280"/>
      <c r="CAB53" s="280"/>
      <c r="CAC53" s="280"/>
      <c r="CAD53" s="280"/>
      <c r="CAE53" s="280"/>
      <c r="CAF53" s="280"/>
      <c r="CAG53" s="280"/>
      <c r="CAH53" s="280"/>
      <c r="CAI53" s="280"/>
      <c r="CAJ53" s="280"/>
      <c r="CAK53" s="280"/>
      <c r="CAL53" s="280"/>
      <c r="CAM53" s="280"/>
      <c r="CAN53" s="280"/>
      <c r="CAO53" s="280"/>
      <c r="CAP53" s="280"/>
      <c r="CAQ53" s="280"/>
      <c r="CAR53" s="280"/>
      <c r="CAS53" s="280"/>
      <c r="CAT53" s="280"/>
      <c r="CAU53" s="280"/>
      <c r="CAV53" s="280"/>
      <c r="CAW53" s="280"/>
      <c r="CAX53" s="280"/>
      <c r="CAY53" s="280"/>
      <c r="CAZ53" s="280"/>
      <c r="CBA53" s="280"/>
      <c r="CBB53" s="280"/>
      <c r="CBC53" s="280"/>
      <c r="CBD53" s="280"/>
      <c r="CBE53" s="280"/>
      <c r="CBF53" s="280"/>
      <c r="CBG53" s="280"/>
      <c r="CBH53" s="280"/>
      <c r="CBI53" s="280"/>
      <c r="CBJ53" s="280"/>
      <c r="CBK53" s="280"/>
      <c r="CBL53" s="280"/>
      <c r="CBM53" s="280"/>
      <c r="CBN53" s="280"/>
      <c r="CBO53" s="280"/>
      <c r="CBP53" s="280"/>
      <c r="CBQ53" s="280"/>
      <c r="CBR53" s="280"/>
      <c r="CBS53" s="280"/>
      <c r="CBT53" s="280"/>
      <c r="CBU53" s="280"/>
      <c r="CBV53" s="280"/>
      <c r="CBW53" s="280"/>
      <c r="CBX53" s="280"/>
      <c r="CBY53" s="280"/>
      <c r="CBZ53" s="280"/>
      <c r="CCA53" s="280"/>
      <c r="CCB53" s="280"/>
      <c r="CCC53" s="280"/>
      <c r="CCD53" s="280"/>
      <c r="CCE53" s="280"/>
      <c r="CCF53" s="280"/>
      <c r="CCG53" s="280"/>
      <c r="CCH53" s="280"/>
      <c r="CCI53" s="280"/>
      <c r="CCJ53" s="280"/>
      <c r="CCK53" s="280"/>
      <c r="CCL53" s="280"/>
      <c r="CCM53" s="280"/>
      <c r="CCN53" s="280"/>
      <c r="CCO53" s="280"/>
      <c r="CCP53" s="280"/>
      <c r="CCQ53" s="280"/>
      <c r="CCR53" s="280"/>
      <c r="CCS53" s="280"/>
      <c r="CCT53" s="280"/>
      <c r="CCU53" s="280"/>
      <c r="CCV53" s="280"/>
      <c r="CCW53" s="280"/>
      <c r="CCX53" s="280"/>
      <c r="CCY53" s="280"/>
      <c r="CCZ53" s="280"/>
      <c r="CDA53" s="280"/>
      <c r="CDB53" s="280"/>
      <c r="CDC53" s="280"/>
      <c r="CDD53" s="280"/>
      <c r="CDE53" s="280"/>
      <c r="CDF53" s="280"/>
      <c r="CDG53" s="280"/>
      <c r="CDH53" s="280"/>
      <c r="CDI53" s="280"/>
      <c r="CDJ53" s="280"/>
      <c r="CDK53" s="280"/>
      <c r="CDL53" s="280"/>
      <c r="CDM53" s="280"/>
      <c r="CDN53" s="280"/>
      <c r="CDO53" s="280"/>
      <c r="CDP53" s="280"/>
      <c r="CDQ53" s="280"/>
      <c r="CDR53" s="280"/>
      <c r="CDS53" s="280"/>
      <c r="CDT53" s="280"/>
      <c r="CDU53" s="280"/>
      <c r="CDV53" s="280"/>
      <c r="CDW53" s="280"/>
      <c r="CDX53" s="280"/>
      <c r="CDY53" s="280"/>
      <c r="CDZ53" s="280"/>
      <c r="CEA53" s="280"/>
      <c r="CEB53" s="280"/>
      <c r="CEC53" s="280"/>
      <c r="CED53" s="280"/>
      <c r="CEE53" s="280"/>
      <c r="CEF53" s="280"/>
      <c r="CEG53" s="280"/>
      <c r="CEH53" s="280"/>
      <c r="CEI53" s="280"/>
      <c r="CEJ53" s="280"/>
      <c r="CEK53" s="280"/>
      <c r="CEL53" s="280"/>
      <c r="CEM53" s="280"/>
      <c r="CEN53" s="280"/>
      <c r="CEO53" s="280"/>
      <c r="CEP53" s="280"/>
      <c r="CEQ53" s="280"/>
      <c r="CER53" s="280"/>
      <c r="CES53" s="280"/>
      <c r="CET53" s="280"/>
      <c r="CEU53" s="280"/>
      <c r="CEV53" s="280"/>
      <c r="CEW53" s="280"/>
      <c r="CEX53" s="280"/>
      <c r="CEY53" s="280"/>
      <c r="CEZ53" s="280"/>
      <c r="CFA53" s="280"/>
      <c r="CFB53" s="280"/>
      <c r="CFC53" s="280"/>
      <c r="CFD53" s="280"/>
      <c r="CFE53" s="280"/>
      <c r="CFF53" s="280"/>
      <c r="CFG53" s="280"/>
      <c r="CFH53" s="280"/>
      <c r="CFI53" s="280"/>
      <c r="CFJ53" s="280"/>
      <c r="CFK53" s="280"/>
      <c r="CFL53" s="280"/>
      <c r="CFM53" s="280"/>
      <c r="CFN53" s="280"/>
      <c r="CFO53" s="280"/>
      <c r="CFP53" s="280"/>
      <c r="CFQ53" s="280"/>
      <c r="CFR53" s="280"/>
      <c r="CFS53" s="280"/>
      <c r="CFT53" s="280"/>
      <c r="CFU53" s="280"/>
      <c r="CFV53" s="280"/>
      <c r="CFW53" s="280"/>
      <c r="CFX53" s="280"/>
      <c r="CFY53" s="280"/>
      <c r="CFZ53" s="280"/>
      <c r="CGA53" s="280"/>
      <c r="CGB53" s="280"/>
      <c r="CGC53" s="280"/>
      <c r="CGD53" s="280"/>
      <c r="CGE53" s="280"/>
      <c r="CGF53" s="280"/>
      <c r="CGG53" s="280"/>
      <c r="CGH53" s="280"/>
      <c r="CGI53" s="280"/>
      <c r="CGJ53" s="280"/>
      <c r="CGK53" s="280"/>
      <c r="CGL53" s="280"/>
      <c r="CGM53" s="280"/>
      <c r="CGN53" s="280"/>
      <c r="CGO53" s="280"/>
      <c r="CGP53" s="280"/>
      <c r="CGQ53" s="280"/>
      <c r="CGR53" s="280"/>
      <c r="CGS53" s="280"/>
      <c r="CGT53" s="280"/>
      <c r="CGU53" s="280"/>
      <c r="CGV53" s="280"/>
      <c r="CGW53" s="280"/>
      <c r="CGX53" s="280"/>
      <c r="CGY53" s="280"/>
      <c r="CGZ53" s="280"/>
      <c r="CHA53" s="280"/>
      <c r="CHB53" s="280"/>
      <c r="CHC53" s="280"/>
      <c r="CHD53" s="280"/>
      <c r="CHE53" s="280"/>
      <c r="CHF53" s="280"/>
      <c r="CHG53" s="280"/>
      <c r="CHH53" s="280"/>
      <c r="CHI53" s="280"/>
      <c r="CHJ53" s="280"/>
      <c r="CHK53" s="280"/>
      <c r="CHL53" s="280"/>
      <c r="CHM53" s="280"/>
      <c r="CHN53" s="280"/>
      <c r="CHO53" s="280"/>
      <c r="CHP53" s="280"/>
      <c r="CHQ53" s="280"/>
      <c r="CHR53" s="280"/>
      <c r="CHS53" s="280"/>
      <c r="CHT53" s="280"/>
      <c r="CHU53" s="280"/>
      <c r="CHV53" s="280"/>
      <c r="CHW53" s="280"/>
      <c r="CHX53" s="280"/>
      <c r="CHY53" s="280"/>
      <c r="CHZ53" s="280"/>
      <c r="CIA53" s="280"/>
      <c r="CIB53" s="280"/>
      <c r="CIC53" s="280"/>
      <c r="CID53" s="280"/>
      <c r="CIE53" s="280"/>
      <c r="CIF53" s="280"/>
      <c r="CIG53" s="280"/>
      <c r="CIH53" s="280"/>
      <c r="CII53" s="280"/>
      <c r="CIJ53" s="280"/>
      <c r="CIK53" s="280"/>
      <c r="CIL53" s="280"/>
      <c r="CIM53" s="280"/>
      <c r="CIN53" s="280"/>
      <c r="CIO53" s="280"/>
      <c r="CIP53" s="280"/>
      <c r="CIQ53" s="280"/>
      <c r="CIR53" s="280"/>
      <c r="CIS53" s="280"/>
      <c r="CIT53" s="280"/>
      <c r="CIU53" s="280"/>
      <c r="CIV53" s="280"/>
      <c r="CIW53" s="280"/>
      <c r="CIX53" s="280"/>
      <c r="CIY53" s="280"/>
      <c r="CIZ53" s="280"/>
      <c r="CJA53" s="280"/>
      <c r="CJB53" s="280"/>
      <c r="CJC53" s="280"/>
      <c r="CJD53" s="280"/>
      <c r="CJE53" s="280"/>
      <c r="CJF53" s="280"/>
      <c r="CJG53" s="280"/>
      <c r="CJH53" s="280"/>
      <c r="CJI53" s="280"/>
      <c r="CJJ53" s="280"/>
      <c r="CJK53" s="280"/>
      <c r="CJL53" s="280"/>
      <c r="CJM53" s="280"/>
      <c r="CJN53" s="280"/>
      <c r="CJO53" s="280"/>
      <c r="CJP53" s="280"/>
      <c r="CJQ53" s="280"/>
      <c r="CJR53" s="280"/>
      <c r="CJS53" s="280"/>
      <c r="CJT53" s="280"/>
      <c r="CJU53" s="280"/>
      <c r="CJV53" s="280"/>
      <c r="CJW53" s="280"/>
      <c r="CJX53" s="280"/>
      <c r="CJY53" s="280"/>
      <c r="CJZ53" s="280"/>
      <c r="CKA53" s="280"/>
      <c r="CKB53" s="280"/>
      <c r="CKC53" s="280"/>
      <c r="CKD53" s="280"/>
      <c r="CKE53" s="280"/>
      <c r="CKF53" s="280"/>
      <c r="CKG53" s="280"/>
      <c r="CKH53" s="280"/>
      <c r="CKI53" s="280"/>
      <c r="CKJ53" s="280"/>
      <c r="CKK53" s="280"/>
      <c r="CKL53" s="280"/>
      <c r="CKM53" s="280"/>
      <c r="CKN53" s="280"/>
      <c r="CKO53" s="280"/>
      <c r="CKP53" s="280"/>
      <c r="CKQ53" s="280"/>
      <c r="CKR53" s="280"/>
      <c r="CKS53" s="280"/>
      <c r="CKT53" s="280"/>
      <c r="CKU53" s="280"/>
      <c r="CKV53" s="280"/>
      <c r="CKW53" s="280"/>
      <c r="CKX53" s="280"/>
      <c r="CKY53" s="280"/>
      <c r="CKZ53" s="280"/>
      <c r="CLA53" s="280"/>
      <c r="CLB53" s="280"/>
      <c r="CLC53" s="280"/>
      <c r="CLD53" s="280"/>
      <c r="CLE53" s="280"/>
      <c r="CLF53" s="280"/>
      <c r="CLG53" s="280"/>
      <c r="CLH53" s="280"/>
      <c r="CLI53" s="280"/>
      <c r="CLJ53" s="280"/>
      <c r="CLK53" s="280"/>
      <c r="CLL53" s="280"/>
      <c r="CLM53" s="280"/>
      <c r="CLN53" s="280"/>
      <c r="CLO53" s="280"/>
      <c r="CLP53" s="280"/>
      <c r="CLQ53" s="280"/>
      <c r="CLR53" s="280"/>
      <c r="CLS53" s="280"/>
      <c r="CLT53" s="280"/>
      <c r="CLU53" s="280"/>
      <c r="CLV53" s="280"/>
      <c r="CLW53" s="280"/>
      <c r="CLX53" s="280"/>
      <c r="CLY53" s="280"/>
      <c r="CLZ53" s="280"/>
      <c r="CMA53" s="280"/>
      <c r="CMB53" s="280"/>
      <c r="CMC53" s="280"/>
      <c r="CMD53" s="280"/>
      <c r="CME53" s="280"/>
      <c r="CMF53" s="280"/>
      <c r="CMG53" s="280"/>
      <c r="CMH53" s="280"/>
      <c r="CMI53" s="280"/>
      <c r="CMJ53" s="280"/>
      <c r="CMK53" s="280"/>
      <c r="CML53" s="280"/>
      <c r="CMM53" s="280"/>
      <c r="CMN53" s="280"/>
      <c r="CMO53" s="280"/>
      <c r="CMP53" s="280"/>
      <c r="CMQ53" s="280"/>
      <c r="CMR53" s="280"/>
      <c r="CMS53" s="280"/>
      <c r="CMT53" s="280"/>
      <c r="CMU53" s="280"/>
      <c r="CMV53" s="280"/>
      <c r="CMW53" s="280"/>
      <c r="CMX53" s="280"/>
      <c r="CMY53" s="280"/>
      <c r="CMZ53" s="280"/>
      <c r="CNA53" s="280"/>
      <c r="CNB53" s="280"/>
      <c r="CNC53" s="280"/>
      <c r="CND53" s="280"/>
      <c r="CNE53" s="280"/>
      <c r="CNF53" s="280"/>
      <c r="CNG53" s="280"/>
      <c r="CNH53" s="280"/>
      <c r="CNI53" s="280"/>
      <c r="CNJ53" s="280"/>
      <c r="CNK53" s="280"/>
      <c r="CNL53" s="280"/>
      <c r="CNM53" s="280"/>
      <c r="CNN53" s="280"/>
      <c r="CNO53" s="280"/>
      <c r="CNP53" s="280"/>
      <c r="CNQ53" s="280"/>
      <c r="CNR53" s="280"/>
      <c r="CNS53" s="280"/>
      <c r="CNT53" s="280"/>
      <c r="CNU53" s="280"/>
      <c r="CNV53" s="280"/>
      <c r="CNW53" s="280"/>
      <c r="CNX53" s="280"/>
      <c r="CNY53" s="280"/>
      <c r="CNZ53" s="280"/>
      <c r="COA53" s="280"/>
      <c r="COB53" s="280"/>
      <c r="COC53" s="280"/>
      <c r="COD53" s="280"/>
      <c r="COE53" s="280"/>
      <c r="COF53" s="280"/>
      <c r="COG53" s="280"/>
      <c r="COH53" s="280"/>
      <c r="COI53" s="280"/>
    </row>
    <row r="54" spans="1:2427" s="484" customFormat="1" ht="13.8" x14ac:dyDescent="0.25">
      <c r="A54" s="1322" t="s">
        <v>1015</v>
      </c>
      <c r="B54" s="1340">
        <f t="shared" ref="B54:I54" si="47">+B53+B52</f>
        <v>56.06666666666667</v>
      </c>
      <c r="C54" s="1340">
        <f t="shared" si="47"/>
        <v>32.266666666666666</v>
      </c>
      <c r="D54" s="1340">
        <f t="shared" si="47"/>
        <v>0</v>
      </c>
      <c r="E54" s="1341">
        <f t="shared" si="47"/>
        <v>88.333333333333329</v>
      </c>
      <c r="F54" s="1340">
        <f t="shared" si="47"/>
        <v>62.93333333333333</v>
      </c>
      <c r="G54" s="1340">
        <f t="shared" si="47"/>
        <v>31.466666666666669</v>
      </c>
      <c r="H54" s="1340">
        <f t="shared" si="47"/>
        <v>0</v>
      </c>
      <c r="I54" s="1340">
        <f t="shared" si="47"/>
        <v>94.4</v>
      </c>
      <c r="J54" s="1323">
        <f>IF(E54&gt;0,(I54-E54)/E54,(IF(I54=0,"N/A",100%)))</f>
        <v>6.8679245283018983E-2</v>
      </c>
      <c r="K54" s="1042">
        <f>+K53+K52</f>
        <v>84.8</v>
      </c>
      <c r="L54" s="1340">
        <f>+L53+L52</f>
        <v>21.666666666666664</v>
      </c>
      <c r="M54" s="1340">
        <f>+M53+M52</f>
        <v>0</v>
      </c>
      <c r="N54" s="1340">
        <f>+N53+N52</f>
        <v>106.46666666666667</v>
      </c>
      <c r="O54" s="1342">
        <f>IF(I54&gt;0,(N54-I54)/I54,(IF(N54=0,"N/A",100%)))</f>
        <v>0.12782485875706209</v>
      </c>
      <c r="P54" s="1042">
        <f>+P53+P52</f>
        <v>99.2</v>
      </c>
      <c r="Q54" s="1340">
        <f>+Q53+Q52</f>
        <v>19.866666666666667</v>
      </c>
      <c r="R54" s="1340">
        <f>+R53+R52</f>
        <v>0</v>
      </c>
      <c r="S54" s="1340">
        <f>+S53+S52</f>
        <v>119.06666666666668</v>
      </c>
      <c r="T54" s="1323">
        <f>IF(N54&gt;0,(S54-N54)/N54,(IF(S54=0,"N/A",100%)))</f>
        <v>0.11834690043832193</v>
      </c>
      <c r="U54" s="1340">
        <f>+U53+U52</f>
        <v>82.399999999999991</v>
      </c>
      <c r="V54" s="1340">
        <f>+V53+V52</f>
        <v>37.333333333333336</v>
      </c>
      <c r="W54" s="1340">
        <f>+W53+W52</f>
        <v>0</v>
      </c>
      <c r="X54" s="1340">
        <f>+X53+X52</f>
        <v>119.73333333333332</v>
      </c>
      <c r="Y54" s="1323">
        <f>IF(S54&gt;0,(X54-S54)/S54,(IF(X54=0,"N/A",100%)))</f>
        <v>5.5991041433368664E-3</v>
      </c>
      <c r="Z54" s="1343">
        <f>+Z53+Z52</f>
        <v>59.6</v>
      </c>
      <c r="AA54" s="1343">
        <f>+AA53+AA52</f>
        <v>37.866666666666667</v>
      </c>
      <c r="AB54" s="1343">
        <f>+AB53+AB52</f>
        <v>0.25</v>
      </c>
      <c r="AC54" s="1343">
        <f>+AC53+AC52</f>
        <v>97.716666666666669</v>
      </c>
      <c r="AD54" s="1324">
        <f>IF(X54&gt;0,(AC54-X54)/X54,(IF(AC54=0,"N/A",100%)))</f>
        <v>-0.18388084632516694</v>
      </c>
      <c r="AE54" s="1343">
        <f>+AE53+AE52</f>
        <v>70.933333333333337</v>
      </c>
      <c r="AF54" s="1343">
        <f>+AF53+AF52</f>
        <v>43.866666666666667</v>
      </c>
      <c r="AG54" s="1343">
        <f>+AG53+AG52</f>
        <v>0</v>
      </c>
      <c r="AH54" s="1343">
        <f>+AH53+AH52</f>
        <v>114.8</v>
      </c>
      <c r="AI54" s="1324">
        <f>IF(AC54&gt;0,(AH54-AC54)/AC54,(IF(AH54=0,"N/A",100%)))</f>
        <v>0.17482517482517476</v>
      </c>
      <c r="AJ54" s="1343">
        <f>+AJ53+AJ52</f>
        <v>55</v>
      </c>
      <c r="AK54" s="1343">
        <f>+AK53+AK52</f>
        <v>27.06666666666667</v>
      </c>
      <c r="AL54" s="1343">
        <f>+AL53+AL52</f>
        <v>0</v>
      </c>
      <c r="AM54" s="1343">
        <f>+AM53+AM52</f>
        <v>82.066666666666663</v>
      </c>
      <c r="AN54" s="1324">
        <f>IF(AH54&gt;0,(AM54-AH54)/AH54,(IF(AM54=0,"N/A",100%)))</f>
        <v>-0.28513356562137049</v>
      </c>
      <c r="AO54" s="1343">
        <f>+AO53+AO52</f>
        <v>37.6</v>
      </c>
      <c r="AP54" s="1343">
        <f>+AP53+AP52</f>
        <v>32.666666666666664</v>
      </c>
      <c r="AQ54" s="1343">
        <f>+AQ53+AQ52</f>
        <v>0</v>
      </c>
      <c r="AR54" s="1343">
        <f>+AR53+AR52</f>
        <v>70.266666666666666</v>
      </c>
      <c r="AS54" s="1324">
        <f>IF(AM54&gt;0,(AR54-AM54)/AM54,(IF(AR54=0,"N/A",100%)))</f>
        <v>-0.14378554021121037</v>
      </c>
      <c r="AT54" s="280"/>
      <c r="AU54" s="280"/>
      <c r="AV54" s="280"/>
      <c r="AW54" s="280"/>
      <c r="AX54" s="280"/>
      <c r="AY54" s="280"/>
      <c r="AZ54" s="280"/>
      <c r="BA54" s="280"/>
      <c r="BB54" s="280"/>
      <c r="BC54" s="280"/>
      <c r="BD54" s="280"/>
      <c r="BE54" s="280"/>
      <c r="BF54" s="280"/>
      <c r="BG54" s="280"/>
      <c r="BH54" s="280"/>
      <c r="BI54" s="280"/>
      <c r="BJ54" s="280"/>
      <c r="BK54" s="280"/>
      <c r="BL54" s="280"/>
      <c r="BM54" s="280"/>
      <c r="BN54" s="280"/>
      <c r="BO54" s="280"/>
      <c r="BP54" s="280"/>
      <c r="BQ54" s="280"/>
      <c r="BR54" s="280"/>
      <c r="BS54" s="280"/>
      <c r="BT54" s="280"/>
      <c r="BU54" s="280"/>
      <c r="BV54" s="280"/>
      <c r="BW54" s="280"/>
      <c r="BX54" s="280"/>
      <c r="BY54" s="280"/>
      <c r="BZ54" s="280"/>
      <c r="CA54" s="280"/>
      <c r="CB54" s="280"/>
      <c r="CC54" s="280"/>
      <c r="CD54" s="280"/>
      <c r="CE54" s="280"/>
      <c r="CF54" s="280"/>
      <c r="CG54" s="280"/>
      <c r="CH54" s="280"/>
      <c r="CI54" s="280"/>
      <c r="CJ54" s="280"/>
      <c r="CK54" s="280"/>
      <c r="CL54" s="280"/>
      <c r="CM54" s="280"/>
      <c r="CN54" s="280"/>
      <c r="CO54" s="280"/>
      <c r="CP54" s="280"/>
      <c r="CQ54" s="280"/>
      <c r="CR54" s="280"/>
      <c r="CS54" s="280"/>
      <c r="CT54" s="280"/>
      <c r="CU54" s="280"/>
      <c r="CV54" s="280"/>
      <c r="CW54" s="280"/>
      <c r="CX54" s="280"/>
      <c r="CY54" s="280"/>
      <c r="CZ54" s="280"/>
      <c r="DA54" s="280"/>
      <c r="DB54" s="280"/>
      <c r="DC54" s="280"/>
      <c r="DD54" s="280"/>
      <c r="DE54" s="280"/>
      <c r="DF54" s="280"/>
      <c r="DG54" s="280"/>
      <c r="DH54" s="280"/>
      <c r="DI54" s="280"/>
      <c r="DJ54" s="280"/>
      <c r="DK54" s="280"/>
      <c r="DL54" s="280"/>
      <c r="DM54" s="280"/>
      <c r="DN54" s="280"/>
      <c r="DO54" s="280"/>
      <c r="DP54" s="280"/>
      <c r="DQ54" s="280"/>
      <c r="DR54" s="280"/>
      <c r="DS54" s="280"/>
      <c r="DT54" s="280"/>
      <c r="DU54" s="280"/>
      <c r="DV54" s="280"/>
      <c r="DW54" s="280"/>
      <c r="DX54" s="280"/>
      <c r="DY54" s="280"/>
      <c r="DZ54" s="280"/>
      <c r="EA54" s="280"/>
      <c r="EB54" s="280"/>
      <c r="EC54" s="280"/>
      <c r="ED54" s="280"/>
      <c r="EE54" s="280"/>
      <c r="EF54" s="280"/>
      <c r="EG54" s="280"/>
      <c r="EH54" s="280"/>
      <c r="EI54" s="280"/>
      <c r="EJ54" s="280"/>
      <c r="EK54" s="280"/>
      <c r="EL54" s="280"/>
      <c r="EM54" s="280"/>
      <c r="EN54" s="280"/>
      <c r="EO54" s="280"/>
      <c r="EP54" s="280"/>
      <c r="EQ54" s="280"/>
      <c r="ER54" s="280"/>
      <c r="ES54" s="280"/>
      <c r="ET54" s="280"/>
      <c r="EU54" s="280"/>
      <c r="EV54" s="280"/>
      <c r="EW54" s="280"/>
      <c r="EX54" s="280"/>
      <c r="EY54" s="280"/>
      <c r="EZ54" s="280"/>
      <c r="FA54" s="280"/>
      <c r="FB54" s="280"/>
      <c r="FC54" s="280"/>
      <c r="FD54" s="280"/>
      <c r="FE54" s="280"/>
      <c r="FF54" s="280"/>
      <c r="FG54" s="280"/>
      <c r="FH54" s="280"/>
      <c r="FI54" s="280"/>
      <c r="FJ54" s="280"/>
      <c r="FK54" s="280"/>
      <c r="FL54" s="280"/>
      <c r="FM54" s="280"/>
      <c r="FN54" s="280"/>
      <c r="FO54" s="280"/>
      <c r="FP54" s="280"/>
      <c r="FQ54" s="280"/>
      <c r="FR54" s="280"/>
      <c r="FS54" s="280"/>
      <c r="FT54" s="280"/>
      <c r="FU54" s="280"/>
      <c r="FV54" s="280"/>
      <c r="FW54" s="280"/>
      <c r="FX54" s="280"/>
      <c r="FY54" s="280"/>
      <c r="FZ54" s="280"/>
      <c r="GA54" s="280"/>
      <c r="GB54" s="280"/>
      <c r="GC54" s="280"/>
      <c r="GD54" s="280"/>
      <c r="GE54" s="280"/>
      <c r="GF54" s="280"/>
      <c r="GG54" s="280"/>
      <c r="GH54" s="280"/>
      <c r="GI54" s="280"/>
      <c r="GJ54" s="280"/>
      <c r="GK54" s="280"/>
      <c r="GL54" s="280"/>
      <c r="GM54" s="280"/>
      <c r="GN54" s="280"/>
      <c r="GO54" s="280"/>
      <c r="GP54" s="280"/>
      <c r="GQ54" s="280"/>
      <c r="GR54" s="280"/>
      <c r="GS54" s="280"/>
      <c r="GT54" s="280"/>
      <c r="GU54" s="280"/>
      <c r="GV54" s="280"/>
      <c r="GW54" s="280"/>
      <c r="GX54" s="280"/>
      <c r="GY54" s="280"/>
      <c r="GZ54" s="280"/>
      <c r="HA54" s="280"/>
      <c r="HB54" s="280"/>
      <c r="HC54" s="280"/>
      <c r="HD54" s="280"/>
      <c r="HE54" s="280"/>
      <c r="HF54" s="280"/>
      <c r="HG54" s="280"/>
      <c r="HH54" s="280"/>
      <c r="HI54" s="280"/>
      <c r="HJ54" s="280"/>
      <c r="HK54" s="280"/>
      <c r="HL54" s="280"/>
      <c r="HM54" s="280"/>
      <c r="HN54" s="280"/>
      <c r="HO54" s="280"/>
      <c r="HP54" s="280"/>
      <c r="HQ54" s="280"/>
      <c r="HR54" s="280"/>
      <c r="HS54" s="280"/>
      <c r="HT54" s="280"/>
      <c r="HU54" s="280"/>
      <c r="HV54" s="280"/>
      <c r="HW54" s="280"/>
      <c r="HX54" s="280"/>
      <c r="HY54" s="280"/>
      <c r="HZ54" s="280"/>
      <c r="IA54" s="280"/>
      <c r="IB54" s="280"/>
      <c r="IC54" s="280"/>
      <c r="ID54" s="280"/>
      <c r="IE54" s="280"/>
      <c r="IF54" s="280"/>
      <c r="IG54" s="280"/>
      <c r="IH54" s="280"/>
      <c r="II54" s="280"/>
      <c r="IJ54" s="280"/>
      <c r="IK54" s="280"/>
      <c r="IL54" s="280"/>
      <c r="IM54" s="280"/>
      <c r="IN54" s="280"/>
      <c r="IO54" s="280"/>
      <c r="IP54" s="280"/>
      <c r="IQ54" s="280"/>
      <c r="IR54" s="280"/>
      <c r="IS54" s="280"/>
      <c r="IT54" s="280"/>
      <c r="IU54" s="280"/>
      <c r="IV54" s="280"/>
      <c r="IW54" s="280"/>
      <c r="IX54" s="280"/>
      <c r="IY54" s="280"/>
      <c r="IZ54" s="280"/>
      <c r="JA54" s="280"/>
      <c r="JB54" s="280"/>
      <c r="JC54" s="280"/>
      <c r="JD54" s="280"/>
      <c r="JE54" s="280"/>
      <c r="JF54" s="280"/>
      <c r="JG54" s="280"/>
      <c r="JH54" s="280"/>
      <c r="JI54" s="280"/>
      <c r="JJ54" s="280"/>
      <c r="JK54" s="280"/>
      <c r="JL54" s="280"/>
      <c r="JM54" s="280"/>
      <c r="JN54" s="280"/>
      <c r="JO54" s="280"/>
      <c r="JP54" s="280"/>
      <c r="JQ54" s="280"/>
      <c r="JR54" s="280"/>
      <c r="JS54" s="280"/>
      <c r="JT54" s="280"/>
      <c r="JU54" s="280"/>
      <c r="JV54" s="280"/>
      <c r="JW54" s="280"/>
      <c r="JX54" s="280"/>
      <c r="JY54" s="280"/>
      <c r="JZ54" s="280"/>
      <c r="KA54" s="280"/>
      <c r="KB54" s="280"/>
      <c r="KC54" s="280"/>
      <c r="KD54" s="280"/>
      <c r="KE54" s="280"/>
      <c r="KF54" s="280"/>
      <c r="KG54" s="280"/>
      <c r="KH54" s="280"/>
      <c r="KI54" s="280"/>
      <c r="KJ54" s="280"/>
      <c r="KK54" s="280"/>
      <c r="KL54" s="280"/>
      <c r="KM54" s="280"/>
      <c r="KN54" s="280"/>
      <c r="KO54" s="280"/>
      <c r="KP54" s="280"/>
      <c r="KQ54" s="280"/>
      <c r="KR54" s="280"/>
      <c r="KS54" s="280"/>
      <c r="KT54" s="280"/>
      <c r="KU54" s="280"/>
      <c r="KV54" s="280"/>
      <c r="KW54" s="280"/>
      <c r="KX54" s="280"/>
      <c r="KY54" s="280"/>
      <c r="KZ54" s="280"/>
      <c r="LA54" s="280"/>
      <c r="LB54" s="280"/>
      <c r="LC54" s="280"/>
      <c r="LD54" s="280"/>
      <c r="LE54" s="280"/>
      <c r="LF54" s="280"/>
      <c r="LG54" s="280"/>
      <c r="LH54" s="280"/>
      <c r="LI54" s="280"/>
      <c r="LJ54" s="280"/>
      <c r="LK54" s="280"/>
      <c r="LL54" s="280"/>
      <c r="LM54" s="280"/>
      <c r="LN54" s="280"/>
      <c r="LO54" s="280"/>
      <c r="LP54" s="280"/>
      <c r="LQ54" s="280"/>
      <c r="LR54" s="280"/>
      <c r="LS54" s="280"/>
      <c r="LT54" s="280"/>
      <c r="LU54" s="280"/>
      <c r="LV54" s="280"/>
      <c r="LW54" s="280"/>
      <c r="LX54" s="280"/>
      <c r="LY54" s="280"/>
      <c r="LZ54" s="280"/>
      <c r="MA54" s="280"/>
      <c r="MB54" s="280"/>
      <c r="MC54" s="280"/>
      <c r="MD54" s="280"/>
      <c r="ME54" s="280"/>
      <c r="MF54" s="280"/>
      <c r="MG54" s="280"/>
      <c r="MH54" s="280"/>
      <c r="MI54" s="280"/>
      <c r="MJ54" s="280"/>
      <c r="MK54" s="280"/>
      <c r="ML54" s="280"/>
      <c r="MM54" s="280"/>
      <c r="MN54" s="280"/>
      <c r="MO54" s="280"/>
      <c r="MP54" s="280"/>
      <c r="MQ54" s="280"/>
      <c r="MR54" s="280"/>
      <c r="MS54" s="280"/>
      <c r="MT54" s="280"/>
      <c r="MU54" s="280"/>
      <c r="MV54" s="280"/>
      <c r="MW54" s="280"/>
      <c r="MX54" s="280"/>
      <c r="MY54" s="280"/>
      <c r="MZ54" s="280"/>
      <c r="NA54" s="280"/>
      <c r="NB54" s="280"/>
      <c r="NC54" s="280"/>
      <c r="ND54" s="280"/>
      <c r="NE54" s="280"/>
      <c r="NF54" s="280"/>
      <c r="NG54" s="280"/>
      <c r="NH54" s="280"/>
      <c r="NI54" s="280"/>
      <c r="NJ54" s="280"/>
      <c r="NK54" s="280"/>
      <c r="NL54" s="280"/>
      <c r="NM54" s="280"/>
      <c r="NN54" s="280"/>
      <c r="NO54" s="280"/>
      <c r="NP54" s="280"/>
      <c r="NQ54" s="280"/>
      <c r="NR54" s="280"/>
      <c r="NS54" s="280"/>
      <c r="NT54" s="280"/>
      <c r="NU54" s="280"/>
      <c r="NV54" s="280"/>
      <c r="NW54" s="280"/>
      <c r="NX54" s="280"/>
      <c r="NY54" s="280"/>
      <c r="NZ54" s="280"/>
      <c r="OA54" s="280"/>
      <c r="OB54" s="280"/>
      <c r="OC54" s="280"/>
      <c r="OD54" s="280"/>
      <c r="OE54" s="280"/>
      <c r="OF54" s="280"/>
      <c r="OG54" s="280"/>
      <c r="OH54" s="280"/>
      <c r="OI54" s="280"/>
      <c r="OJ54" s="280"/>
      <c r="OK54" s="280"/>
      <c r="OL54" s="280"/>
      <c r="OM54" s="280"/>
      <c r="ON54" s="280"/>
      <c r="OO54" s="280"/>
      <c r="OP54" s="280"/>
      <c r="OQ54" s="280"/>
      <c r="OR54" s="280"/>
      <c r="OS54" s="280"/>
      <c r="OT54" s="280"/>
      <c r="OU54" s="280"/>
      <c r="OV54" s="280"/>
      <c r="OW54" s="280"/>
      <c r="OX54" s="280"/>
      <c r="OY54" s="280"/>
      <c r="OZ54" s="280"/>
      <c r="PA54" s="280"/>
      <c r="PB54" s="280"/>
      <c r="PC54" s="280"/>
      <c r="PD54" s="280"/>
      <c r="PE54" s="280"/>
      <c r="PF54" s="280"/>
      <c r="PG54" s="280"/>
      <c r="PH54" s="280"/>
      <c r="PI54" s="280"/>
      <c r="PJ54" s="280"/>
      <c r="PK54" s="280"/>
      <c r="PL54" s="280"/>
      <c r="PM54" s="280"/>
      <c r="PN54" s="280"/>
      <c r="PO54" s="280"/>
      <c r="PP54" s="280"/>
      <c r="PQ54" s="280"/>
      <c r="PR54" s="280"/>
      <c r="PS54" s="280"/>
      <c r="PT54" s="280"/>
      <c r="PU54" s="280"/>
      <c r="PV54" s="280"/>
      <c r="PW54" s="280"/>
      <c r="PX54" s="280"/>
      <c r="PY54" s="280"/>
      <c r="PZ54" s="280"/>
      <c r="QA54" s="280"/>
      <c r="QB54" s="280"/>
      <c r="QC54" s="280"/>
      <c r="QD54" s="280"/>
      <c r="QE54" s="280"/>
      <c r="QF54" s="280"/>
      <c r="QG54" s="280"/>
      <c r="QH54" s="280"/>
      <c r="QI54" s="280"/>
      <c r="QJ54" s="280"/>
      <c r="QK54" s="280"/>
      <c r="QL54" s="280"/>
      <c r="QM54" s="280"/>
      <c r="QN54" s="280"/>
      <c r="QO54" s="280"/>
      <c r="QP54" s="280"/>
      <c r="QQ54" s="280"/>
      <c r="QR54" s="280"/>
      <c r="QS54" s="280"/>
      <c r="QT54" s="280"/>
      <c r="QU54" s="280"/>
      <c r="QV54" s="280"/>
      <c r="QW54" s="280"/>
      <c r="QX54" s="280"/>
      <c r="QY54" s="280"/>
      <c r="QZ54" s="280"/>
      <c r="RA54" s="280"/>
      <c r="RB54" s="280"/>
      <c r="RC54" s="280"/>
      <c r="RD54" s="280"/>
      <c r="RE54" s="280"/>
      <c r="RF54" s="280"/>
      <c r="RG54" s="280"/>
      <c r="RH54" s="280"/>
      <c r="RI54" s="280"/>
      <c r="RJ54" s="280"/>
      <c r="RK54" s="280"/>
      <c r="RL54" s="280"/>
      <c r="RM54" s="280"/>
      <c r="RN54" s="280"/>
      <c r="RO54" s="280"/>
      <c r="RP54" s="280"/>
      <c r="RQ54" s="280"/>
      <c r="RR54" s="280"/>
      <c r="RS54" s="280"/>
      <c r="RT54" s="280"/>
      <c r="RU54" s="280"/>
      <c r="RV54" s="280"/>
      <c r="RW54" s="280"/>
      <c r="RX54" s="280"/>
      <c r="RY54" s="280"/>
      <c r="RZ54" s="280"/>
      <c r="SA54" s="280"/>
      <c r="SB54" s="280"/>
      <c r="SC54" s="280"/>
      <c r="SD54" s="280"/>
      <c r="SE54" s="280"/>
      <c r="SF54" s="280"/>
      <c r="SG54" s="280"/>
      <c r="SH54" s="280"/>
      <c r="SI54" s="280"/>
      <c r="SJ54" s="280"/>
      <c r="SK54" s="280"/>
      <c r="SL54" s="280"/>
      <c r="SM54" s="280"/>
      <c r="SN54" s="280"/>
      <c r="SO54" s="280"/>
      <c r="SP54" s="280"/>
      <c r="SQ54" s="280"/>
      <c r="SR54" s="280"/>
      <c r="SS54" s="280"/>
      <c r="ST54" s="280"/>
      <c r="SU54" s="280"/>
      <c r="SV54" s="280"/>
      <c r="SW54" s="280"/>
      <c r="SX54" s="280"/>
      <c r="SY54" s="280"/>
      <c r="SZ54" s="280"/>
      <c r="TA54" s="280"/>
      <c r="TB54" s="280"/>
      <c r="TC54" s="280"/>
      <c r="TD54" s="280"/>
      <c r="TE54" s="280"/>
      <c r="TF54" s="280"/>
      <c r="TG54" s="280"/>
      <c r="TH54" s="280"/>
      <c r="TI54" s="280"/>
      <c r="TJ54" s="280"/>
      <c r="TK54" s="280"/>
      <c r="TL54" s="280"/>
      <c r="TM54" s="280"/>
      <c r="TN54" s="280"/>
      <c r="TO54" s="280"/>
      <c r="TP54" s="280"/>
      <c r="TQ54" s="280"/>
      <c r="TR54" s="280"/>
      <c r="TS54" s="280"/>
      <c r="TT54" s="280"/>
      <c r="TU54" s="280"/>
      <c r="TV54" s="280"/>
      <c r="TW54" s="280"/>
      <c r="TX54" s="280"/>
      <c r="TY54" s="280"/>
      <c r="TZ54" s="280"/>
      <c r="UA54" s="280"/>
      <c r="UB54" s="280"/>
      <c r="UC54" s="280"/>
      <c r="UD54" s="280"/>
      <c r="UE54" s="280"/>
      <c r="UF54" s="280"/>
      <c r="UG54" s="280"/>
      <c r="UH54" s="280"/>
      <c r="UI54" s="280"/>
      <c r="UJ54" s="280"/>
      <c r="UK54" s="280"/>
      <c r="UL54" s="280"/>
      <c r="UM54" s="280"/>
      <c r="UN54" s="280"/>
      <c r="UO54" s="280"/>
      <c r="UP54" s="280"/>
      <c r="UQ54" s="280"/>
      <c r="UR54" s="280"/>
      <c r="US54" s="280"/>
      <c r="UT54" s="280"/>
      <c r="UU54" s="280"/>
      <c r="UV54" s="280"/>
      <c r="UW54" s="280"/>
      <c r="UX54" s="280"/>
      <c r="UY54" s="280"/>
      <c r="UZ54" s="280"/>
      <c r="VA54" s="280"/>
      <c r="VB54" s="280"/>
      <c r="VC54" s="280"/>
      <c r="VD54" s="280"/>
      <c r="VE54" s="280"/>
      <c r="VF54" s="280"/>
      <c r="VG54" s="280"/>
      <c r="VH54" s="280"/>
      <c r="VI54" s="280"/>
      <c r="VJ54" s="280"/>
      <c r="VK54" s="280"/>
      <c r="VL54" s="280"/>
      <c r="VM54" s="280"/>
      <c r="VN54" s="280"/>
      <c r="VO54" s="280"/>
      <c r="VP54" s="280"/>
      <c r="VQ54" s="280"/>
      <c r="VR54" s="280"/>
      <c r="VS54" s="280"/>
      <c r="VT54" s="280"/>
      <c r="VU54" s="280"/>
      <c r="VV54" s="280"/>
      <c r="VW54" s="280"/>
      <c r="VX54" s="280"/>
      <c r="VY54" s="280"/>
      <c r="VZ54" s="280"/>
      <c r="WA54" s="280"/>
      <c r="WB54" s="280"/>
      <c r="WC54" s="280"/>
      <c r="WD54" s="280"/>
      <c r="WE54" s="280"/>
      <c r="WF54" s="280"/>
      <c r="WG54" s="280"/>
      <c r="WH54" s="280"/>
      <c r="WI54" s="280"/>
      <c r="WJ54" s="280"/>
      <c r="WK54" s="280"/>
      <c r="WL54" s="280"/>
      <c r="WM54" s="280"/>
      <c r="WN54" s="280"/>
      <c r="WO54" s="280"/>
      <c r="WP54" s="280"/>
      <c r="WQ54" s="280"/>
      <c r="WR54" s="280"/>
      <c r="WS54" s="280"/>
      <c r="WT54" s="280"/>
      <c r="WU54" s="280"/>
      <c r="WV54" s="280"/>
      <c r="WW54" s="280"/>
      <c r="WX54" s="280"/>
      <c r="WY54" s="280"/>
      <c r="WZ54" s="280"/>
      <c r="XA54" s="280"/>
      <c r="XB54" s="280"/>
      <c r="XC54" s="280"/>
      <c r="XD54" s="280"/>
      <c r="XE54" s="280"/>
      <c r="XF54" s="280"/>
      <c r="XG54" s="280"/>
      <c r="XH54" s="280"/>
      <c r="XI54" s="280"/>
      <c r="XJ54" s="280"/>
      <c r="XK54" s="280"/>
      <c r="XL54" s="280"/>
      <c r="XM54" s="280"/>
      <c r="XN54" s="280"/>
      <c r="XO54" s="280"/>
      <c r="XP54" s="280"/>
      <c r="XQ54" s="280"/>
      <c r="XR54" s="280"/>
      <c r="XS54" s="280"/>
      <c r="XT54" s="280"/>
      <c r="XU54" s="280"/>
      <c r="XV54" s="280"/>
      <c r="XW54" s="280"/>
      <c r="XX54" s="280"/>
      <c r="XY54" s="280"/>
      <c r="XZ54" s="280"/>
      <c r="YA54" s="280"/>
      <c r="YB54" s="280"/>
      <c r="YC54" s="280"/>
      <c r="YD54" s="280"/>
      <c r="YE54" s="280"/>
      <c r="YF54" s="280"/>
      <c r="YG54" s="280"/>
      <c r="YH54" s="280"/>
      <c r="YI54" s="280"/>
      <c r="YJ54" s="280"/>
      <c r="YK54" s="280"/>
      <c r="YL54" s="280"/>
      <c r="YM54" s="280"/>
      <c r="YN54" s="280"/>
      <c r="YO54" s="280"/>
      <c r="YP54" s="280"/>
      <c r="YQ54" s="280"/>
      <c r="YR54" s="280"/>
      <c r="YS54" s="280"/>
      <c r="YT54" s="280"/>
      <c r="YU54" s="280"/>
      <c r="YV54" s="280"/>
      <c r="YW54" s="280"/>
      <c r="YX54" s="280"/>
      <c r="YY54" s="280"/>
      <c r="YZ54" s="280"/>
      <c r="ZA54" s="280"/>
      <c r="ZB54" s="280"/>
      <c r="ZC54" s="280"/>
      <c r="ZD54" s="280"/>
      <c r="ZE54" s="280"/>
      <c r="ZF54" s="280"/>
      <c r="ZG54" s="280"/>
      <c r="ZH54" s="280"/>
      <c r="ZI54" s="280"/>
      <c r="ZJ54" s="280"/>
      <c r="ZK54" s="280"/>
      <c r="ZL54" s="280"/>
      <c r="ZM54" s="280"/>
      <c r="ZN54" s="280"/>
      <c r="ZO54" s="280"/>
      <c r="ZP54" s="280"/>
      <c r="ZQ54" s="280"/>
      <c r="ZR54" s="280"/>
      <c r="ZS54" s="280"/>
      <c r="ZT54" s="280"/>
      <c r="ZU54" s="280"/>
      <c r="ZV54" s="280"/>
      <c r="ZW54" s="280"/>
      <c r="ZX54" s="280"/>
      <c r="ZY54" s="280"/>
      <c r="ZZ54" s="280"/>
      <c r="AAA54" s="280"/>
      <c r="AAB54" s="280"/>
      <c r="AAC54" s="280"/>
      <c r="AAD54" s="280"/>
      <c r="AAE54" s="280"/>
      <c r="AAF54" s="280"/>
      <c r="AAG54" s="280"/>
      <c r="AAH54" s="280"/>
      <c r="AAI54" s="280"/>
      <c r="AAJ54" s="280"/>
      <c r="AAK54" s="280"/>
      <c r="AAL54" s="280"/>
      <c r="AAM54" s="280"/>
      <c r="AAN54" s="280"/>
      <c r="AAO54" s="280"/>
      <c r="AAP54" s="280"/>
      <c r="AAQ54" s="280"/>
      <c r="AAR54" s="280"/>
      <c r="AAS54" s="280"/>
      <c r="AAT54" s="280"/>
      <c r="AAU54" s="280"/>
      <c r="AAV54" s="280"/>
      <c r="AAW54" s="280"/>
      <c r="AAX54" s="280"/>
      <c r="AAY54" s="280"/>
      <c r="AAZ54" s="280"/>
      <c r="ABA54" s="280"/>
      <c r="ABB54" s="280"/>
      <c r="ABC54" s="280"/>
      <c r="ABD54" s="280"/>
      <c r="ABE54" s="280"/>
      <c r="ABF54" s="280"/>
      <c r="ABG54" s="280"/>
      <c r="ABH54" s="280"/>
      <c r="ABI54" s="280"/>
      <c r="ABJ54" s="280"/>
      <c r="ABK54" s="280"/>
      <c r="ABL54" s="280"/>
      <c r="ABM54" s="280"/>
      <c r="ABN54" s="280"/>
      <c r="ABO54" s="280"/>
      <c r="ABP54" s="280"/>
      <c r="ABQ54" s="280"/>
      <c r="ABR54" s="280"/>
      <c r="ABS54" s="280"/>
      <c r="ABT54" s="280"/>
      <c r="ABU54" s="280"/>
      <c r="ABV54" s="280"/>
      <c r="ABW54" s="280"/>
      <c r="ABX54" s="280"/>
      <c r="ABY54" s="280"/>
      <c r="ABZ54" s="280"/>
      <c r="ACA54" s="280"/>
      <c r="ACB54" s="280"/>
      <c r="ACC54" s="280"/>
      <c r="ACD54" s="280"/>
      <c r="ACE54" s="280"/>
      <c r="ACF54" s="280"/>
      <c r="ACG54" s="280"/>
      <c r="ACH54" s="280"/>
      <c r="ACI54" s="280"/>
      <c r="ACJ54" s="280"/>
      <c r="ACK54" s="280"/>
      <c r="ACL54" s="280"/>
      <c r="ACM54" s="280"/>
      <c r="ACN54" s="280"/>
      <c r="ACO54" s="280"/>
      <c r="ACP54" s="280"/>
      <c r="ACQ54" s="280"/>
      <c r="ACR54" s="280"/>
      <c r="ACS54" s="280"/>
      <c r="ACT54" s="280"/>
      <c r="ACU54" s="280"/>
      <c r="ACV54" s="280"/>
      <c r="ACW54" s="280"/>
      <c r="ACX54" s="280"/>
      <c r="ACY54" s="280"/>
      <c r="ACZ54" s="280"/>
      <c r="ADA54" s="280"/>
      <c r="ADB54" s="280"/>
      <c r="ADC54" s="280"/>
      <c r="ADD54" s="280"/>
      <c r="ADE54" s="280"/>
      <c r="ADF54" s="280"/>
      <c r="ADG54" s="280"/>
      <c r="ADH54" s="280"/>
      <c r="ADI54" s="280"/>
      <c r="ADJ54" s="280"/>
      <c r="ADK54" s="280"/>
      <c r="ADL54" s="280"/>
      <c r="ADM54" s="280"/>
      <c r="ADN54" s="280"/>
      <c r="ADO54" s="280"/>
      <c r="ADP54" s="280"/>
      <c r="ADQ54" s="280"/>
      <c r="ADR54" s="280"/>
      <c r="ADS54" s="280"/>
      <c r="ADT54" s="280"/>
      <c r="ADU54" s="280"/>
      <c r="ADV54" s="280"/>
      <c r="ADW54" s="280"/>
      <c r="ADX54" s="280"/>
      <c r="ADY54" s="280"/>
      <c r="ADZ54" s="280"/>
      <c r="AEA54" s="280"/>
      <c r="AEB54" s="280"/>
      <c r="AEC54" s="280"/>
      <c r="AED54" s="280"/>
      <c r="AEE54" s="280"/>
      <c r="AEF54" s="280"/>
      <c r="AEG54" s="280"/>
      <c r="AEH54" s="280"/>
      <c r="AEI54" s="280"/>
      <c r="AEJ54" s="280"/>
      <c r="AEK54" s="280"/>
      <c r="AEL54" s="280"/>
      <c r="AEM54" s="280"/>
      <c r="AEN54" s="280"/>
      <c r="AEO54" s="280"/>
      <c r="AEP54" s="280"/>
      <c r="AEQ54" s="280"/>
      <c r="AER54" s="280"/>
      <c r="AES54" s="280"/>
      <c r="AET54" s="280"/>
      <c r="AEU54" s="280"/>
      <c r="AEV54" s="280"/>
      <c r="AEW54" s="280"/>
      <c r="AEX54" s="280"/>
      <c r="AEY54" s="280"/>
      <c r="AEZ54" s="280"/>
      <c r="AFA54" s="280"/>
      <c r="AFB54" s="280"/>
      <c r="AFC54" s="280"/>
      <c r="AFD54" s="280"/>
      <c r="AFE54" s="280"/>
      <c r="AFF54" s="280"/>
      <c r="AFG54" s="280"/>
      <c r="AFH54" s="280"/>
      <c r="AFI54" s="280"/>
      <c r="AFJ54" s="280"/>
      <c r="AFK54" s="280"/>
      <c r="AFL54" s="280"/>
      <c r="AFM54" s="280"/>
      <c r="AFN54" s="280"/>
      <c r="AFO54" s="280"/>
      <c r="AFP54" s="280"/>
      <c r="AFQ54" s="280"/>
      <c r="AFR54" s="280"/>
      <c r="AFS54" s="280"/>
      <c r="AFT54" s="280"/>
      <c r="AFU54" s="280"/>
      <c r="AFV54" s="280"/>
      <c r="AFW54" s="280"/>
      <c r="AFX54" s="280"/>
      <c r="AFY54" s="280"/>
      <c r="AFZ54" s="280"/>
      <c r="AGA54" s="280"/>
      <c r="AGB54" s="280"/>
      <c r="AGC54" s="280"/>
      <c r="AGD54" s="280"/>
      <c r="AGE54" s="280"/>
      <c r="AGF54" s="280"/>
      <c r="AGG54" s="280"/>
      <c r="AGH54" s="280"/>
      <c r="AGI54" s="280"/>
      <c r="AGJ54" s="280"/>
      <c r="AGK54" s="280"/>
      <c r="AGL54" s="280"/>
      <c r="AGM54" s="280"/>
      <c r="AGN54" s="280"/>
      <c r="AGO54" s="280"/>
      <c r="AGP54" s="280"/>
      <c r="AGQ54" s="280"/>
      <c r="AGR54" s="280"/>
      <c r="AGS54" s="280"/>
      <c r="AGT54" s="280"/>
      <c r="AGU54" s="280"/>
      <c r="AGV54" s="280"/>
      <c r="AGW54" s="280"/>
      <c r="AGX54" s="280"/>
      <c r="AGY54" s="280"/>
      <c r="AGZ54" s="280"/>
      <c r="AHA54" s="280"/>
      <c r="AHB54" s="280"/>
      <c r="AHC54" s="280"/>
      <c r="AHD54" s="280"/>
      <c r="AHE54" s="280"/>
      <c r="AHF54" s="280"/>
      <c r="AHG54" s="280"/>
      <c r="AHH54" s="280"/>
      <c r="AHI54" s="280"/>
      <c r="AHJ54" s="280"/>
      <c r="AHK54" s="280"/>
      <c r="AHL54" s="280"/>
      <c r="AHM54" s="280"/>
      <c r="AHN54" s="280"/>
      <c r="AHO54" s="280"/>
      <c r="AHP54" s="280"/>
      <c r="AHQ54" s="280"/>
      <c r="AHR54" s="280"/>
      <c r="AHS54" s="280"/>
      <c r="AHT54" s="280"/>
      <c r="AHU54" s="280"/>
      <c r="AHV54" s="280"/>
      <c r="AHW54" s="280"/>
      <c r="AHX54" s="280"/>
      <c r="AHY54" s="280"/>
      <c r="AHZ54" s="280"/>
      <c r="AIA54" s="280"/>
      <c r="AIB54" s="280"/>
      <c r="AIC54" s="280"/>
      <c r="AID54" s="280"/>
      <c r="AIE54" s="280"/>
      <c r="AIF54" s="280"/>
      <c r="AIG54" s="280"/>
      <c r="AIH54" s="280"/>
      <c r="AII54" s="280"/>
      <c r="AIJ54" s="280"/>
      <c r="AIK54" s="280"/>
      <c r="AIL54" s="280"/>
      <c r="AIM54" s="280"/>
      <c r="AIN54" s="280"/>
      <c r="AIO54" s="280"/>
      <c r="AIP54" s="280"/>
      <c r="AIQ54" s="280"/>
      <c r="AIR54" s="280"/>
      <c r="AIS54" s="280"/>
      <c r="AIT54" s="280"/>
      <c r="AIU54" s="280"/>
      <c r="AIV54" s="280"/>
      <c r="AIW54" s="280"/>
      <c r="AIX54" s="280"/>
      <c r="AIY54" s="280"/>
      <c r="AIZ54" s="280"/>
      <c r="AJA54" s="280"/>
      <c r="AJB54" s="280"/>
      <c r="AJC54" s="280"/>
      <c r="AJD54" s="280"/>
      <c r="AJE54" s="280"/>
      <c r="AJF54" s="280"/>
      <c r="AJG54" s="280"/>
      <c r="AJH54" s="280"/>
      <c r="AJI54" s="280"/>
      <c r="AJJ54" s="280"/>
      <c r="AJK54" s="280"/>
      <c r="AJL54" s="280"/>
      <c r="AJM54" s="280"/>
      <c r="AJN54" s="280"/>
      <c r="AJO54" s="280"/>
      <c r="AJP54" s="280"/>
      <c r="AJQ54" s="280"/>
      <c r="AJR54" s="280"/>
      <c r="AJS54" s="280"/>
      <c r="AJT54" s="280"/>
      <c r="AJU54" s="280"/>
      <c r="AJV54" s="280"/>
      <c r="AJW54" s="280"/>
      <c r="AJX54" s="280"/>
      <c r="AJY54" s="280"/>
      <c r="AJZ54" s="280"/>
      <c r="AKA54" s="280"/>
      <c r="AKB54" s="280"/>
      <c r="AKC54" s="280"/>
      <c r="AKD54" s="280"/>
      <c r="AKE54" s="280"/>
      <c r="AKF54" s="280"/>
      <c r="AKG54" s="280"/>
      <c r="AKH54" s="280"/>
      <c r="AKI54" s="280"/>
      <c r="AKJ54" s="280"/>
      <c r="AKK54" s="280"/>
      <c r="AKL54" s="280"/>
      <c r="AKM54" s="280"/>
      <c r="AKN54" s="280"/>
      <c r="AKO54" s="280"/>
      <c r="AKP54" s="280"/>
      <c r="AKQ54" s="280"/>
      <c r="AKR54" s="280"/>
      <c r="AKS54" s="280"/>
      <c r="AKT54" s="280"/>
      <c r="AKU54" s="280"/>
      <c r="AKV54" s="280"/>
      <c r="AKW54" s="280"/>
      <c r="AKX54" s="280"/>
      <c r="AKY54" s="280"/>
      <c r="AKZ54" s="280"/>
      <c r="ALA54" s="280"/>
      <c r="ALB54" s="280"/>
      <c r="ALC54" s="280"/>
      <c r="ALD54" s="280"/>
      <c r="ALE54" s="280"/>
      <c r="ALF54" s="280"/>
      <c r="ALG54" s="280"/>
      <c r="ALH54" s="280"/>
      <c r="ALI54" s="280"/>
      <c r="ALJ54" s="280"/>
      <c r="ALK54" s="280"/>
      <c r="ALL54" s="280"/>
      <c r="ALM54" s="280"/>
      <c r="ALN54" s="280"/>
      <c r="ALO54" s="280"/>
      <c r="ALP54" s="280"/>
      <c r="ALQ54" s="280"/>
      <c r="ALR54" s="280"/>
      <c r="ALS54" s="280"/>
      <c r="ALT54" s="280"/>
      <c r="ALU54" s="280"/>
      <c r="ALV54" s="280"/>
      <c r="ALW54" s="280"/>
      <c r="ALX54" s="280"/>
      <c r="ALY54" s="280"/>
      <c r="ALZ54" s="280"/>
      <c r="AMA54" s="280"/>
      <c r="AMB54" s="280"/>
      <c r="AMC54" s="280"/>
      <c r="AMD54" s="280"/>
      <c r="AME54" s="280"/>
      <c r="AMF54" s="280"/>
      <c r="AMG54" s="280"/>
      <c r="AMH54" s="280"/>
      <c r="AMI54" s="280"/>
      <c r="AMJ54" s="280"/>
      <c r="AMK54" s="280"/>
      <c r="AML54" s="280"/>
      <c r="AMM54" s="280"/>
      <c r="AMN54" s="280"/>
      <c r="AMO54" s="280"/>
      <c r="AMP54" s="280"/>
      <c r="AMQ54" s="280"/>
      <c r="AMR54" s="280"/>
      <c r="AMS54" s="280"/>
      <c r="AMT54" s="280"/>
      <c r="AMU54" s="280"/>
      <c r="AMV54" s="280"/>
      <c r="AMW54" s="280"/>
      <c r="AMX54" s="280"/>
      <c r="AMY54" s="280"/>
      <c r="AMZ54" s="280"/>
      <c r="ANA54" s="280"/>
      <c r="ANB54" s="280"/>
      <c r="ANC54" s="280"/>
      <c r="AND54" s="280"/>
      <c r="ANE54" s="280"/>
      <c r="ANF54" s="280"/>
      <c r="ANG54" s="280"/>
      <c r="ANH54" s="280"/>
      <c r="ANI54" s="280"/>
      <c r="ANJ54" s="280"/>
      <c r="ANK54" s="280"/>
      <c r="ANL54" s="280"/>
      <c r="ANM54" s="280"/>
      <c r="ANN54" s="280"/>
      <c r="ANO54" s="280"/>
      <c r="ANP54" s="280"/>
      <c r="ANQ54" s="280"/>
      <c r="ANR54" s="280"/>
      <c r="ANS54" s="280"/>
      <c r="ANT54" s="280"/>
      <c r="ANU54" s="280"/>
      <c r="ANV54" s="280"/>
      <c r="ANW54" s="280"/>
      <c r="ANX54" s="280"/>
      <c r="ANY54" s="280"/>
      <c r="ANZ54" s="280"/>
      <c r="AOA54" s="280"/>
      <c r="AOB54" s="280"/>
      <c r="AOC54" s="280"/>
      <c r="AOD54" s="280"/>
      <c r="AOE54" s="280"/>
      <c r="AOF54" s="280"/>
      <c r="AOG54" s="280"/>
      <c r="AOH54" s="280"/>
      <c r="AOI54" s="280"/>
      <c r="AOJ54" s="280"/>
      <c r="AOK54" s="280"/>
      <c r="AOL54" s="280"/>
      <c r="AOM54" s="280"/>
      <c r="AON54" s="280"/>
      <c r="AOO54" s="280"/>
      <c r="AOP54" s="280"/>
      <c r="AOQ54" s="280"/>
      <c r="AOR54" s="280"/>
      <c r="AOS54" s="280"/>
      <c r="AOT54" s="280"/>
      <c r="AOU54" s="280"/>
      <c r="AOV54" s="280"/>
      <c r="AOW54" s="280"/>
      <c r="AOX54" s="280"/>
      <c r="AOY54" s="280"/>
      <c r="AOZ54" s="280"/>
      <c r="APA54" s="280"/>
      <c r="APB54" s="280"/>
      <c r="APC54" s="280"/>
      <c r="APD54" s="280"/>
      <c r="APE54" s="280"/>
      <c r="APF54" s="280"/>
      <c r="APG54" s="280"/>
      <c r="APH54" s="280"/>
      <c r="API54" s="280"/>
      <c r="APJ54" s="280"/>
      <c r="APK54" s="280"/>
      <c r="APL54" s="280"/>
      <c r="APM54" s="280"/>
      <c r="APN54" s="280"/>
      <c r="APO54" s="280"/>
      <c r="APP54" s="280"/>
      <c r="APQ54" s="280"/>
      <c r="APR54" s="280"/>
      <c r="APS54" s="280"/>
      <c r="APT54" s="280"/>
      <c r="APU54" s="280"/>
      <c r="APV54" s="280"/>
      <c r="APW54" s="280"/>
      <c r="APX54" s="280"/>
      <c r="APY54" s="280"/>
      <c r="APZ54" s="280"/>
      <c r="AQA54" s="280"/>
      <c r="AQB54" s="280"/>
      <c r="AQC54" s="280"/>
      <c r="AQD54" s="280"/>
      <c r="AQE54" s="280"/>
      <c r="AQF54" s="280"/>
      <c r="AQG54" s="280"/>
      <c r="AQH54" s="280"/>
      <c r="AQI54" s="280"/>
      <c r="AQJ54" s="280"/>
      <c r="AQK54" s="280"/>
      <c r="AQL54" s="280"/>
      <c r="AQM54" s="280"/>
      <c r="AQN54" s="280"/>
      <c r="AQO54" s="280"/>
      <c r="AQP54" s="280"/>
      <c r="AQQ54" s="280"/>
      <c r="AQR54" s="280"/>
      <c r="AQS54" s="280"/>
      <c r="AQT54" s="280"/>
      <c r="AQU54" s="280"/>
      <c r="AQV54" s="280"/>
      <c r="AQW54" s="280"/>
      <c r="AQX54" s="280"/>
      <c r="AQY54" s="280"/>
      <c r="AQZ54" s="280"/>
      <c r="ARA54" s="280"/>
      <c r="ARB54" s="280"/>
      <c r="ARC54" s="280"/>
      <c r="ARD54" s="280"/>
      <c r="ARE54" s="280"/>
      <c r="ARF54" s="280"/>
      <c r="ARG54" s="280"/>
      <c r="ARH54" s="280"/>
      <c r="ARI54" s="280"/>
      <c r="ARJ54" s="280"/>
      <c r="ARK54" s="280"/>
      <c r="ARL54" s="280"/>
      <c r="ARM54" s="280"/>
      <c r="ARN54" s="280"/>
      <c r="ARO54" s="280"/>
      <c r="ARP54" s="280"/>
      <c r="ARQ54" s="280"/>
      <c r="ARR54" s="280"/>
      <c r="ARS54" s="280"/>
      <c r="ART54" s="280"/>
      <c r="ARU54" s="280"/>
      <c r="ARV54" s="280"/>
      <c r="ARW54" s="280"/>
      <c r="ARX54" s="280"/>
      <c r="ARY54" s="280"/>
      <c r="ARZ54" s="280"/>
      <c r="ASA54" s="280"/>
      <c r="ASB54" s="280"/>
      <c r="ASC54" s="280"/>
      <c r="ASD54" s="280"/>
      <c r="ASE54" s="280"/>
      <c r="ASF54" s="280"/>
      <c r="ASG54" s="280"/>
      <c r="ASH54" s="280"/>
      <c r="ASI54" s="280"/>
      <c r="ASJ54" s="280"/>
      <c r="ASK54" s="280"/>
      <c r="ASL54" s="280"/>
      <c r="ASM54" s="280"/>
      <c r="ASN54" s="280"/>
      <c r="ASO54" s="280"/>
      <c r="ASP54" s="280"/>
      <c r="ASQ54" s="280"/>
      <c r="ASR54" s="280"/>
      <c r="ASS54" s="280"/>
      <c r="AST54" s="280"/>
      <c r="ASU54" s="280"/>
      <c r="ASV54" s="280"/>
      <c r="ASW54" s="280"/>
      <c r="ASX54" s="280"/>
      <c r="ASY54" s="280"/>
      <c r="ASZ54" s="280"/>
      <c r="ATA54" s="280"/>
      <c r="ATB54" s="280"/>
      <c r="ATC54" s="280"/>
      <c r="ATD54" s="280"/>
      <c r="ATE54" s="280"/>
      <c r="ATF54" s="280"/>
      <c r="ATG54" s="280"/>
      <c r="ATH54" s="280"/>
      <c r="ATI54" s="280"/>
      <c r="ATJ54" s="280"/>
      <c r="ATK54" s="280"/>
      <c r="ATL54" s="280"/>
      <c r="ATM54" s="280"/>
      <c r="ATN54" s="280"/>
      <c r="ATO54" s="280"/>
      <c r="ATP54" s="280"/>
      <c r="ATQ54" s="280"/>
      <c r="ATR54" s="280"/>
      <c r="ATS54" s="280"/>
      <c r="ATT54" s="280"/>
      <c r="ATU54" s="280"/>
      <c r="ATV54" s="280"/>
      <c r="ATW54" s="280"/>
      <c r="ATX54" s="280"/>
      <c r="ATY54" s="280"/>
      <c r="ATZ54" s="280"/>
      <c r="AUA54" s="280"/>
      <c r="AUB54" s="280"/>
      <c r="AUC54" s="280"/>
      <c r="AUD54" s="280"/>
      <c r="AUE54" s="280"/>
      <c r="AUF54" s="280"/>
      <c r="AUG54" s="280"/>
      <c r="AUH54" s="280"/>
      <c r="AUI54" s="280"/>
      <c r="AUJ54" s="280"/>
      <c r="AUK54" s="280"/>
      <c r="AUL54" s="280"/>
      <c r="AUM54" s="280"/>
      <c r="AUN54" s="280"/>
      <c r="AUO54" s="280"/>
      <c r="AUP54" s="280"/>
      <c r="AUQ54" s="280"/>
      <c r="AUR54" s="280"/>
      <c r="AUS54" s="280"/>
      <c r="AUT54" s="280"/>
      <c r="AUU54" s="280"/>
      <c r="AUV54" s="280"/>
      <c r="AUW54" s="280"/>
      <c r="AUX54" s="280"/>
      <c r="AUY54" s="280"/>
      <c r="AUZ54" s="280"/>
      <c r="AVA54" s="280"/>
      <c r="AVB54" s="280"/>
      <c r="AVC54" s="280"/>
      <c r="AVD54" s="280"/>
      <c r="AVE54" s="280"/>
      <c r="AVF54" s="280"/>
      <c r="AVG54" s="280"/>
      <c r="AVH54" s="280"/>
      <c r="AVI54" s="280"/>
      <c r="AVJ54" s="280"/>
      <c r="AVK54" s="280"/>
      <c r="AVL54" s="280"/>
      <c r="AVM54" s="280"/>
      <c r="AVN54" s="280"/>
      <c r="AVO54" s="280"/>
      <c r="AVP54" s="280"/>
      <c r="AVQ54" s="280"/>
      <c r="AVR54" s="280"/>
      <c r="AVS54" s="280"/>
      <c r="AVT54" s="280"/>
      <c r="AVU54" s="280"/>
      <c r="AVV54" s="280"/>
      <c r="AVW54" s="280"/>
      <c r="AVX54" s="280"/>
      <c r="AVY54" s="280"/>
      <c r="AVZ54" s="280"/>
      <c r="AWA54" s="280"/>
      <c r="AWB54" s="280"/>
      <c r="AWC54" s="280"/>
      <c r="AWD54" s="280"/>
      <c r="AWE54" s="280"/>
      <c r="AWF54" s="280"/>
      <c r="AWG54" s="280"/>
      <c r="AWH54" s="280"/>
      <c r="AWI54" s="280"/>
      <c r="AWJ54" s="280"/>
      <c r="AWK54" s="280"/>
      <c r="AWL54" s="280"/>
      <c r="AWM54" s="280"/>
      <c r="AWN54" s="280"/>
      <c r="AWO54" s="280"/>
      <c r="AWP54" s="280"/>
      <c r="AWQ54" s="280"/>
      <c r="AWR54" s="280"/>
      <c r="AWS54" s="280"/>
      <c r="AWT54" s="280"/>
      <c r="AWU54" s="280"/>
      <c r="AWV54" s="280"/>
      <c r="AWW54" s="280"/>
      <c r="AWX54" s="280"/>
      <c r="AWY54" s="280"/>
      <c r="AWZ54" s="280"/>
      <c r="AXA54" s="280"/>
      <c r="AXB54" s="280"/>
      <c r="AXC54" s="280"/>
      <c r="AXD54" s="280"/>
      <c r="AXE54" s="280"/>
      <c r="AXF54" s="280"/>
      <c r="AXG54" s="280"/>
      <c r="AXH54" s="280"/>
      <c r="AXI54" s="280"/>
      <c r="AXJ54" s="280"/>
      <c r="AXK54" s="280"/>
      <c r="AXL54" s="280"/>
      <c r="AXM54" s="280"/>
      <c r="AXN54" s="280"/>
      <c r="AXO54" s="280"/>
      <c r="AXP54" s="280"/>
      <c r="AXQ54" s="280"/>
      <c r="AXR54" s="280"/>
      <c r="AXS54" s="280"/>
      <c r="AXT54" s="280"/>
      <c r="AXU54" s="280"/>
      <c r="AXV54" s="280"/>
      <c r="AXW54" s="280"/>
      <c r="AXX54" s="280"/>
      <c r="AXY54" s="280"/>
      <c r="AXZ54" s="280"/>
      <c r="AYA54" s="280"/>
      <c r="AYB54" s="280"/>
      <c r="AYC54" s="280"/>
      <c r="AYD54" s="280"/>
      <c r="AYE54" s="280"/>
      <c r="AYF54" s="280"/>
      <c r="AYG54" s="280"/>
      <c r="AYH54" s="280"/>
      <c r="AYI54" s="280"/>
      <c r="AYJ54" s="280"/>
      <c r="AYK54" s="280"/>
      <c r="AYL54" s="280"/>
      <c r="AYM54" s="280"/>
      <c r="AYN54" s="280"/>
      <c r="AYO54" s="280"/>
      <c r="AYP54" s="280"/>
      <c r="AYQ54" s="280"/>
      <c r="AYR54" s="280"/>
      <c r="AYS54" s="280"/>
      <c r="AYT54" s="280"/>
      <c r="AYU54" s="280"/>
      <c r="AYV54" s="280"/>
      <c r="AYW54" s="280"/>
      <c r="AYX54" s="280"/>
      <c r="AYY54" s="280"/>
      <c r="AYZ54" s="280"/>
      <c r="AZA54" s="280"/>
      <c r="AZB54" s="280"/>
      <c r="AZC54" s="280"/>
      <c r="AZD54" s="280"/>
      <c r="AZE54" s="280"/>
      <c r="AZF54" s="280"/>
      <c r="AZG54" s="280"/>
      <c r="AZH54" s="280"/>
      <c r="AZI54" s="280"/>
      <c r="AZJ54" s="280"/>
      <c r="AZK54" s="280"/>
      <c r="AZL54" s="280"/>
      <c r="AZM54" s="280"/>
      <c r="AZN54" s="280"/>
      <c r="AZO54" s="280"/>
      <c r="AZP54" s="280"/>
      <c r="AZQ54" s="280"/>
      <c r="AZR54" s="280"/>
      <c r="AZS54" s="280"/>
      <c r="AZT54" s="280"/>
      <c r="AZU54" s="280"/>
      <c r="AZV54" s="280"/>
      <c r="AZW54" s="280"/>
      <c r="AZX54" s="280"/>
      <c r="AZY54" s="280"/>
      <c r="AZZ54" s="280"/>
      <c r="BAA54" s="280"/>
      <c r="BAB54" s="280"/>
      <c r="BAC54" s="280"/>
      <c r="BAD54" s="280"/>
      <c r="BAE54" s="280"/>
      <c r="BAF54" s="280"/>
      <c r="BAG54" s="280"/>
      <c r="BAH54" s="280"/>
      <c r="BAI54" s="280"/>
      <c r="BAJ54" s="280"/>
      <c r="BAK54" s="280"/>
      <c r="BAL54" s="280"/>
      <c r="BAM54" s="280"/>
      <c r="BAN54" s="280"/>
      <c r="BAO54" s="280"/>
      <c r="BAP54" s="280"/>
      <c r="BAQ54" s="280"/>
      <c r="BAR54" s="280"/>
      <c r="BAS54" s="280"/>
      <c r="BAT54" s="280"/>
      <c r="BAU54" s="280"/>
      <c r="BAV54" s="280"/>
      <c r="BAW54" s="280"/>
      <c r="BAX54" s="280"/>
      <c r="BAY54" s="280"/>
      <c r="BAZ54" s="280"/>
      <c r="BBA54" s="280"/>
      <c r="BBB54" s="280"/>
      <c r="BBC54" s="280"/>
      <c r="BBD54" s="280"/>
      <c r="BBE54" s="280"/>
      <c r="BBF54" s="280"/>
      <c r="BBG54" s="280"/>
      <c r="BBH54" s="280"/>
      <c r="BBI54" s="280"/>
      <c r="BBJ54" s="280"/>
      <c r="BBK54" s="280"/>
      <c r="BBL54" s="280"/>
      <c r="BBM54" s="280"/>
      <c r="BBN54" s="280"/>
      <c r="BBO54" s="280"/>
      <c r="BBP54" s="280"/>
      <c r="BBQ54" s="280"/>
      <c r="BBR54" s="280"/>
      <c r="BBS54" s="280"/>
      <c r="BBT54" s="280"/>
      <c r="BBU54" s="280"/>
      <c r="BBV54" s="280"/>
      <c r="BBW54" s="280"/>
      <c r="BBX54" s="280"/>
      <c r="BBY54" s="280"/>
      <c r="BBZ54" s="280"/>
      <c r="BCA54" s="280"/>
      <c r="BCB54" s="280"/>
      <c r="BCC54" s="280"/>
      <c r="BCD54" s="280"/>
      <c r="BCE54" s="280"/>
      <c r="BCF54" s="280"/>
      <c r="BCG54" s="280"/>
      <c r="BCH54" s="280"/>
      <c r="BCI54" s="280"/>
      <c r="BCJ54" s="280"/>
      <c r="BCK54" s="280"/>
      <c r="BCL54" s="280"/>
      <c r="BCM54" s="280"/>
      <c r="BCN54" s="280"/>
      <c r="BCO54" s="280"/>
      <c r="BCP54" s="280"/>
      <c r="BCQ54" s="280"/>
      <c r="BCR54" s="280"/>
      <c r="BCS54" s="280"/>
      <c r="BCT54" s="280"/>
      <c r="BCU54" s="280"/>
      <c r="BCV54" s="280"/>
      <c r="BCW54" s="280"/>
      <c r="BCX54" s="280"/>
      <c r="BCY54" s="280"/>
      <c r="BCZ54" s="280"/>
      <c r="BDA54" s="280"/>
      <c r="BDB54" s="280"/>
      <c r="BDC54" s="280"/>
      <c r="BDD54" s="280"/>
      <c r="BDE54" s="280"/>
      <c r="BDF54" s="280"/>
      <c r="BDG54" s="280"/>
      <c r="BDH54" s="280"/>
      <c r="BDI54" s="280"/>
      <c r="BDJ54" s="280"/>
      <c r="BDK54" s="280"/>
      <c r="BDL54" s="280"/>
      <c r="BDM54" s="280"/>
      <c r="BDN54" s="280"/>
      <c r="BDO54" s="280"/>
      <c r="BDP54" s="280"/>
      <c r="BDQ54" s="280"/>
      <c r="BDR54" s="280"/>
      <c r="BDS54" s="280"/>
      <c r="BDT54" s="280"/>
      <c r="BDU54" s="280"/>
      <c r="BDV54" s="280"/>
      <c r="BDW54" s="280"/>
      <c r="BDX54" s="280"/>
      <c r="BDY54" s="280"/>
      <c r="BDZ54" s="280"/>
      <c r="BEA54" s="280"/>
      <c r="BEB54" s="280"/>
      <c r="BEC54" s="280"/>
      <c r="BED54" s="280"/>
      <c r="BEE54" s="280"/>
      <c r="BEF54" s="280"/>
      <c r="BEG54" s="280"/>
      <c r="BEH54" s="280"/>
      <c r="BEI54" s="280"/>
      <c r="BEJ54" s="280"/>
      <c r="BEK54" s="280"/>
      <c r="BEL54" s="280"/>
      <c r="BEM54" s="280"/>
      <c r="BEN54" s="280"/>
      <c r="BEO54" s="280"/>
      <c r="BEP54" s="280"/>
      <c r="BEQ54" s="280"/>
      <c r="BER54" s="280"/>
      <c r="BES54" s="280"/>
      <c r="BET54" s="280"/>
      <c r="BEU54" s="280"/>
      <c r="BEV54" s="280"/>
      <c r="BEW54" s="280"/>
      <c r="BEX54" s="280"/>
      <c r="BEY54" s="280"/>
      <c r="BEZ54" s="280"/>
      <c r="BFA54" s="280"/>
      <c r="BFB54" s="280"/>
      <c r="BFC54" s="280"/>
      <c r="BFD54" s="280"/>
      <c r="BFE54" s="280"/>
      <c r="BFF54" s="280"/>
      <c r="BFG54" s="280"/>
      <c r="BFH54" s="280"/>
      <c r="BFI54" s="280"/>
      <c r="BFJ54" s="280"/>
      <c r="BFK54" s="280"/>
      <c r="BFL54" s="280"/>
      <c r="BFM54" s="280"/>
      <c r="BFN54" s="280"/>
      <c r="BFO54" s="280"/>
      <c r="BFP54" s="280"/>
      <c r="BFQ54" s="280"/>
      <c r="BFR54" s="280"/>
      <c r="BFS54" s="280"/>
      <c r="BFT54" s="280"/>
      <c r="BFU54" s="280"/>
      <c r="BFV54" s="280"/>
      <c r="BFW54" s="280"/>
      <c r="BFX54" s="280"/>
      <c r="BFY54" s="280"/>
      <c r="BFZ54" s="280"/>
      <c r="BGA54" s="280"/>
      <c r="BGB54" s="280"/>
      <c r="BGC54" s="280"/>
      <c r="BGD54" s="280"/>
      <c r="BGE54" s="280"/>
      <c r="BGF54" s="280"/>
      <c r="BGG54" s="280"/>
      <c r="BGH54" s="280"/>
      <c r="BGI54" s="280"/>
      <c r="BGJ54" s="280"/>
      <c r="BGK54" s="280"/>
      <c r="BGL54" s="280"/>
      <c r="BGM54" s="280"/>
      <c r="BGN54" s="280"/>
      <c r="BGO54" s="280"/>
      <c r="BGP54" s="280"/>
      <c r="BGQ54" s="280"/>
      <c r="BGR54" s="280"/>
      <c r="BGS54" s="280"/>
      <c r="BGT54" s="280"/>
      <c r="BGU54" s="280"/>
      <c r="BGV54" s="280"/>
      <c r="BGW54" s="280"/>
      <c r="BGX54" s="280"/>
      <c r="BGY54" s="280"/>
      <c r="BGZ54" s="280"/>
      <c r="BHA54" s="280"/>
      <c r="BHB54" s="280"/>
      <c r="BHC54" s="280"/>
      <c r="BHD54" s="280"/>
      <c r="BHE54" s="280"/>
      <c r="BHF54" s="280"/>
      <c r="BHG54" s="280"/>
      <c r="BHH54" s="280"/>
      <c r="BHI54" s="280"/>
      <c r="BHJ54" s="280"/>
      <c r="BHK54" s="280"/>
      <c r="BHL54" s="280"/>
      <c r="BHM54" s="280"/>
      <c r="BHN54" s="280"/>
      <c r="BHO54" s="280"/>
      <c r="BHP54" s="280"/>
      <c r="BHQ54" s="280"/>
      <c r="BHR54" s="280"/>
      <c r="BHS54" s="280"/>
      <c r="BHT54" s="280"/>
      <c r="BHU54" s="280"/>
      <c r="BHV54" s="280"/>
      <c r="BHW54" s="280"/>
      <c r="BHX54" s="280"/>
      <c r="BHY54" s="280"/>
      <c r="BHZ54" s="280"/>
      <c r="BIA54" s="280"/>
      <c r="BIB54" s="280"/>
      <c r="BIC54" s="280"/>
      <c r="BID54" s="280"/>
      <c r="BIE54" s="280"/>
      <c r="BIF54" s="280"/>
      <c r="BIG54" s="280"/>
      <c r="BIH54" s="280"/>
      <c r="BII54" s="280"/>
      <c r="BIJ54" s="280"/>
      <c r="BIK54" s="280"/>
      <c r="BIL54" s="280"/>
      <c r="BIM54" s="280"/>
      <c r="BIN54" s="280"/>
      <c r="BIO54" s="280"/>
      <c r="BIP54" s="280"/>
      <c r="BIQ54" s="280"/>
      <c r="BIR54" s="280"/>
      <c r="BIS54" s="280"/>
      <c r="BIT54" s="280"/>
      <c r="BIU54" s="280"/>
      <c r="BIV54" s="280"/>
      <c r="BIW54" s="280"/>
      <c r="BIX54" s="280"/>
      <c r="BIY54" s="280"/>
      <c r="BIZ54" s="280"/>
      <c r="BJA54" s="280"/>
      <c r="BJB54" s="280"/>
      <c r="BJC54" s="280"/>
      <c r="BJD54" s="280"/>
      <c r="BJE54" s="280"/>
      <c r="BJF54" s="280"/>
      <c r="BJG54" s="280"/>
      <c r="BJH54" s="280"/>
      <c r="BJI54" s="280"/>
      <c r="BJJ54" s="280"/>
      <c r="BJK54" s="280"/>
      <c r="BJL54" s="280"/>
      <c r="BJM54" s="280"/>
      <c r="BJN54" s="280"/>
      <c r="BJO54" s="280"/>
      <c r="BJP54" s="280"/>
      <c r="BJQ54" s="280"/>
      <c r="BJR54" s="280"/>
      <c r="BJS54" s="280"/>
      <c r="BJT54" s="280"/>
      <c r="BJU54" s="280"/>
      <c r="BJV54" s="280"/>
      <c r="BJW54" s="280"/>
      <c r="BJX54" s="280"/>
      <c r="BJY54" s="280"/>
      <c r="BJZ54" s="280"/>
      <c r="BKA54" s="280"/>
      <c r="BKB54" s="280"/>
      <c r="BKC54" s="280"/>
      <c r="BKD54" s="280"/>
      <c r="BKE54" s="280"/>
      <c r="BKF54" s="280"/>
      <c r="BKG54" s="280"/>
      <c r="BKH54" s="280"/>
      <c r="BKI54" s="280"/>
      <c r="BKJ54" s="280"/>
      <c r="BKK54" s="280"/>
      <c r="BKL54" s="280"/>
      <c r="BKM54" s="280"/>
      <c r="BKN54" s="280"/>
      <c r="BKO54" s="280"/>
      <c r="BKP54" s="280"/>
      <c r="BKQ54" s="280"/>
      <c r="BKR54" s="280"/>
      <c r="BKS54" s="280"/>
      <c r="BKT54" s="280"/>
      <c r="BKU54" s="280"/>
      <c r="BKV54" s="280"/>
      <c r="BKW54" s="280"/>
      <c r="BKX54" s="280"/>
      <c r="BKY54" s="280"/>
      <c r="BKZ54" s="280"/>
      <c r="BLA54" s="280"/>
      <c r="BLB54" s="280"/>
      <c r="BLC54" s="280"/>
      <c r="BLD54" s="280"/>
      <c r="BLE54" s="280"/>
      <c r="BLF54" s="280"/>
      <c r="BLG54" s="280"/>
      <c r="BLH54" s="280"/>
      <c r="BLI54" s="280"/>
      <c r="BLJ54" s="280"/>
      <c r="BLK54" s="280"/>
      <c r="BLL54" s="280"/>
      <c r="BLM54" s="280"/>
      <c r="BLN54" s="280"/>
      <c r="BLO54" s="280"/>
      <c r="BLP54" s="280"/>
      <c r="BLQ54" s="280"/>
      <c r="BLR54" s="280"/>
      <c r="BLS54" s="280"/>
      <c r="BLT54" s="280"/>
      <c r="BLU54" s="280"/>
      <c r="BLV54" s="280"/>
      <c r="BLW54" s="280"/>
      <c r="BLX54" s="280"/>
      <c r="BLY54" s="280"/>
      <c r="BLZ54" s="280"/>
      <c r="BMA54" s="280"/>
      <c r="BMB54" s="280"/>
      <c r="BMC54" s="280"/>
      <c r="BMD54" s="280"/>
      <c r="BME54" s="280"/>
      <c r="BMF54" s="280"/>
      <c r="BMG54" s="280"/>
      <c r="BMH54" s="280"/>
      <c r="BMI54" s="280"/>
      <c r="BMJ54" s="280"/>
      <c r="BMK54" s="280"/>
      <c r="BML54" s="280"/>
      <c r="BMM54" s="280"/>
      <c r="BMN54" s="280"/>
      <c r="BMO54" s="280"/>
      <c r="BMP54" s="280"/>
      <c r="BMQ54" s="280"/>
      <c r="BMR54" s="280"/>
      <c r="BMS54" s="280"/>
      <c r="BMT54" s="280"/>
      <c r="BMU54" s="280"/>
      <c r="BMV54" s="280"/>
      <c r="BMW54" s="280"/>
      <c r="BMX54" s="280"/>
      <c r="BMY54" s="280"/>
      <c r="BMZ54" s="280"/>
      <c r="BNA54" s="280"/>
      <c r="BNB54" s="280"/>
      <c r="BNC54" s="280"/>
      <c r="BND54" s="280"/>
      <c r="BNE54" s="280"/>
      <c r="BNF54" s="280"/>
      <c r="BNG54" s="280"/>
      <c r="BNH54" s="280"/>
      <c r="BNI54" s="280"/>
      <c r="BNJ54" s="280"/>
      <c r="BNK54" s="280"/>
      <c r="BNL54" s="280"/>
      <c r="BNM54" s="280"/>
      <c r="BNN54" s="280"/>
      <c r="BNO54" s="280"/>
      <c r="BNP54" s="280"/>
      <c r="BNQ54" s="280"/>
      <c r="BNR54" s="280"/>
      <c r="BNS54" s="280"/>
      <c r="BNT54" s="280"/>
      <c r="BNU54" s="280"/>
      <c r="BNV54" s="280"/>
      <c r="BNW54" s="280"/>
      <c r="BNX54" s="280"/>
      <c r="BNY54" s="280"/>
      <c r="BNZ54" s="280"/>
      <c r="BOA54" s="280"/>
      <c r="BOB54" s="280"/>
      <c r="BOC54" s="280"/>
      <c r="BOD54" s="280"/>
      <c r="BOE54" s="280"/>
      <c r="BOF54" s="280"/>
      <c r="BOG54" s="280"/>
      <c r="BOH54" s="280"/>
      <c r="BOI54" s="280"/>
      <c r="BOJ54" s="280"/>
      <c r="BOK54" s="280"/>
      <c r="BOL54" s="280"/>
      <c r="BOM54" s="280"/>
      <c r="BON54" s="280"/>
      <c r="BOO54" s="280"/>
      <c r="BOP54" s="280"/>
      <c r="BOQ54" s="280"/>
      <c r="BOR54" s="280"/>
      <c r="BOS54" s="280"/>
      <c r="BOT54" s="280"/>
      <c r="BOU54" s="280"/>
      <c r="BOV54" s="280"/>
      <c r="BOW54" s="280"/>
      <c r="BOX54" s="280"/>
      <c r="BOY54" s="280"/>
      <c r="BOZ54" s="280"/>
      <c r="BPA54" s="280"/>
      <c r="BPB54" s="280"/>
      <c r="BPC54" s="280"/>
      <c r="BPD54" s="280"/>
      <c r="BPE54" s="280"/>
      <c r="BPF54" s="280"/>
      <c r="BPG54" s="280"/>
      <c r="BPH54" s="280"/>
      <c r="BPI54" s="280"/>
      <c r="BPJ54" s="280"/>
      <c r="BPK54" s="280"/>
      <c r="BPL54" s="280"/>
      <c r="BPM54" s="280"/>
      <c r="BPN54" s="280"/>
      <c r="BPO54" s="280"/>
      <c r="BPP54" s="280"/>
      <c r="BPQ54" s="280"/>
      <c r="BPR54" s="280"/>
      <c r="BPS54" s="280"/>
      <c r="BPT54" s="280"/>
      <c r="BPU54" s="280"/>
      <c r="BPV54" s="280"/>
      <c r="BPW54" s="280"/>
      <c r="BPX54" s="280"/>
      <c r="BPY54" s="280"/>
      <c r="BPZ54" s="280"/>
      <c r="BQA54" s="280"/>
      <c r="BQB54" s="280"/>
      <c r="BQC54" s="280"/>
      <c r="BQD54" s="280"/>
      <c r="BQE54" s="280"/>
      <c r="BQF54" s="280"/>
      <c r="BQG54" s="280"/>
      <c r="BQH54" s="280"/>
      <c r="BQI54" s="280"/>
      <c r="BQJ54" s="280"/>
      <c r="BQK54" s="280"/>
      <c r="BQL54" s="280"/>
      <c r="BQM54" s="280"/>
      <c r="BQN54" s="280"/>
      <c r="BQO54" s="280"/>
      <c r="BQP54" s="280"/>
      <c r="BQQ54" s="280"/>
      <c r="BQR54" s="280"/>
      <c r="BQS54" s="280"/>
      <c r="BQT54" s="280"/>
      <c r="BQU54" s="280"/>
      <c r="BQV54" s="280"/>
      <c r="BQW54" s="280"/>
      <c r="BQX54" s="280"/>
      <c r="BQY54" s="280"/>
      <c r="BQZ54" s="280"/>
      <c r="BRA54" s="280"/>
      <c r="BRB54" s="280"/>
      <c r="BRC54" s="280"/>
      <c r="BRD54" s="280"/>
      <c r="BRE54" s="280"/>
      <c r="BRF54" s="280"/>
      <c r="BRG54" s="280"/>
      <c r="BRH54" s="280"/>
      <c r="BRI54" s="280"/>
      <c r="BRJ54" s="280"/>
      <c r="BRK54" s="280"/>
      <c r="BRL54" s="280"/>
      <c r="BRM54" s="280"/>
      <c r="BRN54" s="280"/>
      <c r="BRO54" s="280"/>
      <c r="BRP54" s="280"/>
      <c r="BRQ54" s="280"/>
      <c r="BRR54" s="280"/>
      <c r="BRS54" s="280"/>
      <c r="BRT54" s="280"/>
      <c r="BRU54" s="280"/>
      <c r="BRV54" s="280"/>
      <c r="BRW54" s="280"/>
      <c r="BRX54" s="280"/>
      <c r="BRY54" s="280"/>
      <c r="BRZ54" s="280"/>
      <c r="BSA54" s="280"/>
      <c r="BSB54" s="280"/>
      <c r="BSC54" s="280"/>
      <c r="BSD54" s="280"/>
      <c r="BSE54" s="280"/>
      <c r="BSF54" s="280"/>
      <c r="BSG54" s="280"/>
      <c r="BSH54" s="280"/>
      <c r="BSI54" s="280"/>
      <c r="BSJ54" s="280"/>
      <c r="BSK54" s="280"/>
      <c r="BSL54" s="280"/>
      <c r="BSM54" s="280"/>
      <c r="BSN54" s="280"/>
      <c r="BSO54" s="280"/>
      <c r="BSP54" s="280"/>
      <c r="BSQ54" s="280"/>
      <c r="BSR54" s="280"/>
      <c r="BSS54" s="280"/>
      <c r="BST54" s="280"/>
      <c r="BSU54" s="280"/>
      <c r="BSV54" s="280"/>
      <c r="BSW54" s="280"/>
      <c r="BSX54" s="280"/>
      <c r="BSY54" s="280"/>
      <c r="BSZ54" s="280"/>
      <c r="BTA54" s="280"/>
      <c r="BTB54" s="280"/>
      <c r="BTC54" s="280"/>
      <c r="BTD54" s="280"/>
      <c r="BTE54" s="280"/>
      <c r="BTF54" s="280"/>
      <c r="BTG54" s="280"/>
      <c r="BTH54" s="280"/>
      <c r="BTI54" s="280"/>
      <c r="BTJ54" s="280"/>
      <c r="BTK54" s="280"/>
      <c r="BTL54" s="280"/>
      <c r="BTM54" s="280"/>
      <c r="BTN54" s="280"/>
      <c r="BTO54" s="280"/>
      <c r="BTP54" s="280"/>
      <c r="BTQ54" s="280"/>
      <c r="BTR54" s="280"/>
      <c r="BTS54" s="280"/>
      <c r="BTT54" s="280"/>
      <c r="BTU54" s="280"/>
      <c r="BTV54" s="280"/>
      <c r="BTW54" s="280"/>
      <c r="BTX54" s="280"/>
      <c r="BTY54" s="280"/>
      <c r="BTZ54" s="280"/>
      <c r="BUA54" s="280"/>
      <c r="BUB54" s="280"/>
      <c r="BUC54" s="280"/>
      <c r="BUD54" s="280"/>
      <c r="BUE54" s="280"/>
      <c r="BUF54" s="280"/>
      <c r="BUG54" s="280"/>
      <c r="BUH54" s="280"/>
      <c r="BUI54" s="280"/>
      <c r="BUJ54" s="280"/>
      <c r="BUK54" s="280"/>
      <c r="BUL54" s="280"/>
      <c r="BUM54" s="280"/>
      <c r="BUN54" s="280"/>
      <c r="BUO54" s="280"/>
      <c r="BUP54" s="280"/>
      <c r="BUQ54" s="280"/>
      <c r="BUR54" s="280"/>
      <c r="BUS54" s="280"/>
      <c r="BUT54" s="280"/>
      <c r="BUU54" s="280"/>
      <c r="BUV54" s="280"/>
      <c r="BUW54" s="280"/>
      <c r="BUX54" s="280"/>
      <c r="BUY54" s="280"/>
      <c r="BUZ54" s="280"/>
      <c r="BVA54" s="280"/>
      <c r="BVB54" s="280"/>
      <c r="BVC54" s="280"/>
      <c r="BVD54" s="280"/>
      <c r="BVE54" s="280"/>
      <c r="BVF54" s="280"/>
      <c r="BVG54" s="280"/>
      <c r="BVH54" s="280"/>
      <c r="BVI54" s="280"/>
      <c r="BVJ54" s="280"/>
      <c r="BVK54" s="280"/>
      <c r="BVL54" s="280"/>
      <c r="BVM54" s="280"/>
      <c r="BVN54" s="280"/>
      <c r="BVO54" s="280"/>
      <c r="BVP54" s="280"/>
      <c r="BVQ54" s="280"/>
      <c r="BVR54" s="280"/>
      <c r="BVS54" s="280"/>
      <c r="BVT54" s="280"/>
      <c r="BVU54" s="280"/>
      <c r="BVV54" s="280"/>
      <c r="BVW54" s="280"/>
      <c r="BVX54" s="280"/>
      <c r="BVY54" s="280"/>
      <c r="BVZ54" s="280"/>
      <c r="BWA54" s="280"/>
      <c r="BWB54" s="280"/>
      <c r="BWC54" s="280"/>
      <c r="BWD54" s="280"/>
      <c r="BWE54" s="280"/>
      <c r="BWF54" s="280"/>
      <c r="BWG54" s="280"/>
      <c r="BWH54" s="280"/>
      <c r="BWI54" s="280"/>
      <c r="BWJ54" s="280"/>
      <c r="BWK54" s="280"/>
      <c r="BWL54" s="280"/>
      <c r="BWM54" s="280"/>
      <c r="BWN54" s="280"/>
      <c r="BWO54" s="280"/>
      <c r="BWP54" s="280"/>
      <c r="BWQ54" s="280"/>
      <c r="BWR54" s="280"/>
      <c r="BWS54" s="280"/>
      <c r="BWT54" s="280"/>
      <c r="BWU54" s="280"/>
      <c r="BWV54" s="280"/>
      <c r="BWW54" s="280"/>
      <c r="BWX54" s="280"/>
      <c r="BWY54" s="280"/>
      <c r="BWZ54" s="280"/>
      <c r="BXA54" s="280"/>
      <c r="BXB54" s="280"/>
      <c r="BXC54" s="280"/>
      <c r="BXD54" s="280"/>
      <c r="BXE54" s="280"/>
      <c r="BXF54" s="280"/>
      <c r="BXG54" s="280"/>
      <c r="BXH54" s="280"/>
      <c r="BXI54" s="280"/>
      <c r="BXJ54" s="280"/>
      <c r="BXK54" s="280"/>
      <c r="BXL54" s="280"/>
      <c r="BXM54" s="280"/>
      <c r="BXN54" s="280"/>
      <c r="BXO54" s="280"/>
      <c r="BXP54" s="280"/>
      <c r="BXQ54" s="280"/>
      <c r="BXR54" s="280"/>
      <c r="BXS54" s="280"/>
      <c r="BXT54" s="280"/>
      <c r="BXU54" s="280"/>
      <c r="BXV54" s="280"/>
      <c r="BXW54" s="280"/>
      <c r="BXX54" s="280"/>
      <c r="BXY54" s="280"/>
      <c r="BXZ54" s="280"/>
      <c r="BYA54" s="280"/>
      <c r="BYB54" s="280"/>
      <c r="BYC54" s="280"/>
      <c r="BYD54" s="280"/>
      <c r="BYE54" s="280"/>
      <c r="BYF54" s="280"/>
      <c r="BYG54" s="280"/>
      <c r="BYH54" s="280"/>
      <c r="BYI54" s="280"/>
      <c r="BYJ54" s="280"/>
      <c r="BYK54" s="280"/>
      <c r="BYL54" s="280"/>
      <c r="BYM54" s="280"/>
      <c r="BYN54" s="280"/>
      <c r="BYO54" s="280"/>
      <c r="BYP54" s="280"/>
      <c r="BYQ54" s="280"/>
      <c r="BYR54" s="280"/>
      <c r="BYS54" s="280"/>
      <c r="BYT54" s="280"/>
      <c r="BYU54" s="280"/>
      <c r="BYV54" s="280"/>
      <c r="BYW54" s="280"/>
      <c r="BYX54" s="280"/>
      <c r="BYY54" s="280"/>
      <c r="BYZ54" s="280"/>
      <c r="BZA54" s="280"/>
      <c r="BZB54" s="280"/>
      <c r="BZC54" s="280"/>
      <c r="BZD54" s="280"/>
      <c r="BZE54" s="280"/>
      <c r="BZF54" s="280"/>
      <c r="BZG54" s="280"/>
      <c r="BZH54" s="280"/>
      <c r="BZI54" s="280"/>
      <c r="BZJ54" s="280"/>
      <c r="BZK54" s="280"/>
      <c r="BZL54" s="280"/>
      <c r="BZM54" s="280"/>
      <c r="BZN54" s="280"/>
      <c r="BZO54" s="280"/>
      <c r="BZP54" s="280"/>
      <c r="BZQ54" s="280"/>
      <c r="BZR54" s="280"/>
      <c r="BZS54" s="280"/>
      <c r="BZT54" s="280"/>
      <c r="BZU54" s="280"/>
      <c r="BZV54" s="280"/>
      <c r="BZW54" s="280"/>
      <c r="BZX54" s="280"/>
      <c r="BZY54" s="280"/>
      <c r="BZZ54" s="280"/>
      <c r="CAA54" s="280"/>
      <c r="CAB54" s="280"/>
      <c r="CAC54" s="280"/>
      <c r="CAD54" s="280"/>
      <c r="CAE54" s="280"/>
      <c r="CAF54" s="280"/>
      <c r="CAG54" s="280"/>
      <c r="CAH54" s="280"/>
      <c r="CAI54" s="280"/>
      <c r="CAJ54" s="280"/>
      <c r="CAK54" s="280"/>
      <c r="CAL54" s="280"/>
      <c r="CAM54" s="280"/>
      <c r="CAN54" s="280"/>
      <c r="CAO54" s="280"/>
      <c r="CAP54" s="280"/>
      <c r="CAQ54" s="280"/>
      <c r="CAR54" s="280"/>
      <c r="CAS54" s="280"/>
      <c r="CAT54" s="280"/>
      <c r="CAU54" s="280"/>
      <c r="CAV54" s="280"/>
      <c r="CAW54" s="280"/>
      <c r="CAX54" s="280"/>
      <c r="CAY54" s="280"/>
      <c r="CAZ54" s="280"/>
      <c r="CBA54" s="280"/>
      <c r="CBB54" s="280"/>
      <c r="CBC54" s="280"/>
      <c r="CBD54" s="280"/>
      <c r="CBE54" s="280"/>
      <c r="CBF54" s="280"/>
      <c r="CBG54" s="280"/>
      <c r="CBH54" s="280"/>
      <c r="CBI54" s="280"/>
      <c r="CBJ54" s="280"/>
      <c r="CBK54" s="280"/>
      <c r="CBL54" s="280"/>
      <c r="CBM54" s="280"/>
      <c r="CBN54" s="280"/>
      <c r="CBO54" s="280"/>
      <c r="CBP54" s="280"/>
      <c r="CBQ54" s="280"/>
      <c r="CBR54" s="280"/>
      <c r="CBS54" s="280"/>
      <c r="CBT54" s="280"/>
      <c r="CBU54" s="280"/>
      <c r="CBV54" s="280"/>
      <c r="CBW54" s="280"/>
      <c r="CBX54" s="280"/>
      <c r="CBY54" s="280"/>
      <c r="CBZ54" s="280"/>
      <c r="CCA54" s="280"/>
      <c r="CCB54" s="280"/>
      <c r="CCC54" s="280"/>
      <c r="CCD54" s="280"/>
      <c r="CCE54" s="280"/>
      <c r="CCF54" s="280"/>
      <c r="CCG54" s="280"/>
      <c r="CCH54" s="280"/>
      <c r="CCI54" s="280"/>
      <c r="CCJ54" s="280"/>
      <c r="CCK54" s="280"/>
      <c r="CCL54" s="280"/>
      <c r="CCM54" s="280"/>
      <c r="CCN54" s="280"/>
      <c r="CCO54" s="280"/>
      <c r="CCP54" s="280"/>
      <c r="CCQ54" s="280"/>
      <c r="CCR54" s="280"/>
      <c r="CCS54" s="280"/>
      <c r="CCT54" s="280"/>
      <c r="CCU54" s="280"/>
      <c r="CCV54" s="280"/>
      <c r="CCW54" s="280"/>
      <c r="CCX54" s="280"/>
      <c r="CCY54" s="280"/>
      <c r="CCZ54" s="280"/>
      <c r="CDA54" s="280"/>
      <c r="CDB54" s="280"/>
      <c r="CDC54" s="280"/>
      <c r="CDD54" s="280"/>
      <c r="CDE54" s="280"/>
      <c r="CDF54" s="280"/>
      <c r="CDG54" s="280"/>
      <c r="CDH54" s="280"/>
      <c r="CDI54" s="280"/>
      <c r="CDJ54" s="280"/>
      <c r="CDK54" s="280"/>
      <c r="CDL54" s="280"/>
      <c r="CDM54" s="280"/>
      <c r="CDN54" s="280"/>
      <c r="CDO54" s="280"/>
      <c r="CDP54" s="280"/>
      <c r="CDQ54" s="280"/>
      <c r="CDR54" s="280"/>
      <c r="CDS54" s="280"/>
      <c r="CDT54" s="280"/>
      <c r="CDU54" s="280"/>
      <c r="CDV54" s="280"/>
      <c r="CDW54" s="280"/>
      <c r="CDX54" s="280"/>
      <c r="CDY54" s="280"/>
      <c r="CDZ54" s="280"/>
      <c r="CEA54" s="280"/>
      <c r="CEB54" s="280"/>
      <c r="CEC54" s="280"/>
      <c r="CED54" s="280"/>
      <c r="CEE54" s="280"/>
      <c r="CEF54" s="280"/>
      <c r="CEG54" s="280"/>
      <c r="CEH54" s="280"/>
      <c r="CEI54" s="280"/>
      <c r="CEJ54" s="280"/>
      <c r="CEK54" s="280"/>
      <c r="CEL54" s="280"/>
      <c r="CEM54" s="280"/>
      <c r="CEN54" s="280"/>
      <c r="CEO54" s="280"/>
      <c r="CEP54" s="280"/>
      <c r="CEQ54" s="280"/>
      <c r="CER54" s="280"/>
      <c r="CES54" s="280"/>
      <c r="CET54" s="280"/>
      <c r="CEU54" s="280"/>
      <c r="CEV54" s="280"/>
      <c r="CEW54" s="280"/>
      <c r="CEX54" s="280"/>
      <c r="CEY54" s="280"/>
      <c r="CEZ54" s="280"/>
      <c r="CFA54" s="280"/>
      <c r="CFB54" s="280"/>
      <c r="CFC54" s="280"/>
      <c r="CFD54" s="280"/>
      <c r="CFE54" s="280"/>
      <c r="CFF54" s="280"/>
      <c r="CFG54" s="280"/>
      <c r="CFH54" s="280"/>
      <c r="CFI54" s="280"/>
      <c r="CFJ54" s="280"/>
      <c r="CFK54" s="280"/>
      <c r="CFL54" s="280"/>
      <c r="CFM54" s="280"/>
      <c r="CFN54" s="280"/>
      <c r="CFO54" s="280"/>
      <c r="CFP54" s="280"/>
      <c r="CFQ54" s="280"/>
      <c r="CFR54" s="280"/>
      <c r="CFS54" s="280"/>
      <c r="CFT54" s="280"/>
      <c r="CFU54" s="280"/>
      <c r="CFV54" s="280"/>
      <c r="CFW54" s="280"/>
      <c r="CFX54" s="280"/>
      <c r="CFY54" s="280"/>
      <c r="CFZ54" s="280"/>
      <c r="CGA54" s="280"/>
      <c r="CGB54" s="280"/>
      <c r="CGC54" s="280"/>
      <c r="CGD54" s="280"/>
      <c r="CGE54" s="280"/>
      <c r="CGF54" s="280"/>
      <c r="CGG54" s="280"/>
      <c r="CGH54" s="280"/>
      <c r="CGI54" s="280"/>
      <c r="CGJ54" s="280"/>
      <c r="CGK54" s="280"/>
      <c r="CGL54" s="280"/>
      <c r="CGM54" s="280"/>
      <c r="CGN54" s="280"/>
      <c r="CGO54" s="280"/>
      <c r="CGP54" s="280"/>
      <c r="CGQ54" s="280"/>
      <c r="CGR54" s="280"/>
      <c r="CGS54" s="280"/>
      <c r="CGT54" s="280"/>
      <c r="CGU54" s="280"/>
      <c r="CGV54" s="280"/>
      <c r="CGW54" s="280"/>
      <c r="CGX54" s="280"/>
      <c r="CGY54" s="280"/>
      <c r="CGZ54" s="280"/>
      <c r="CHA54" s="280"/>
      <c r="CHB54" s="280"/>
      <c r="CHC54" s="280"/>
      <c r="CHD54" s="280"/>
      <c r="CHE54" s="280"/>
      <c r="CHF54" s="280"/>
      <c r="CHG54" s="280"/>
      <c r="CHH54" s="280"/>
      <c r="CHI54" s="280"/>
      <c r="CHJ54" s="280"/>
      <c r="CHK54" s="280"/>
      <c r="CHL54" s="280"/>
      <c r="CHM54" s="280"/>
      <c r="CHN54" s="280"/>
      <c r="CHO54" s="280"/>
      <c r="CHP54" s="280"/>
      <c r="CHQ54" s="280"/>
      <c r="CHR54" s="280"/>
      <c r="CHS54" s="280"/>
      <c r="CHT54" s="280"/>
      <c r="CHU54" s="280"/>
      <c r="CHV54" s="280"/>
      <c r="CHW54" s="280"/>
      <c r="CHX54" s="280"/>
      <c r="CHY54" s="280"/>
      <c r="CHZ54" s="280"/>
      <c r="CIA54" s="280"/>
      <c r="CIB54" s="280"/>
      <c r="CIC54" s="280"/>
      <c r="CID54" s="280"/>
      <c r="CIE54" s="280"/>
      <c r="CIF54" s="280"/>
      <c r="CIG54" s="280"/>
      <c r="CIH54" s="280"/>
      <c r="CII54" s="280"/>
      <c r="CIJ54" s="280"/>
      <c r="CIK54" s="280"/>
      <c r="CIL54" s="280"/>
      <c r="CIM54" s="280"/>
      <c r="CIN54" s="280"/>
      <c r="CIO54" s="280"/>
      <c r="CIP54" s="280"/>
      <c r="CIQ54" s="280"/>
      <c r="CIR54" s="280"/>
      <c r="CIS54" s="280"/>
      <c r="CIT54" s="280"/>
      <c r="CIU54" s="280"/>
      <c r="CIV54" s="280"/>
      <c r="CIW54" s="280"/>
      <c r="CIX54" s="280"/>
      <c r="CIY54" s="280"/>
      <c r="CIZ54" s="280"/>
      <c r="CJA54" s="280"/>
      <c r="CJB54" s="280"/>
      <c r="CJC54" s="280"/>
      <c r="CJD54" s="280"/>
      <c r="CJE54" s="280"/>
      <c r="CJF54" s="280"/>
      <c r="CJG54" s="280"/>
      <c r="CJH54" s="280"/>
      <c r="CJI54" s="280"/>
      <c r="CJJ54" s="280"/>
      <c r="CJK54" s="280"/>
      <c r="CJL54" s="280"/>
      <c r="CJM54" s="280"/>
      <c r="CJN54" s="280"/>
      <c r="CJO54" s="280"/>
      <c r="CJP54" s="280"/>
      <c r="CJQ54" s="280"/>
      <c r="CJR54" s="280"/>
      <c r="CJS54" s="280"/>
      <c r="CJT54" s="280"/>
      <c r="CJU54" s="280"/>
      <c r="CJV54" s="280"/>
      <c r="CJW54" s="280"/>
      <c r="CJX54" s="280"/>
      <c r="CJY54" s="280"/>
      <c r="CJZ54" s="280"/>
      <c r="CKA54" s="280"/>
      <c r="CKB54" s="280"/>
      <c r="CKC54" s="280"/>
      <c r="CKD54" s="280"/>
      <c r="CKE54" s="280"/>
      <c r="CKF54" s="280"/>
      <c r="CKG54" s="280"/>
      <c r="CKH54" s="280"/>
      <c r="CKI54" s="280"/>
      <c r="CKJ54" s="280"/>
      <c r="CKK54" s="280"/>
      <c r="CKL54" s="280"/>
      <c r="CKM54" s="280"/>
      <c r="CKN54" s="280"/>
      <c r="CKO54" s="280"/>
      <c r="CKP54" s="280"/>
      <c r="CKQ54" s="280"/>
      <c r="CKR54" s="280"/>
      <c r="CKS54" s="280"/>
      <c r="CKT54" s="280"/>
      <c r="CKU54" s="280"/>
      <c r="CKV54" s="280"/>
      <c r="CKW54" s="280"/>
      <c r="CKX54" s="280"/>
      <c r="CKY54" s="280"/>
      <c r="CKZ54" s="280"/>
      <c r="CLA54" s="280"/>
      <c r="CLB54" s="280"/>
      <c r="CLC54" s="280"/>
      <c r="CLD54" s="280"/>
      <c r="CLE54" s="280"/>
      <c r="CLF54" s="280"/>
      <c r="CLG54" s="280"/>
      <c r="CLH54" s="280"/>
      <c r="CLI54" s="280"/>
      <c r="CLJ54" s="280"/>
      <c r="CLK54" s="280"/>
      <c r="CLL54" s="280"/>
      <c r="CLM54" s="280"/>
      <c r="CLN54" s="280"/>
      <c r="CLO54" s="280"/>
      <c r="CLP54" s="280"/>
      <c r="CLQ54" s="280"/>
      <c r="CLR54" s="280"/>
      <c r="CLS54" s="280"/>
      <c r="CLT54" s="280"/>
      <c r="CLU54" s="280"/>
      <c r="CLV54" s="280"/>
      <c r="CLW54" s="280"/>
      <c r="CLX54" s="280"/>
      <c r="CLY54" s="280"/>
      <c r="CLZ54" s="280"/>
      <c r="CMA54" s="280"/>
      <c r="CMB54" s="280"/>
      <c r="CMC54" s="280"/>
      <c r="CMD54" s="280"/>
      <c r="CME54" s="280"/>
      <c r="CMF54" s="280"/>
      <c r="CMG54" s="280"/>
      <c r="CMH54" s="280"/>
      <c r="CMI54" s="280"/>
      <c r="CMJ54" s="280"/>
      <c r="CMK54" s="280"/>
      <c r="CML54" s="280"/>
      <c r="CMM54" s="280"/>
      <c r="CMN54" s="280"/>
      <c r="CMO54" s="280"/>
      <c r="CMP54" s="280"/>
      <c r="CMQ54" s="280"/>
      <c r="CMR54" s="280"/>
      <c r="CMS54" s="280"/>
      <c r="CMT54" s="280"/>
      <c r="CMU54" s="280"/>
      <c r="CMV54" s="280"/>
      <c r="CMW54" s="280"/>
      <c r="CMX54" s="280"/>
      <c r="CMY54" s="280"/>
      <c r="CMZ54" s="280"/>
      <c r="CNA54" s="280"/>
      <c r="CNB54" s="280"/>
      <c r="CNC54" s="280"/>
      <c r="CND54" s="280"/>
      <c r="CNE54" s="280"/>
      <c r="CNF54" s="280"/>
      <c r="CNG54" s="280"/>
      <c r="CNH54" s="280"/>
      <c r="CNI54" s="280"/>
      <c r="CNJ54" s="280"/>
      <c r="CNK54" s="280"/>
      <c r="CNL54" s="280"/>
      <c r="CNM54" s="280"/>
      <c r="CNN54" s="280"/>
      <c r="CNO54" s="280"/>
      <c r="CNP54" s="280"/>
      <c r="CNQ54" s="280"/>
      <c r="CNR54" s="280"/>
      <c r="CNS54" s="280"/>
      <c r="CNT54" s="280"/>
      <c r="CNU54" s="280"/>
      <c r="CNV54" s="280"/>
      <c r="CNW54" s="280"/>
      <c r="CNX54" s="280"/>
      <c r="CNY54" s="280"/>
      <c r="CNZ54" s="280"/>
      <c r="COA54" s="280"/>
      <c r="COB54" s="280"/>
      <c r="COC54" s="280"/>
      <c r="COD54" s="280"/>
      <c r="COE54" s="280"/>
      <c r="COF54" s="280"/>
      <c r="COG54" s="280"/>
      <c r="COH54" s="280"/>
      <c r="COI54" s="280"/>
    </row>
    <row r="55" spans="1:2427" x14ac:dyDescent="0.25">
      <c r="A55" s="1325" t="s">
        <v>420</v>
      </c>
      <c r="B55" s="1308"/>
      <c r="C55" s="1309"/>
      <c r="D55" s="1309"/>
      <c r="E55" s="1306"/>
      <c r="F55" s="1308"/>
      <c r="G55" s="1309"/>
      <c r="H55" s="1309"/>
      <c r="I55" s="1309"/>
      <c r="J55" s="1306"/>
      <c r="K55" s="1039"/>
      <c r="L55" s="1309"/>
      <c r="M55" s="1309"/>
      <c r="N55" s="1309"/>
      <c r="O55" s="1310"/>
      <c r="P55" s="1039"/>
      <c r="Q55" s="1309"/>
      <c r="R55" s="1309"/>
      <c r="S55" s="1309"/>
      <c r="T55" s="1306"/>
      <c r="U55" s="1308"/>
      <c r="V55" s="1309"/>
      <c r="W55" s="1309"/>
      <c r="X55" s="1309"/>
      <c r="Y55" s="1306"/>
      <c r="Z55" s="508"/>
      <c r="AA55" s="487"/>
      <c r="AB55" s="487"/>
      <c r="AC55" s="487"/>
      <c r="AD55" s="438"/>
      <c r="AE55" s="508"/>
      <c r="AF55" s="487"/>
      <c r="AG55" s="487"/>
      <c r="AH55" s="487"/>
      <c r="AI55" s="438"/>
      <c r="AJ55" s="508"/>
      <c r="AK55" s="487"/>
      <c r="AL55" s="487"/>
      <c r="AM55" s="487"/>
      <c r="AN55" s="438"/>
      <c r="AO55" s="508"/>
      <c r="AP55" s="487"/>
      <c r="AQ55" s="487"/>
      <c r="AR55" s="487"/>
      <c r="AS55" s="438"/>
      <c r="AT55" s="280"/>
      <c r="AU55" s="280"/>
      <c r="AV55" s="280"/>
      <c r="AW55" s="280"/>
      <c r="AX55" s="280"/>
      <c r="AY55" s="280"/>
      <c r="AZ55" s="280"/>
      <c r="BA55" s="280"/>
      <c r="BB55" s="280"/>
      <c r="BC55" s="280"/>
      <c r="BD55" s="280"/>
      <c r="BE55" s="280"/>
      <c r="BF55" s="280"/>
      <c r="BG55" s="280"/>
      <c r="BH55" s="280"/>
      <c r="BI55" s="280"/>
      <c r="BJ55" s="280"/>
      <c r="BK55" s="280"/>
      <c r="BL55" s="280"/>
      <c r="BM55" s="280"/>
      <c r="BN55" s="280"/>
      <c r="BO55" s="280"/>
      <c r="BP55" s="280"/>
      <c r="BQ55" s="280"/>
      <c r="BR55" s="280"/>
      <c r="BS55" s="280"/>
      <c r="BT55" s="280"/>
      <c r="BU55" s="280"/>
      <c r="BV55" s="280"/>
      <c r="BW55" s="280"/>
      <c r="BX55" s="280"/>
      <c r="BY55" s="280"/>
      <c r="BZ55" s="280"/>
      <c r="CA55" s="280"/>
      <c r="CB55" s="280"/>
      <c r="CC55" s="280"/>
      <c r="CD55" s="280"/>
      <c r="CE55" s="280"/>
      <c r="CF55" s="280"/>
      <c r="CG55" s="280"/>
      <c r="CH55" s="280"/>
      <c r="CI55" s="280"/>
      <c r="CJ55" s="280"/>
      <c r="CK55" s="280"/>
      <c r="CL55" s="280"/>
      <c r="CM55" s="280"/>
      <c r="CN55" s="280"/>
      <c r="CO55" s="280"/>
      <c r="CP55" s="280"/>
      <c r="CQ55" s="280"/>
      <c r="CR55" s="280"/>
      <c r="CS55" s="280"/>
      <c r="CT55" s="280"/>
      <c r="CU55" s="280"/>
      <c r="CV55" s="280"/>
      <c r="CW55" s="280"/>
      <c r="CX55" s="280"/>
      <c r="CY55" s="280"/>
      <c r="CZ55" s="280"/>
    </row>
    <row r="56" spans="1:2427" x14ac:dyDescent="0.25">
      <c r="A56" s="1344" t="s">
        <v>1068</v>
      </c>
      <c r="B56" s="1313">
        <f>+'NEW Spring CHP by DISC'!B56/15</f>
        <v>0</v>
      </c>
      <c r="C56" s="1313">
        <f>+'NEW Spring CHP by DISC'!C56/15</f>
        <v>0</v>
      </c>
      <c r="D56" s="1313">
        <f>+'NEW Spring CHP by DISC'!D56/12</f>
        <v>0</v>
      </c>
      <c r="E56" s="1311">
        <f t="shared" ref="E56:E61" si="48">SUM(B56:D56)</f>
        <v>0</v>
      </c>
      <c r="F56" s="1313">
        <f>+'NEW Spring CHP by DISC'!F56/15</f>
        <v>0.53333333333333333</v>
      </c>
      <c r="G56" s="1313">
        <f>+'NEW Spring CHP by DISC'!G56/15</f>
        <v>0</v>
      </c>
      <c r="H56" s="1313">
        <f>+'NEW Spring CHP by DISC'!H56/12</f>
        <v>0</v>
      </c>
      <c r="I56" s="1313">
        <f t="shared" ref="I56:I61" si="49">SUM(F56:H56)</f>
        <v>0.53333333333333333</v>
      </c>
      <c r="J56" s="1307">
        <f t="shared" ref="J56:J62" si="50">IF(E56&gt;0,(I56-E56)/E56,(IF(I56=0,"N/A",100%)))</f>
        <v>1</v>
      </c>
      <c r="K56" s="772">
        <f>+'NEW Spring CHP by DISC'!K56/15</f>
        <v>1.6</v>
      </c>
      <c r="L56" s="1313">
        <f>+'NEW Spring CHP by DISC'!L56/15</f>
        <v>0</v>
      </c>
      <c r="M56" s="1313">
        <f>+'NEW Spring CHP by DISC'!M56/12</f>
        <v>0</v>
      </c>
      <c r="N56" s="1313">
        <f t="shared" ref="N56:N61" si="51">SUM(K56:M56)</f>
        <v>1.6</v>
      </c>
      <c r="O56" s="1339">
        <f t="shared" ref="O56:O62" si="52">IF(I56&gt;0,(N56-I56)/I56,(IF(N56=0,"N/A",100%)))</f>
        <v>2.0000000000000004</v>
      </c>
      <c r="P56" s="772">
        <f>+'NEW Spring CHP by DISC'!P56/15</f>
        <v>0</v>
      </c>
      <c r="Q56" s="1313">
        <f>+'NEW Spring CHP by DISC'!Q56/15</f>
        <v>0</v>
      </c>
      <c r="R56" s="1313">
        <f>+'NEW Spring CHP by DISC'!R56/12</f>
        <v>0</v>
      </c>
      <c r="S56" s="1313">
        <f t="shared" ref="S56:S61" si="53">SUM(P56:R56)</f>
        <v>0</v>
      </c>
      <c r="T56" s="1307">
        <f t="shared" ref="T56:T62" si="54">IF(N56&gt;0,(S56-N56)/N56,(IF(S56=0,"N/A",100%)))</f>
        <v>-1</v>
      </c>
      <c r="U56" s="1313">
        <f>+'NEW Spring CHP by DISC'!U56/15</f>
        <v>0</v>
      </c>
      <c r="V56" s="1313">
        <f>+'NEW Spring CHP by DISC'!V56/15</f>
        <v>0</v>
      </c>
      <c r="W56" s="1313">
        <f>+'NEW Spring CHP by DISC'!W56/12</f>
        <v>0</v>
      </c>
      <c r="X56" s="1313">
        <f t="shared" ref="X56:X61" si="55">SUM(U56:W56)</f>
        <v>0</v>
      </c>
      <c r="Y56" s="1307" t="str">
        <f t="shared" ref="Y56:Y62" si="56">IF(S56&gt;0,(X56-S56)/S56,(IF(X56=0,"N/A",100%)))</f>
        <v>N/A</v>
      </c>
      <c r="Z56" s="1312">
        <f>+'NEW Spring CHP by DISC'!Z56/15</f>
        <v>0</v>
      </c>
      <c r="AA56" s="1312">
        <f>+'NEW Spring CHP by DISC'!AA56/15</f>
        <v>0</v>
      </c>
      <c r="AB56" s="1312">
        <f>+'NEW Spring CHP by DISC'!AB56/12</f>
        <v>0</v>
      </c>
      <c r="AC56" s="1312">
        <f t="shared" ref="AC56:AC61" si="57">SUM(Z56:AB56)</f>
        <v>0</v>
      </c>
      <c r="AD56" s="1320" t="str">
        <f t="shared" ref="AD56:AD62" si="58">IF(X56&gt;0,(AC56-X56)/X56,(IF(AC56=0,"N/A",100%)))</f>
        <v>N/A</v>
      </c>
      <c r="AE56" s="1312">
        <f>+'NEW Spring CHP by DISC'!AE56/15</f>
        <v>0</v>
      </c>
      <c r="AF56" s="1312">
        <f>+'NEW Spring CHP by DISC'!AF56/15</f>
        <v>0</v>
      </c>
      <c r="AG56" s="1312">
        <f>+'NEW Spring CHP by DISC'!AG56/12</f>
        <v>0</v>
      </c>
      <c r="AH56" s="1312">
        <f t="shared" ref="AH56:AH61" si="59">SUM(AE56:AG56)</f>
        <v>0</v>
      </c>
      <c r="AI56" s="1320" t="str">
        <f t="shared" ref="AI56:AI62" si="60">IF(AC56&gt;0,(AH56-AC56)/AC56,(IF(AH56=0,"N/A",100%)))</f>
        <v>N/A</v>
      </c>
      <c r="AJ56" s="1312">
        <f>+'NEW Spring CHP by DISC'!AJ56/15</f>
        <v>0</v>
      </c>
      <c r="AK56" s="1312">
        <f>+'NEW Spring CHP by DISC'!AK56/15</f>
        <v>0</v>
      </c>
      <c r="AL56" s="1312">
        <f>+'NEW Spring CHP by DISC'!AL56/12</f>
        <v>0</v>
      </c>
      <c r="AM56" s="1312">
        <f t="shared" ref="AM56:AM61" si="61">SUM(AJ56:AL56)</f>
        <v>0</v>
      </c>
      <c r="AN56" s="1320" t="str">
        <f t="shared" ref="AN56:AN62" si="62">IF(AH56&gt;0,(AM56-AH56)/AH56,(IF(AM56=0,"N/A",100%)))</f>
        <v>N/A</v>
      </c>
      <c r="AO56" s="1312">
        <f>+'NEW Spring CHP by DISC'!AO56/15</f>
        <v>0</v>
      </c>
      <c r="AP56" s="1312">
        <f>+'NEW Spring CHP by DISC'!AP56/15</f>
        <v>0</v>
      </c>
      <c r="AQ56" s="1312">
        <f>+'NEW Spring CHP by DISC'!AQ56/12</f>
        <v>0</v>
      </c>
      <c r="AR56" s="1312">
        <f t="shared" ref="AR56:AR61" si="63">SUM(AO56:AQ56)</f>
        <v>0</v>
      </c>
      <c r="AS56" s="1320" t="str">
        <f t="shared" ref="AS56:AS62" si="64">IF(AM56&gt;0,(AR56-AM56)/AM56,(IF(AR56=0,"N/A",100%)))</f>
        <v>N/A</v>
      </c>
      <c r="AT56" s="280"/>
      <c r="AU56" s="280"/>
      <c r="AV56" s="280"/>
      <c r="AW56" s="280"/>
      <c r="AX56" s="280"/>
      <c r="AY56" s="280"/>
      <c r="AZ56" s="280"/>
      <c r="BA56" s="280"/>
      <c r="BB56" s="280"/>
      <c r="BC56" s="280"/>
      <c r="BD56" s="280"/>
      <c r="BE56" s="280"/>
      <c r="BF56" s="280"/>
      <c r="BG56" s="280"/>
      <c r="BH56" s="280"/>
      <c r="BI56" s="280"/>
      <c r="BJ56" s="280"/>
      <c r="BK56" s="280"/>
      <c r="BL56" s="280"/>
      <c r="BM56" s="280"/>
      <c r="BN56" s="280"/>
      <c r="BO56" s="280"/>
      <c r="BP56" s="280"/>
      <c r="BQ56" s="280"/>
      <c r="BR56" s="280"/>
      <c r="BS56" s="280"/>
      <c r="BT56" s="280"/>
      <c r="BU56" s="280"/>
      <c r="BV56" s="280"/>
      <c r="BW56" s="280"/>
      <c r="BX56" s="280"/>
      <c r="BY56" s="280"/>
      <c r="BZ56" s="280"/>
      <c r="CA56" s="280"/>
      <c r="CB56" s="280"/>
      <c r="CC56" s="280"/>
      <c r="CD56" s="280"/>
      <c r="CE56" s="280"/>
      <c r="CF56" s="280"/>
      <c r="CG56" s="280"/>
      <c r="CH56" s="280"/>
      <c r="CI56" s="280"/>
      <c r="CJ56" s="280"/>
      <c r="CK56" s="280"/>
      <c r="CL56" s="280"/>
      <c r="CM56" s="280"/>
      <c r="CN56" s="280"/>
      <c r="CO56" s="280"/>
      <c r="CP56" s="280"/>
      <c r="CQ56" s="280"/>
      <c r="CR56" s="280"/>
      <c r="CS56" s="280"/>
      <c r="CT56" s="280"/>
      <c r="CU56" s="280"/>
      <c r="CV56" s="280"/>
      <c r="CW56" s="280"/>
      <c r="CX56" s="280"/>
      <c r="CY56" s="280"/>
      <c r="CZ56" s="280"/>
    </row>
    <row r="57" spans="1:2427" x14ac:dyDescent="0.25">
      <c r="A57" s="1319" t="s">
        <v>1032</v>
      </c>
      <c r="B57" s="1313">
        <f>+'NEW Spring CHP by DISC'!B57/15</f>
        <v>8</v>
      </c>
      <c r="C57" s="1313">
        <f>+'NEW Spring CHP by DISC'!C57/15</f>
        <v>10</v>
      </c>
      <c r="D57" s="1313">
        <f>+'NEW Spring CHP by DISC'!D57/12</f>
        <v>0</v>
      </c>
      <c r="E57" s="1311">
        <f t="shared" si="48"/>
        <v>18</v>
      </c>
      <c r="F57" s="1313">
        <f>+'NEW Spring CHP by DISC'!F57/15</f>
        <v>6</v>
      </c>
      <c r="G57" s="1313">
        <f>+'NEW Spring CHP by DISC'!G57/15</f>
        <v>9.8000000000000007</v>
      </c>
      <c r="H57" s="1313">
        <f>+'NEW Spring CHP by DISC'!H57/12</f>
        <v>0</v>
      </c>
      <c r="I57" s="1313">
        <f t="shared" si="49"/>
        <v>15.8</v>
      </c>
      <c r="J57" s="1307">
        <f t="shared" si="50"/>
        <v>-0.12222222222222218</v>
      </c>
      <c r="K57" s="772">
        <f>+'NEW Spring CHP by DISC'!K57/15</f>
        <v>9.8000000000000007</v>
      </c>
      <c r="L57" s="1313">
        <f>+'NEW Spring CHP by DISC'!L57/15</f>
        <v>9.4</v>
      </c>
      <c r="M57" s="1313">
        <f>+'NEW Spring CHP by DISC'!M57/12</f>
        <v>0</v>
      </c>
      <c r="N57" s="1313">
        <f t="shared" si="51"/>
        <v>19.200000000000003</v>
      </c>
      <c r="O57" s="1339">
        <f t="shared" si="52"/>
        <v>0.21518987341772164</v>
      </c>
      <c r="P57" s="772">
        <f>+'NEW Spring CHP by DISC'!P57/15</f>
        <v>7.8</v>
      </c>
      <c r="Q57" s="1313">
        <f>+'NEW Spring CHP by DISC'!Q57/15</f>
        <v>10.199999999999999</v>
      </c>
      <c r="R57" s="1313">
        <f>+'NEW Spring CHP by DISC'!R57/12</f>
        <v>0</v>
      </c>
      <c r="S57" s="1313">
        <f t="shared" si="53"/>
        <v>18</v>
      </c>
      <c r="T57" s="1307">
        <f t="shared" si="54"/>
        <v>-6.2500000000000139E-2</v>
      </c>
      <c r="U57" s="1313">
        <f>+'NEW Spring CHP by DISC'!U57/15</f>
        <v>13.4</v>
      </c>
      <c r="V57" s="1313">
        <f>+'NEW Spring CHP by DISC'!V57/15</f>
        <v>8.6</v>
      </c>
      <c r="W57" s="1313">
        <f>+'NEW Spring CHP by DISC'!W57/12</f>
        <v>0</v>
      </c>
      <c r="X57" s="1313">
        <f t="shared" si="55"/>
        <v>22</v>
      </c>
      <c r="Y57" s="1307">
        <f t="shared" si="56"/>
        <v>0.22222222222222221</v>
      </c>
      <c r="Z57" s="1312">
        <f>+'NEW Spring CHP by DISC'!Z57/15</f>
        <v>9.8000000000000007</v>
      </c>
      <c r="AA57" s="1312">
        <f>+'NEW Spring CHP by DISC'!AA57/15</f>
        <v>7.8</v>
      </c>
      <c r="AB57" s="1312">
        <f>+'NEW Spring CHP by DISC'!AB57/12</f>
        <v>0</v>
      </c>
      <c r="AC57" s="1312">
        <f t="shared" si="57"/>
        <v>17.600000000000001</v>
      </c>
      <c r="AD57" s="1320">
        <f t="shared" si="58"/>
        <v>-0.19999999999999993</v>
      </c>
      <c r="AE57" s="1312">
        <f>+'NEW Spring CHP by DISC'!AE57/15</f>
        <v>5</v>
      </c>
      <c r="AF57" s="1312">
        <f>+'NEW Spring CHP by DISC'!AF57/15</f>
        <v>3.2</v>
      </c>
      <c r="AG57" s="1312">
        <f>+'NEW Spring CHP by DISC'!AG57/12</f>
        <v>0</v>
      </c>
      <c r="AH57" s="1312">
        <f t="shared" si="59"/>
        <v>8.1999999999999993</v>
      </c>
      <c r="AI57" s="1320">
        <f t="shared" si="60"/>
        <v>-0.53409090909090917</v>
      </c>
      <c r="AJ57" s="1312">
        <f>+'NEW Spring CHP by DISC'!AJ57/15</f>
        <v>5.4</v>
      </c>
      <c r="AK57" s="1312">
        <f>+'NEW Spring CHP by DISC'!AK57/15</f>
        <v>3.8</v>
      </c>
      <c r="AL57" s="1312">
        <f>+'NEW Spring CHP by DISC'!AL57/12</f>
        <v>0</v>
      </c>
      <c r="AM57" s="1312">
        <f t="shared" si="61"/>
        <v>9.1999999999999993</v>
      </c>
      <c r="AN57" s="1320">
        <f t="shared" si="62"/>
        <v>0.12195121951219513</v>
      </c>
      <c r="AO57" s="1312">
        <f>+'NEW Spring CHP by DISC'!AO57/15</f>
        <v>0</v>
      </c>
      <c r="AP57" s="1312">
        <f>+'NEW Spring CHP by DISC'!AP57/15</f>
        <v>9.4</v>
      </c>
      <c r="AQ57" s="1312">
        <f>+'NEW Spring CHP by DISC'!AQ57/12</f>
        <v>0</v>
      </c>
      <c r="AR57" s="1312">
        <f t="shared" si="63"/>
        <v>9.4</v>
      </c>
      <c r="AS57" s="1320">
        <f t="shared" si="64"/>
        <v>2.1739130434782726E-2</v>
      </c>
      <c r="AT57" s="280"/>
      <c r="AU57" s="280"/>
      <c r="AV57" s="280"/>
      <c r="AW57" s="280"/>
      <c r="AX57" s="280"/>
      <c r="AY57" s="280"/>
      <c r="AZ57" s="280"/>
      <c r="BA57" s="280"/>
      <c r="BB57" s="280"/>
      <c r="BC57" s="280"/>
      <c r="BD57" s="280"/>
      <c r="BE57" s="280"/>
      <c r="BF57" s="280"/>
      <c r="BG57" s="280"/>
      <c r="BH57" s="280"/>
      <c r="BI57" s="280"/>
      <c r="BJ57" s="280"/>
      <c r="BK57" s="280"/>
      <c r="BL57" s="280"/>
      <c r="BM57" s="280"/>
      <c r="BN57" s="280"/>
      <c r="BO57" s="280"/>
      <c r="BP57" s="280"/>
      <c r="BQ57" s="280"/>
      <c r="BR57" s="280"/>
      <c r="BS57" s="280"/>
      <c r="BT57" s="280"/>
      <c r="BU57" s="280"/>
      <c r="BV57" s="280"/>
      <c r="BW57" s="280"/>
      <c r="BX57" s="280"/>
      <c r="BY57" s="280"/>
      <c r="BZ57" s="280"/>
      <c r="CA57" s="280"/>
      <c r="CB57" s="280"/>
      <c r="CC57" s="280"/>
      <c r="CD57" s="280"/>
      <c r="CE57" s="280"/>
      <c r="CF57" s="280"/>
      <c r="CG57" s="280"/>
      <c r="CH57" s="280"/>
      <c r="CI57" s="280"/>
      <c r="CJ57" s="280"/>
      <c r="CK57" s="280"/>
      <c r="CL57" s="280"/>
      <c r="CM57" s="280"/>
      <c r="CN57" s="280"/>
      <c r="CO57" s="280"/>
      <c r="CP57" s="280"/>
      <c r="CQ57" s="280"/>
      <c r="CR57" s="280"/>
      <c r="CS57" s="280"/>
      <c r="CT57" s="280"/>
      <c r="CU57" s="280"/>
      <c r="CV57" s="280"/>
      <c r="CW57" s="280"/>
      <c r="CX57" s="280"/>
      <c r="CY57" s="280"/>
      <c r="CZ57" s="280"/>
    </row>
    <row r="58" spans="1:2427" x14ac:dyDescent="0.25">
      <c r="A58" s="1319" t="s">
        <v>1035</v>
      </c>
      <c r="B58" s="1313">
        <f>+'NEW Spring CHP by DISC'!B58/15</f>
        <v>0</v>
      </c>
      <c r="C58" s="1313">
        <f>+'NEW Spring CHP by DISC'!C58/15</f>
        <v>1.4666666666666666</v>
      </c>
      <c r="D58" s="1313">
        <f>+'NEW Spring CHP by DISC'!D58/12</f>
        <v>0</v>
      </c>
      <c r="E58" s="1311">
        <f t="shared" si="48"/>
        <v>1.4666666666666666</v>
      </c>
      <c r="F58" s="1313">
        <f>+'NEW Spring CHP by DISC'!F58/15</f>
        <v>0</v>
      </c>
      <c r="G58" s="1313">
        <f>+'NEW Spring CHP by DISC'!G58/15</f>
        <v>0.73333333333333328</v>
      </c>
      <c r="H58" s="1313">
        <f>+'NEW Spring CHP by DISC'!H58/12</f>
        <v>0</v>
      </c>
      <c r="I58" s="1313">
        <f t="shared" si="49"/>
        <v>0.73333333333333328</v>
      </c>
      <c r="J58" s="1307">
        <f t="shared" si="50"/>
        <v>-0.5</v>
      </c>
      <c r="K58" s="772">
        <f>+'NEW Spring CHP by DISC'!K58/15</f>
        <v>0</v>
      </c>
      <c r="L58" s="1313">
        <f>+'NEW Spring CHP by DISC'!L58/15</f>
        <v>0.93333333333333335</v>
      </c>
      <c r="M58" s="1313">
        <f>+'NEW Spring CHP by DISC'!M58/12</f>
        <v>0</v>
      </c>
      <c r="N58" s="1313">
        <f t="shared" si="51"/>
        <v>0.93333333333333335</v>
      </c>
      <c r="O58" s="1339">
        <f t="shared" si="52"/>
        <v>0.27272727272727282</v>
      </c>
      <c r="P58" s="772">
        <f>+'NEW Spring CHP by DISC'!P58/15</f>
        <v>6</v>
      </c>
      <c r="Q58" s="1313">
        <f>+'NEW Spring CHP by DISC'!Q58/15</f>
        <v>0.66666666666666663</v>
      </c>
      <c r="R58" s="1313">
        <f>+'NEW Spring CHP by DISC'!R58/12</f>
        <v>0</v>
      </c>
      <c r="S58" s="1313">
        <f t="shared" si="53"/>
        <v>6.666666666666667</v>
      </c>
      <c r="T58" s="1307">
        <f t="shared" si="54"/>
        <v>6.1428571428571432</v>
      </c>
      <c r="U58" s="1313">
        <f>+'NEW Spring CHP by DISC'!U58/15</f>
        <v>6.2</v>
      </c>
      <c r="V58" s="1313">
        <f>+'NEW Spring CHP by DISC'!V58/15</f>
        <v>1.0666666666666667</v>
      </c>
      <c r="W58" s="1313">
        <f>+'NEW Spring CHP by DISC'!W58/12</f>
        <v>0</v>
      </c>
      <c r="X58" s="1313">
        <f t="shared" si="55"/>
        <v>7.2666666666666666</v>
      </c>
      <c r="Y58" s="1307">
        <f t="shared" si="56"/>
        <v>8.9999999999999941E-2</v>
      </c>
      <c r="Z58" s="1312">
        <f>+'NEW Spring CHP by DISC'!Z58/15</f>
        <v>6</v>
      </c>
      <c r="AA58" s="1312">
        <f>+'NEW Spring CHP by DISC'!AA58/15</f>
        <v>1.4</v>
      </c>
      <c r="AB58" s="1312">
        <f>+'NEW Spring CHP by DISC'!AB58/12</f>
        <v>0</v>
      </c>
      <c r="AC58" s="1312">
        <f t="shared" si="57"/>
        <v>7.4</v>
      </c>
      <c r="AD58" s="1320">
        <f t="shared" si="58"/>
        <v>1.8348623853211066E-2</v>
      </c>
      <c r="AE58" s="1312">
        <f>+'NEW Spring CHP by DISC'!AE58/15</f>
        <v>6</v>
      </c>
      <c r="AF58" s="1312">
        <f>+'NEW Spring CHP by DISC'!AF58/15</f>
        <v>1.2666666666666666</v>
      </c>
      <c r="AG58" s="1312">
        <f>+'NEW Spring CHP by DISC'!AG58/12</f>
        <v>0</v>
      </c>
      <c r="AH58" s="1312">
        <f t="shared" si="59"/>
        <v>7.2666666666666666</v>
      </c>
      <c r="AI58" s="1320">
        <f t="shared" si="60"/>
        <v>-1.8018018018018073E-2</v>
      </c>
      <c r="AJ58" s="1312">
        <f>+'NEW Spring CHP by DISC'!AJ58/15</f>
        <v>4</v>
      </c>
      <c r="AK58" s="1312">
        <f>+'NEW Spring CHP by DISC'!AK58/15</f>
        <v>1.2666666666666666</v>
      </c>
      <c r="AL58" s="1312">
        <f>+'NEW Spring CHP by DISC'!AL58/12</f>
        <v>0</v>
      </c>
      <c r="AM58" s="1312">
        <f t="shared" si="61"/>
        <v>5.2666666666666666</v>
      </c>
      <c r="AN58" s="1320">
        <f t="shared" si="62"/>
        <v>-0.27522935779816515</v>
      </c>
      <c r="AO58" s="1312">
        <f>+'NEW Spring CHP by DISC'!AO58/15</f>
        <v>2.8</v>
      </c>
      <c r="AP58" s="1312">
        <f>+'NEW Spring CHP by DISC'!AP58/15</f>
        <v>0.8</v>
      </c>
      <c r="AQ58" s="1312">
        <f>+'NEW Spring CHP by DISC'!AQ58/12</f>
        <v>0</v>
      </c>
      <c r="AR58" s="1312">
        <f t="shared" si="63"/>
        <v>3.5999999999999996</v>
      </c>
      <c r="AS58" s="1320">
        <f t="shared" si="64"/>
        <v>-0.31645569620253172</v>
      </c>
    </row>
    <row r="59" spans="1:2427" x14ac:dyDescent="0.25">
      <c r="A59" s="1319" t="s">
        <v>1036</v>
      </c>
      <c r="B59" s="1313">
        <f>+'NEW Spring CHP by DISC'!B59/15</f>
        <v>10</v>
      </c>
      <c r="C59" s="1313">
        <f>+'NEW Spring CHP by DISC'!C59/15</f>
        <v>26.6</v>
      </c>
      <c r="D59" s="1313">
        <f>+'NEW Spring CHP by DISC'!D59/12</f>
        <v>0</v>
      </c>
      <c r="E59" s="1311">
        <f t="shared" si="48"/>
        <v>36.6</v>
      </c>
      <c r="F59" s="1313">
        <f>+'NEW Spring CHP by DISC'!F59/15</f>
        <v>11</v>
      </c>
      <c r="G59" s="1313">
        <f>+'NEW Spring CHP by DISC'!G59/15</f>
        <v>28.8</v>
      </c>
      <c r="H59" s="1313">
        <f>+'NEW Spring CHP by DISC'!H59/12</f>
        <v>0</v>
      </c>
      <c r="I59" s="1313">
        <f t="shared" si="49"/>
        <v>39.799999999999997</v>
      </c>
      <c r="J59" s="1307">
        <f t="shared" si="50"/>
        <v>8.7431693989070913E-2</v>
      </c>
      <c r="K59" s="772">
        <f>+'NEW Spring CHP by DISC'!K59/15</f>
        <v>18.399999999999999</v>
      </c>
      <c r="L59" s="1313">
        <f>+'NEW Spring CHP by DISC'!L59/15</f>
        <v>35.799999999999997</v>
      </c>
      <c r="M59" s="1313">
        <f>+'NEW Spring CHP by DISC'!M59/12</f>
        <v>0</v>
      </c>
      <c r="N59" s="1313">
        <f t="shared" si="51"/>
        <v>54.199999999999996</v>
      </c>
      <c r="O59" s="1339">
        <f t="shared" si="52"/>
        <v>0.36180904522613067</v>
      </c>
      <c r="P59" s="772">
        <f>+'NEW Spring CHP by DISC'!P59/15</f>
        <v>26.6</v>
      </c>
      <c r="Q59" s="1313">
        <f>+'NEW Spring CHP by DISC'!Q59/15</f>
        <v>33.6</v>
      </c>
      <c r="R59" s="1313">
        <f>+'NEW Spring CHP by DISC'!R59/12</f>
        <v>0</v>
      </c>
      <c r="S59" s="1313">
        <f t="shared" si="53"/>
        <v>60.2</v>
      </c>
      <c r="T59" s="1307">
        <f t="shared" si="54"/>
        <v>0.11070110701107025</v>
      </c>
      <c r="U59" s="1313">
        <f>+'NEW Spring CHP by DISC'!U59/15</f>
        <v>29.4</v>
      </c>
      <c r="V59" s="1313">
        <f>+'NEW Spring CHP by DISC'!V59/15</f>
        <v>29.4</v>
      </c>
      <c r="W59" s="1313">
        <f>+'NEW Spring CHP by DISC'!W59/12</f>
        <v>0</v>
      </c>
      <c r="X59" s="1313">
        <f t="shared" si="55"/>
        <v>58.8</v>
      </c>
      <c r="Y59" s="1307">
        <f t="shared" si="56"/>
        <v>-2.3255813953488465E-2</v>
      </c>
      <c r="Z59" s="1312">
        <f>+'NEW Spring CHP by DISC'!Z59/15</f>
        <v>28.4</v>
      </c>
      <c r="AA59" s="1312">
        <f>+'NEW Spring CHP by DISC'!AA59/15</f>
        <v>30.866666666666667</v>
      </c>
      <c r="AB59" s="1312">
        <f>+'NEW Spring CHP by DISC'!AB59/12</f>
        <v>0</v>
      </c>
      <c r="AC59" s="1312">
        <f t="shared" si="57"/>
        <v>59.266666666666666</v>
      </c>
      <c r="AD59" s="1320">
        <f t="shared" si="58"/>
        <v>7.936507936507969E-3</v>
      </c>
      <c r="AE59" s="1312">
        <f>+'NEW Spring CHP by DISC'!AE59/15</f>
        <v>26.4</v>
      </c>
      <c r="AF59" s="1312">
        <f>+'NEW Spring CHP by DISC'!AF59/15</f>
        <v>36.333333333333336</v>
      </c>
      <c r="AG59" s="1312">
        <f>+'NEW Spring CHP by DISC'!AG59/12</f>
        <v>0</v>
      </c>
      <c r="AH59" s="1312">
        <f t="shared" si="59"/>
        <v>62.733333333333334</v>
      </c>
      <c r="AI59" s="1320">
        <f t="shared" si="60"/>
        <v>5.8492688413948286E-2</v>
      </c>
      <c r="AJ59" s="1312">
        <f>+'NEW Spring CHP by DISC'!AJ59/15</f>
        <v>24.6</v>
      </c>
      <c r="AK59" s="1312">
        <f>+'NEW Spring CHP by DISC'!AK59/15</f>
        <v>33.866666666666667</v>
      </c>
      <c r="AL59" s="1312">
        <f>+'NEW Spring CHP by DISC'!AL59/12</f>
        <v>0</v>
      </c>
      <c r="AM59" s="1312">
        <f t="shared" si="61"/>
        <v>58.466666666666669</v>
      </c>
      <c r="AN59" s="1320">
        <f t="shared" si="62"/>
        <v>-6.8012752391073308E-2</v>
      </c>
      <c r="AO59" s="1312">
        <f>+'NEW Spring CHP by DISC'!AO59/15</f>
        <v>10.8</v>
      </c>
      <c r="AP59" s="1312">
        <f>+'NEW Spring CHP by DISC'!AP59/15</f>
        <v>39.466666666666669</v>
      </c>
      <c r="AQ59" s="1312">
        <f>+'NEW Spring CHP by DISC'!AQ59/12</f>
        <v>0</v>
      </c>
      <c r="AR59" s="1312">
        <f t="shared" si="63"/>
        <v>50.266666666666666</v>
      </c>
      <c r="AS59" s="1320">
        <f t="shared" si="64"/>
        <v>-0.14025085518814143</v>
      </c>
    </row>
    <row r="60" spans="1:2427" x14ac:dyDescent="0.25">
      <c r="A60" s="1319" t="s">
        <v>1039</v>
      </c>
      <c r="B60" s="1313">
        <f>+'NEW Spring CHP by DISC'!B60/15</f>
        <v>27.2</v>
      </c>
      <c r="C60" s="1313">
        <f>+'NEW Spring CHP by DISC'!C60/15</f>
        <v>0</v>
      </c>
      <c r="D60" s="1313">
        <f>+'NEW Spring CHP by DISC'!D60/12</f>
        <v>0</v>
      </c>
      <c r="E60" s="1311">
        <f t="shared" si="48"/>
        <v>27.2</v>
      </c>
      <c r="F60" s="1313">
        <f>+'NEW Spring CHP by DISC'!F60/15</f>
        <v>30.4</v>
      </c>
      <c r="G60" s="1313">
        <f>+'NEW Spring CHP by DISC'!G60/15</f>
        <v>0</v>
      </c>
      <c r="H60" s="1313">
        <f>+'NEW Spring CHP by DISC'!H60/12</f>
        <v>0</v>
      </c>
      <c r="I60" s="1313">
        <f t="shared" si="49"/>
        <v>30.4</v>
      </c>
      <c r="J60" s="1307">
        <f t="shared" si="50"/>
        <v>0.11764705882352938</v>
      </c>
      <c r="K60" s="772">
        <f>+'NEW Spring CHP by DISC'!K60/15</f>
        <v>43.2</v>
      </c>
      <c r="L60" s="1313">
        <f>+'NEW Spring CHP by DISC'!L60/15</f>
        <v>0</v>
      </c>
      <c r="M60" s="1313">
        <f>+'NEW Spring CHP by DISC'!M60/12</f>
        <v>0</v>
      </c>
      <c r="N60" s="1313">
        <f t="shared" si="51"/>
        <v>43.2</v>
      </c>
      <c r="O60" s="1339">
        <f t="shared" si="52"/>
        <v>0.42105263157894751</v>
      </c>
      <c r="P60" s="772">
        <f>+'NEW Spring CHP by DISC'!P60/15</f>
        <v>41.6</v>
      </c>
      <c r="Q60" s="1313">
        <f>+'NEW Spring CHP by DISC'!Q60/15</f>
        <v>0</v>
      </c>
      <c r="R60" s="1313">
        <f>+'NEW Spring CHP by DISC'!R60/12</f>
        <v>0</v>
      </c>
      <c r="S60" s="1313">
        <f t="shared" si="53"/>
        <v>41.6</v>
      </c>
      <c r="T60" s="1307">
        <f t="shared" si="54"/>
        <v>-3.703703703703707E-2</v>
      </c>
      <c r="U60" s="1313">
        <f>+'NEW Spring CHP by DISC'!U60/15</f>
        <v>34.4</v>
      </c>
      <c r="V60" s="1313">
        <f>+'NEW Spring CHP by DISC'!V60/15</f>
        <v>0</v>
      </c>
      <c r="W60" s="1313">
        <f>+'NEW Spring CHP by DISC'!W60/12</f>
        <v>0</v>
      </c>
      <c r="X60" s="1313">
        <f t="shared" si="55"/>
        <v>34.4</v>
      </c>
      <c r="Y60" s="1307">
        <f t="shared" si="56"/>
        <v>-0.17307692307692313</v>
      </c>
      <c r="Z60" s="1312">
        <f>+'NEW Spring CHP by DISC'!Z60/15</f>
        <v>28.4</v>
      </c>
      <c r="AA60" s="1312">
        <f>+'NEW Spring CHP by DISC'!AA60/15</f>
        <v>0</v>
      </c>
      <c r="AB60" s="1312">
        <f>+'NEW Spring CHP by DISC'!AB60/12</f>
        <v>0</v>
      </c>
      <c r="AC60" s="1312">
        <f t="shared" si="57"/>
        <v>28.4</v>
      </c>
      <c r="AD60" s="1320">
        <f t="shared" si="58"/>
        <v>-0.1744186046511628</v>
      </c>
      <c r="AE60" s="1312">
        <f>+'NEW Spring CHP by DISC'!AE60/15</f>
        <v>28.6</v>
      </c>
      <c r="AF60" s="1312">
        <f>+'NEW Spring CHP by DISC'!AF60/15</f>
        <v>0</v>
      </c>
      <c r="AG60" s="1312">
        <f>+'NEW Spring CHP by DISC'!AG60/12</f>
        <v>0</v>
      </c>
      <c r="AH60" s="1312">
        <f t="shared" si="59"/>
        <v>28.6</v>
      </c>
      <c r="AI60" s="1320">
        <f t="shared" si="60"/>
        <v>7.0422535211268613E-3</v>
      </c>
      <c r="AJ60" s="1312">
        <f>+'NEW Spring CHP by DISC'!AJ60/15</f>
        <v>19</v>
      </c>
      <c r="AK60" s="1312">
        <f>+'NEW Spring CHP by DISC'!AK60/15</f>
        <v>0</v>
      </c>
      <c r="AL60" s="1312">
        <f>+'NEW Spring CHP by DISC'!AL60/12</f>
        <v>0</v>
      </c>
      <c r="AM60" s="1312">
        <f t="shared" si="61"/>
        <v>19</v>
      </c>
      <c r="AN60" s="1320">
        <f t="shared" si="62"/>
        <v>-0.33566433566433568</v>
      </c>
      <c r="AO60" s="1312">
        <f>+'NEW Spring CHP by DISC'!AO60/15</f>
        <v>25</v>
      </c>
      <c r="AP60" s="1312">
        <f>+'NEW Spring CHP by DISC'!AP60/15</f>
        <v>3.4</v>
      </c>
      <c r="AQ60" s="1312">
        <f>+'NEW Spring CHP by DISC'!AQ60/12</f>
        <v>0</v>
      </c>
      <c r="AR60" s="1312">
        <f t="shared" si="63"/>
        <v>28.4</v>
      </c>
      <c r="AS60" s="1320">
        <f t="shared" si="64"/>
        <v>0.49473684210526309</v>
      </c>
    </row>
    <row r="61" spans="1:2427" x14ac:dyDescent="0.25">
      <c r="A61" s="1319" t="s">
        <v>1040</v>
      </c>
      <c r="B61" s="1313">
        <f>+'NEW Spring CHP by DISC'!B61/15</f>
        <v>22.666666666666668</v>
      </c>
      <c r="C61" s="1313">
        <f>+'NEW Spring CHP by DISC'!C61/15</f>
        <v>5.4666666666666668</v>
      </c>
      <c r="D61" s="1313">
        <f>+'NEW Spring CHP by DISC'!D61/12</f>
        <v>0</v>
      </c>
      <c r="E61" s="1311">
        <f t="shared" si="48"/>
        <v>28.133333333333333</v>
      </c>
      <c r="F61" s="1313">
        <f>+'NEW Spring CHP by DISC'!F61/15</f>
        <v>29.733333333333334</v>
      </c>
      <c r="G61" s="1313">
        <f>+'NEW Spring CHP by DISC'!G61/15</f>
        <v>8.9333333333333336</v>
      </c>
      <c r="H61" s="1313">
        <f>+'NEW Spring CHP by DISC'!H61/12</f>
        <v>0</v>
      </c>
      <c r="I61" s="1313">
        <f t="shared" si="49"/>
        <v>38.666666666666671</v>
      </c>
      <c r="J61" s="1307">
        <f t="shared" si="50"/>
        <v>0.37440758293838883</v>
      </c>
      <c r="K61" s="772">
        <f>+'NEW Spring CHP by DISC'!K61/15</f>
        <v>27.733333333333334</v>
      </c>
      <c r="L61" s="1313">
        <f>+'NEW Spring CHP by DISC'!L61/15</f>
        <v>10.466666666666667</v>
      </c>
      <c r="M61" s="1313">
        <f>+'NEW Spring CHP by DISC'!M61/12</f>
        <v>0</v>
      </c>
      <c r="N61" s="1313">
        <f t="shared" si="51"/>
        <v>38.200000000000003</v>
      </c>
      <c r="O61" s="1339">
        <f t="shared" si="52"/>
        <v>-1.2068965517241426E-2</v>
      </c>
      <c r="P61" s="772">
        <f>+'NEW Spring CHP by DISC'!P61/15</f>
        <v>34.6</v>
      </c>
      <c r="Q61" s="1313">
        <f>+'NEW Spring CHP by DISC'!Q61/15</f>
        <v>10.466666666666667</v>
      </c>
      <c r="R61" s="1313">
        <f>+'NEW Spring CHP by DISC'!R61/12</f>
        <v>0</v>
      </c>
      <c r="S61" s="1313">
        <f t="shared" si="53"/>
        <v>45.06666666666667</v>
      </c>
      <c r="T61" s="1307">
        <f t="shared" si="54"/>
        <v>0.17975567190226877</v>
      </c>
      <c r="U61" s="1313">
        <f>+'NEW Spring CHP by DISC'!U61/15</f>
        <v>36.4</v>
      </c>
      <c r="V61" s="1313">
        <f>+'NEW Spring CHP by DISC'!V61/15</f>
        <v>10.533333333333333</v>
      </c>
      <c r="W61" s="1313">
        <f>+'NEW Spring CHP by DISC'!W61/12</f>
        <v>0</v>
      </c>
      <c r="X61" s="1313">
        <f t="shared" si="55"/>
        <v>46.93333333333333</v>
      </c>
      <c r="Y61" s="1307">
        <f t="shared" si="56"/>
        <v>4.1420118343195117E-2</v>
      </c>
      <c r="Z61" s="1312">
        <f>+'NEW Spring CHP by DISC'!Z61/15</f>
        <v>29.2</v>
      </c>
      <c r="AA61" s="1312">
        <f>+'NEW Spring CHP by DISC'!AA61/15</f>
        <v>8.6666666666666661</v>
      </c>
      <c r="AB61" s="1312">
        <f>+'NEW Spring CHP by DISC'!AB61/12</f>
        <v>0</v>
      </c>
      <c r="AC61" s="1312">
        <f t="shared" si="57"/>
        <v>37.866666666666667</v>
      </c>
      <c r="AD61" s="1320">
        <f t="shared" si="58"/>
        <v>-0.19318181818181812</v>
      </c>
      <c r="AE61" s="1312">
        <f>+'NEW Spring CHP by DISC'!AE61/15</f>
        <v>13.4</v>
      </c>
      <c r="AF61" s="1312">
        <f>+'NEW Spring CHP by DISC'!AF61/15</f>
        <v>11.2</v>
      </c>
      <c r="AG61" s="1312">
        <f>+'NEW Spring CHP by DISC'!AG61/12</f>
        <v>0</v>
      </c>
      <c r="AH61" s="1312">
        <f t="shared" si="59"/>
        <v>24.6</v>
      </c>
      <c r="AI61" s="1320">
        <f t="shared" si="60"/>
        <v>-0.35035211267605632</v>
      </c>
      <c r="AJ61" s="1312">
        <f>+'NEW Spring CHP by DISC'!AJ61/15</f>
        <v>14.8</v>
      </c>
      <c r="AK61" s="1312">
        <f>+'NEW Spring CHP by DISC'!AK61/15</f>
        <v>6</v>
      </c>
      <c r="AL61" s="1312">
        <f>+'NEW Spring CHP by DISC'!AL61/12</f>
        <v>0</v>
      </c>
      <c r="AM61" s="1312">
        <f t="shared" si="61"/>
        <v>20.8</v>
      </c>
      <c r="AN61" s="1320">
        <f t="shared" si="62"/>
        <v>-0.15447154471544716</v>
      </c>
      <c r="AO61" s="1312">
        <f>+'NEW Spring CHP by DISC'!AO61/15</f>
        <v>0</v>
      </c>
      <c r="AP61" s="1312">
        <f>+'NEW Spring CHP by DISC'!AP61/15</f>
        <v>16.2</v>
      </c>
      <c r="AQ61" s="1312">
        <f>+'NEW Spring CHP by DISC'!AQ61/12</f>
        <v>0</v>
      </c>
      <c r="AR61" s="1312">
        <f t="shared" si="63"/>
        <v>16.2</v>
      </c>
      <c r="AS61" s="1320">
        <f t="shared" si="64"/>
        <v>-0.2211538461538462</v>
      </c>
    </row>
    <row r="62" spans="1:2427" s="484" customFormat="1" ht="13.8" x14ac:dyDescent="0.25">
      <c r="A62" s="1322" t="s">
        <v>1015</v>
      </c>
      <c r="B62" s="1340">
        <f t="shared" ref="B62:I62" si="65">SUM(B56:B61)</f>
        <v>67.866666666666674</v>
      </c>
      <c r="C62" s="1340">
        <f t="shared" si="65"/>
        <v>43.533333333333339</v>
      </c>
      <c r="D62" s="1340">
        <f t="shared" si="65"/>
        <v>0</v>
      </c>
      <c r="E62" s="495">
        <f t="shared" si="65"/>
        <v>111.4</v>
      </c>
      <c r="F62" s="1340">
        <f t="shared" si="65"/>
        <v>77.666666666666657</v>
      </c>
      <c r="G62" s="1340">
        <f t="shared" si="65"/>
        <v>48.266666666666666</v>
      </c>
      <c r="H62" s="1340">
        <f t="shared" si="65"/>
        <v>0</v>
      </c>
      <c r="I62" s="494">
        <f t="shared" si="65"/>
        <v>125.93333333333334</v>
      </c>
      <c r="J62" s="1323">
        <f t="shared" si="50"/>
        <v>0.13046080191502094</v>
      </c>
      <c r="K62" s="1042">
        <f>SUM(K56:K61)</f>
        <v>100.73333333333333</v>
      </c>
      <c r="L62" s="1340">
        <f>SUM(L56:L61)</f>
        <v>56.6</v>
      </c>
      <c r="M62" s="1340">
        <f>SUM(M56:M61)</f>
        <v>0</v>
      </c>
      <c r="N62" s="494">
        <f>SUM(N56:N61)</f>
        <v>157.33333333333334</v>
      </c>
      <c r="O62" s="1342">
        <f t="shared" si="52"/>
        <v>0.2493382742191636</v>
      </c>
      <c r="P62" s="1042">
        <f>SUM(P56:P61)</f>
        <v>116.6</v>
      </c>
      <c r="Q62" s="1340">
        <f>SUM(Q56:Q61)</f>
        <v>54.933333333333337</v>
      </c>
      <c r="R62" s="1340">
        <f>SUM(R56:R61)</f>
        <v>0</v>
      </c>
      <c r="S62" s="494">
        <f>SUM(S56:S61)</f>
        <v>171.53333333333333</v>
      </c>
      <c r="T62" s="1323">
        <f t="shared" si="54"/>
        <v>9.0254237288135516E-2</v>
      </c>
      <c r="U62" s="1340">
        <f>SUM(U56:U61)</f>
        <v>119.80000000000001</v>
      </c>
      <c r="V62" s="1340">
        <f>SUM(V56:V61)</f>
        <v>49.599999999999994</v>
      </c>
      <c r="W62" s="1340">
        <f>SUM(W56:W61)</f>
        <v>0</v>
      </c>
      <c r="X62" s="494">
        <f>SUM(X56:X61)</f>
        <v>169.4</v>
      </c>
      <c r="Y62" s="1323">
        <f t="shared" si="56"/>
        <v>-1.2436844150796692E-2</v>
      </c>
      <c r="Z62" s="1343">
        <f>SUM(Z56:Z61)</f>
        <v>101.8</v>
      </c>
      <c r="AA62" s="1343">
        <f>SUM(AA56:AA61)</f>
        <v>48.733333333333327</v>
      </c>
      <c r="AB62" s="1343">
        <f>SUM(AB56:AB61)</f>
        <v>0</v>
      </c>
      <c r="AC62" s="1189">
        <f>SUM(AC56:AC61)</f>
        <v>150.53333333333333</v>
      </c>
      <c r="AD62" s="1324">
        <f t="shared" si="58"/>
        <v>-0.11137347500983868</v>
      </c>
      <c r="AE62" s="1343">
        <f>SUM(AE56:AE61)</f>
        <v>79.400000000000006</v>
      </c>
      <c r="AF62" s="1343">
        <f>SUM(AF56:AF61)</f>
        <v>52</v>
      </c>
      <c r="AG62" s="1343">
        <f>SUM(AG56:AG61)</f>
        <v>0</v>
      </c>
      <c r="AH62" s="1189">
        <f>SUM(AH56:AH61)</f>
        <v>131.4</v>
      </c>
      <c r="AI62" s="1324">
        <f t="shared" si="60"/>
        <v>-0.12710363153232945</v>
      </c>
      <c r="AJ62" s="1343">
        <f>SUM(AJ56:AJ61)</f>
        <v>67.8</v>
      </c>
      <c r="AK62" s="1343">
        <f>SUM(AK56:AK61)</f>
        <v>44.933333333333337</v>
      </c>
      <c r="AL62" s="1343">
        <f>SUM(AL56:AL61)</f>
        <v>0</v>
      </c>
      <c r="AM62" s="1189">
        <f>SUM(AM56:AM61)</f>
        <v>112.73333333333333</v>
      </c>
      <c r="AN62" s="1324">
        <f t="shared" si="62"/>
        <v>-0.14205986808726537</v>
      </c>
      <c r="AO62" s="1343">
        <f>SUM(AO56:AO61)</f>
        <v>38.6</v>
      </c>
      <c r="AP62" s="1343">
        <f>SUM(AP56:AP61)</f>
        <v>69.266666666666666</v>
      </c>
      <c r="AQ62" s="1343">
        <f>SUM(AQ56:AQ61)</f>
        <v>0</v>
      </c>
      <c r="AR62" s="1189">
        <f>SUM(AR56:AR61)</f>
        <v>107.86666666666666</v>
      </c>
      <c r="AS62" s="1324">
        <f t="shared" si="64"/>
        <v>-4.3169722057953941E-2</v>
      </c>
    </row>
    <row r="63" spans="1:2427" x14ac:dyDescent="0.25">
      <c r="A63" s="1325" t="s">
        <v>422</v>
      </c>
      <c r="B63" s="1308"/>
      <c r="C63" s="1309"/>
      <c r="D63" s="1309"/>
      <c r="E63" s="1306"/>
      <c r="F63" s="1308"/>
      <c r="G63" s="1309"/>
      <c r="H63" s="1309"/>
      <c r="I63" s="1309"/>
      <c r="J63" s="1306"/>
      <c r="K63" s="1039"/>
      <c r="L63" s="1309"/>
      <c r="M63" s="1309"/>
      <c r="N63" s="1309"/>
      <c r="O63" s="1310"/>
      <c r="P63" s="1039"/>
      <c r="Q63" s="1309"/>
      <c r="R63" s="1309"/>
      <c r="S63" s="1309"/>
      <c r="T63" s="1306"/>
      <c r="U63" s="1308"/>
      <c r="V63" s="1309"/>
      <c r="W63" s="1309"/>
      <c r="X63" s="1309"/>
      <c r="Y63" s="1306"/>
      <c r="Z63" s="508"/>
      <c r="AA63" s="487"/>
      <c r="AB63" s="487"/>
      <c r="AC63" s="487"/>
      <c r="AD63" s="438"/>
      <c r="AE63" s="508"/>
      <c r="AF63" s="487"/>
      <c r="AG63" s="487"/>
      <c r="AH63" s="487"/>
      <c r="AI63" s="438"/>
      <c r="AJ63" s="508"/>
      <c r="AK63" s="487"/>
      <c r="AL63" s="487"/>
      <c r="AM63" s="487"/>
      <c r="AN63" s="438"/>
      <c r="AO63" s="508"/>
      <c r="AP63" s="487"/>
      <c r="AQ63" s="487"/>
      <c r="AR63" s="487"/>
      <c r="AS63" s="438"/>
    </row>
    <row r="64" spans="1:2427" x14ac:dyDescent="0.25">
      <c r="A64" s="1319" t="s">
        <v>1037</v>
      </c>
      <c r="B64" s="1313">
        <f>+'NEW Spring CHP by DISC'!B64/15</f>
        <v>2.4</v>
      </c>
      <c r="C64" s="1313">
        <f>+'NEW Spring CHP by DISC'!C64/15</f>
        <v>1.2666666666666666</v>
      </c>
      <c r="D64" s="1313">
        <f>+'NEW Spring CHP by DISC'!D64/12</f>
        <v>0</v>
      </c>
      <c r="E64" s="1311">
        <f>SUM(B64:D64)</f>
        <v>3.6666666666666665</v>
      </c>
      <c r="F64" s="1313">
        <f>+'NEW Spring CHP by DISC'!F64/15</f>
        <v>3.1333333333333333</v>
      </c>
      <c r="G64" s="1313">
        <f>+'NEW Spring CHP by DISC'!G64/15</f>
        <v>1.4666666666666666</v>
      </c>
      <c r="H64" s="1313">
        <f>+'NEW Spring CHP by DISC'!H64/12</f>
        <v>0</v>
      </c>
      <c r="I64" s="1313">
        <f>SUM(F64:H64)</f>
        <v>4.5999999999999996</v>
      </c>
      <c r="J64" s="1307">
        <f t="shared" ref="J64:J69" si="66">IF(E64&gt;0,(I64-E64)/E64,(IF(I64=0,"N/A",100%)))</f>
        <v>0.25454545454545452</v>
      </c>
      <c r="K64" s="772">
        <f>+'NEW Spring CHP by DISC'!K64/15</f>
        <v>2.2666666666666666</v>
      </c>
      <c r="L64" s="1313">
        <f>+'NEW Spring CHP by DISC'!L64/15</f>
        <v>1.3333333333333333</v>
      </c>
      <c r="M64" s="1313">
        <f>+'NEW Spring CHP by DISC'!M64/12</f>
        <v>0</v>
      </c>
      <c r="N64" s="1313">
        <f>SUM(K64:M64)</f>
        <v>3.5999999999999996</v>
      </c>
      <c r="O64" s="1339">
        <f t="shared" ref="O64:O69" si="67">IF(I64&gt;0,(N64-I64)/I64,(IF(N64=0,"N/A",100%)))</f>
        <v>-0.21739130434782611</v>
      </c>
      <c r="P64" s="772">
        <f>+'NEW Spring CHP by DISC'!P64/15</f>
        <v>2.6</v>
      </c>
      <c r="Q64" s="1313">
        <f>+'NEW Spring CHP by DISC'!Q64/15</f>
        <v>1.2</v>
      </c>
      <c r="R64" s="1313">
        <f>+'NEW Spring CHP by DISC'!R64/12</f>
        <v>0</v>
      </c>
      <c r="S64" s="1313">
        <f>SUM(P64:R64)</f>
        <v>3.8</v>
      </c>
      <c r="T64" s="1307">
        <f t="shared" ref="T64:T69" si="68">IF(N64&gt;0,(S64-N64)/N64,(IF(S64=0,"N/A",100%)))</f>
        <v>5.5555555555555608E-2</v>
      </c>
      <c r="U64" s="1313">
        <f>+'NEW Spring CHP by DISC'!U64/15</f>
        <v>2.3333333333333335</v>
      </c>
      <c r="V64" s="1313">
        <f>+'NEW Spring CHP by DISC'!V64/15</f>
        <v>1.2666666666666666</v>
      </c>
      <c r="W64" s="1313">
        <f>+'NEW Spring CHP by DISC'!W64/12</f>
        <v>0</v>
      </c>
      <c r="X64" s="1313">
        <f>SUM(U64:W64)</f>
        <v>3.6</v>
      </c>
      <c r="Y64" s="1307">
        <f t="shared" ref="Y64:Y69" si="69">IF(S64&gt;0,(X64-S64)/S64,(IF(X64=0,"N/A",100%)))</f>
        <v>-5.2631578947368356E-2</v>
      </c>
      <c r="Z64" s="1312">
        <f>+'NEW Spring CHP by DISC'!Z64/15</f>
        <v>0</v>
      </c>
      <c r="AA64" s="1312">
        <f>+'NEW Spring CHP by DISC'!AA64/15</f>
        <v>0</v>
      </c>
      <c r="AB64" s="1312">
        <f>+'NEW Spring CHP by DISC'!AB64/12</f>
        <v>0</v>
      </c>
      <c r="AC64" s="1312">
        <f>SUM(Z64:AB64)</f>
        <v>0</v>
      </c>
      <c r="AD64" s="1320">
        <f t="shared" ref="AD64:AD69" si="70">IF(X64&gt;0,(AC64-X64)/X64,(IF(AC64=0,"N/A",100%)))</f>
        <v>-1</v>
      </c>
      <c r="AE64" s="1312">
        <f>+'NEW Spring CHP by DISC'!AE64/15</f>
        <v>0</v>
      </c>
      <c r="AF64" s="1312">
        <f>+'NEW Spring CHP by DISC'!AF64/15</f>
        <v>0</v>
      </c>
      <c r="AG64" s="1312">
        <f>+'NEW Spring CHP by DISC'!AG64/12</f>
        <v>0</v>
      </c>
      <c r="AH64" s="1312">
        <f>SUM(AE64:AG64)</f>
        <v>0</v>
      </c>
      <c r="AI64" s="1320" t="str">
        <f t="shared" ref="AI64:AI69" si="71">IF(AC64&gt;0,(AH64-AC64)/AC64,(IF(AH64=0,"N/A",100%)))</f>
        <v>N/A</v>
      </c>
      <c r="AJ64" s="1312">
        <f>+'NEW Spring CHP by DISC'!AJ64/15</f>
        <v>0</v>
      </c>
      <c r="AK64" s="1312">
        <f>+'NEW Spring CHP by DISC'!AK64/15</f>
        <v>0</v>
      </c>
      <c r="AL64" s="1312">
        <f>+'NEW Spring CHP by DISC'!AL64/12</f>
        <v>0</v>
      </c>
      <c r="AM64" s="1312">
        <f>SUM(AJ64:AL64)</f>
        <v>0</v>
      </c>
      <c r="AN64" s="1320" t="str">
        <f t="shared" ref="AN64:AN69" si="72">IF(AH64&gt;0,(AM64-AH64)/AH64,(IF(AM64=0,"N/A",100%)))</f>
        <v>N/A</v>
      </c>
      <c r="AO64" s="1312">
        <f>+'NEW Spring CHP by DISC'!AO64/15</f>
        <v>0</v>
      </c>
      <c r="AP64" s="1312">
        <f>+'NEW Spring CHP by DISC'!AP64/15</f>
        <v>0</v>
      </c>
      <c r="AQ64" s="1312">
        <f>+'NEW Spring CHP by DISC'!AQ64/12</f>
        <v>0</v>
      </c>
      <c r="AR64" s="1312">
        <f>SUM(AO64:AQ64)</f>
        <v>0</v>
      </c>
      <c r="AS64" s="1320" t="str">
        <f t="shared" ref="AS64:AS69" si="73">IF(AM64&gt;0,(AR64-AM64)/AM64,(IF(AR64=0,"N/A",100%)))</f>
        <v>N/A</v>
      </c>
    </row>
    <row r="65" spans="1:45" x14ac:dyDescent="0.25">
      <c r="A65" s="1319" t="s">
        <v>1038</v>
      </c>
      <c r="B65" s="1313">
        <f>+'NEW Spring CHP by DISC'!B65/15</f>
        <v>46.93333333333333</v>
      </c>
      <c r="C65" s="1313">
        <f>+'NEW Spring CHP by DISC'!C65/15</f>
        <v>9.6666666666666661</v>
      </c>
      <c r="D65" s="1313">
        <f>+'NEW Spring CHP by DISC'!D65/12</f>
        <v>0</v>
      </c>
      <c r="E65" s="1311">
        <f>SUM(B65:D65)</f>
        <v>56.599999999999994</v>
      </c>
      <c r="F65" s="1313">
        <f>+'NEW Spring CHP by DISC'!F65/15</f>
        <v>47.266666666666666</v>
      </c>
      <c r="G65" s="1313">
        <f>+'NEW Spring CHP by DISC'!G65/15</f>
        <v>10.8</v>
      </c>
      <c r="H65" s="1313">
        <f>+'NEW Spring CHP by DISC'!H65/12</f>
        <v>0</v>
      </c>
      <c r="I65" s="1313">
        <f>SUM(F65:H65)</f>
        <v>58.066666666666663</v>
      </c>
      <c r="J65" s="1307">
        <f t="shared" si="66"/>
        <v>2.5912838633686725E-2</v>
      </c>
      <c r="K65" s="772">
        <f>+'NEW Spring CHP by DISC'!K65/15</f>
        <v>58</v>
      </c>
      <c r="L65" s="1313">
        <f>+'NEW Spring CHP by DISC'!L65/15</f>
        <v>10.333333333333334</v>
      </c>
      <c r="M65" s="1313">
        <f>+'NEW Spring CHP by DISC'!M65/12</f>
        <v>0</v>
      </c>
      <c r="N65" s="1313">
        <f>SUM(K65:M65)</f>
        <v>68.333333333333329</v>
      </c>
      <c r="O65" s="1339">
        <f t="shared" si="67"/>
        <v>0.17680826636050517</v>
      </c>
      <c r="P65" s="772">
        <f>+'NEW Spring CHP by DISC'!P65/15</f>
        <v>51.866666666666667</v>
      </c>
      <c r="Q65" s="1313">
        <f>+'NEW Spring CHP by DISC'!Q65/15</f>
        <v>5.4</v>
      </c>
      <c r="R65" s="1313">
        <f>+'NEW Spring CHP by DISC'!R65/12</f>
        <v>0</v>
      </c>
      <c r="S65" s="1313">
        <f>SUM(P65:R65)</f>
        <v>57.266666666666666</v>
      </c>
      <c r="T65" s="1307">
        <f t="shared" si="68"/>
        <v>-0.16195121951219507</v>
      </c>
      <c r="U65" s="1313">
        <f>+'NEW Spring CHP by DISC'!U65/15</f>
        <v>39.533333333333331</v>
      </c>
      <c r="V65" s="1313">
        <f>+'NEW Spring CHP by DISC'!V65/15</f>
        <v>8.2666666666666675</v>
      </c>
      <c r="W65" s="1313">
        <f>+'NEW Spring CHP by DISC'!W65/12</f>
        <v>0</v>
      </c>
      <c r="X65" s="1313">
        <f>SUM(U65:W65)</f>
        <v>47.8</v>
      </c>
      <c r="Y65" s="1307">
        <f t="shared" si="69"/>
        <v>-0.16530849825378349</v>
      </c>
      <c r="Z65" s="1312">
        <f>+'NEW Spring CHP by DISC'!Z65/15</f>
        <v>36.733333333333334</v>
      </c>
      <c r="AA65" s="1312">
        <f>+'NEW Spring CHP by DISC'!AA65/15</f>
        <v>7.4666666666666668</v>
      </c>
      <c r="AB65" s="1312">
        <f>+'NEW Spring CHP by DISC'!AB65/12</f>
        <v>0</v>
      </c>
      <c r="AC65" s="1312">
        <f>SUM(Z65:AB65)</f>
        <v>44.2</v>
      </c>
      <c r="AD65" s="1320">
        <f t="shared" si="70"/>
        <v>-7.5313807531380644E-2</v>
      </c>
      <c r="AE65" s="1312">
        <f>+'NEW Spring CHP by DISC'!AE65/15</f>
        <v>34.93333333333333</v>
      </c>
      <c r="AF65" s="1312">
        <f>+'NEW Spring CHP by DISC'!AF65/15</f>
        <v>9.1999999999999993</v>
      </c>
      <c r="AG65" s="1312">
        <f>+'NEW Spring CHP by DISC'!AG65/12</f>
        <v>0</v>
      </c>
      <c r="AH65" s="1312">
        <f>SUM(AE65:AG65)</f>
        <v>44.133333333333326</v>
      </c>
      <c r="AI65" s="1320">
        <f t="shared" si="71"/>
        <v>-1.5082956259429205E-3</v>
      </c>
      <c r="AJ65" s="1312">
        <f>+'NEW Spring CHP by DISC'!AJ65/15</f>
        <v>34.93333333333333</v>
      </c>
      <c r="AK65" s="1312">
        <f>+'NEW Spring CHP by DISC'!AK65/15</f>
        <v>8.6666666666666661</v>
      </c>
      <c r="AL65" s="1312">
        <f>+'NEW Spring CHP by DISC'!AL65/12</f>
        <v>0</v>
      </c>
      <c r="AM65" s="1312">
        <f>SUM(AJ65:AL65)</f>
        <v>43.599999999999994</v>
      </c>
      <c r="AN65" s="1320">
        <f t="shared" si="72"/>
        <v>-1.2084592145015064E-2</v>
      </c>
      <c r="AO65" s="1312">
        <f>+'NEW Spring CHP by DISC'!AO65/15</f>
        <v>35.133333333333333</v>
      </c>
      <c r="AP65" s="1312">
        <f>+'NEW Spring CHP by DISC'!AP65/15</f>
        <v>14.666666666666666</v>
      </c>
      <c r="AQ65" s="1312">
        <f>+'NEW Spring CHP by DISC'!AQ65/12</f>
        <v>0</v>
      </c>
      <c r="AR65" s="1312">
        <f>SUM(AO65:AQ65)</f>
        <v>49.8</v>
      </c>
      <c r="AS65" s="1320">
        <f t="shared" si="73"/>
        <v>0.14220183486238541</v>
      </c>
    </row>
    <row r="66" spans="1:45" x14ac:dyDescent="0.25">
      <c r="A66" s="1319" t="s">
        <v>1552</v>
      </c>
      <c r="B66" s="1313">
        <f>+'NEW Spring CHP by DISC'!B66/15</f>
        <v>0</v>
      </c>
      <c r="C66" s="1313">
        <f>+'NEW Spring CHP by DISC'!C66/15</f>
        <v>0</v>
      </c>
      <c r="D66" s="1313">
        <f>+'NEW Spring CHP by DISC'!D66/12</f>
        <v>0</v>
      </c>
      <c r="E66" s="1311">
        <f>SUM(B66:D66)</f>
        <v>0</v>
      </c>
      <c r="F66" s="1313">
        <f>+'NEW Spring CHP by DISC'!F66/15</f>
        <v>0</v>
      </c>
      <c r="G66" s="1313">
        <f>+'NEW Spring CHP by DISC'!G66/15</f>
        <v>0</v>
      </c>
      <c r="H66" s="1313">
        <f>+'NEW Spring CHP by DISC'!H66/12</f>
        <v>0</v>
      </c>
      <c r="I66" s="1313">
        <f>SUM(F66:H66)</f>
        <v>0</v>
      </c>
      <c r="J66" s="1307" t="str">
        <f t="shared" si="66"/>
        <v>N/A</v>
      </c>
      <c r="K66" s="772">
        <f>+'NEW Spring CHP by DISC'!K66/15</f>
        <v>0</v>
      </c>
      <c r="L66" s="1313">
        <f>+'NEW Spring CHP by DISC'!L66/15</f>
        <v>0</v>
      </c>
      <c r="M66" s="1313">
        <f>+'NEW Spring CHP by DISC'!M66/12</f>
        <v>0</v>
      </c>
      <c r="N66" s="1313">
        <f>SUM(K66:M66)</f>
        <v>0</v>
      </c>
      <c r="O66" s="1339" t="str">
        <f t="shared" si="67"/>
        <v>N/A</v>
      </c>
      <c r="P66" s="772">
        <f>+'NEW Spring CHP by DISC'!P66/15</f>
        <v>0</v>
      </c>
      <c r="Q66" s="1313">
        <f>+'NEW Spring CHP by DISC'!Q66/15</f>
        <v>0</v>
      </c>
      <c r="R66" s="1313">
        <f>+'NEW Spring CHP by DISC'!R66/12</f>
        <v>0</v>
      </c>
      <c r="S66" s="1313">
        <f>SUM(P66:R66)</f>
        <v>0</v>
      </c>
      <c r="T66" s="1307" t="str">
        <f t="shared" si="68"/>
        <v>N/A</v>
      </c>
      <c r="U66" s="1313">
        <f>+'NEW Spring CHP by DISC'!U66/15</f>
        <v>0</v>
      </c>
      <c r="V66" s="1313">
        <f>+'NEW Spring CHP by DISC'!V66/15</f>
        <v>0</v>
      </c>
      <c r="W66" s="1313">
        <f>+'NEW Spring CHP by DISC'!W66/12</f>
        <v>0</v>
      </c>
      <c r="X66" s="1313">
        <f>SUM(U66:W66)</f>
        <v>0</v>
      </c>
      <c r="Y66" s="1307" t="str">
        <f t="shared" si="69"/>
        <v>N/A</v>
      </c>
      <c r="Z66" s="1312">
        <f>+'NEW Spring CHP by DISC'!Z66/15</f>
        <v>0.46666666666666667</v>
      </c>
      <c r="AA66" s="1312">
        <f>+'NEW Spring CHP by DISC'!AA66/15</f>
        <v>0.46666666666666667</v>
      </c>
      <c r="AB66" s="1312">
        <f>+'NEW Spring CHP by DISC'!AB66/12</f>
        <v>0</v>
      </c>
      <c r="AC66" s="1312">
        <f>SUM(Z66:AB66)</f>
        <v>0.93333333333333335</v>
      </c>
      <c r="AD66" s="1320">
        <f t="shared" si="70"/>
        <v>1</v>
      </c>
      <c r="AE66" s="1312">
        <f>+'NEW Spring CHP by DISC'!AE66/15</f>
        <v>0.33333333333333331</v>
      </c>
      <c r="AF66" s="1312">
        <f>+'NEW Spring CHP by DISC'!AF66/15</f>
        <v>0.6</v>
      </c>
      <c r="AG66" s="1312">
        <f>+'NEW Spring CHP by DISC'!AG66/12</f>
        <v>0</v>
      </c>
      <c r="AH66" s="1312">
        <f>SUM(AE66:AG66)</f>
        <v>0.93333333333333335</v>
      </c>
      <c r="AI66" s="1320">
        <f t="shared" si="71"/>
        <v>0</v>
      </c>
      <c r="AJ66" s="1312">
        <f>+'NEW Spring CHP by DISC'!AJ66/15</f>
        <v>0.6</v>
      </c>
      <c r="AK66" s="1312">
        <f>+'NEW Spring CHP by DISC'!AK66/15</f>
        <v>0.46666666666666667</v>
      </c>
      <c r="AL66" s="1312">
        <f>+'NEW Spring CHP by DISC'!AL66/12</f>
        <v>0</v>
      </c>
      <c r="AM66" s="1312">
        <f>SUM(AJ66:AL66)</f>
        <v>1.0666666666666667</v>
      </c>
      <c r="AN66" s="1320">
        <f t="shared" si="72"/>
        <v>0.14285714285714282</v>
      </c>
      <c r="AO66" s="1312">
        <f>+'NEW Spring CHP by DISC'!AO66/15</f>
        <v>0.2</v>
      </c>
      <c r="AP66" s="1312">
        <f>+'NEW Spring CHP by DISC'!AP66/15</f>
        <v>0.8</v>
      </c>
      <c r="AQ66" s="1312">
        <f>+'NEW Spring CHP by DISC'!AQ66/12</f>
        <v>0</v>
      </c>
      <c r="AR66" s="1312">
        <f>SUM(AO66:AQ66)</f>
        <v>1</v>
      </c>
      <c r="AS66" s="1320">
        <f t="shared" si="73"/>
        <v>-6.2499999999999986E-2</v>
      </c>
    </row>
    <row r="67" spans="1:45" x14ac:dyDescent="0.25">
      <c r="A67" s="1319" t="s">
        <v>1553</v>
      </c>
      <c r="B67" s="1313">
        <f>+'NEW Spring CHP by DISC'!B67/15</f>
        <v>0</v>
      </c>
      <c r="C67" s="1313">
        <f>+'NEW Spring CHP by DISC'!C67/15</f>
        <v>0</v>
      </c>
      <c r="D67" s="1313">
        <f>+'NEW Spring CHP by DISC'!D67/12</f>
        <v>0</v>
      </c>
      <c r="E67" s="1311">
        <f>SUM(B67:D67)</f>
        <v>0</v>
      </c>
      <c r="F67" s="1313">
        <f>+'NEW Spring CHP by DISC'!F67/15</f>
        <v>0</v>
      </c>
      <c r="G67" s="1313">
        <f>+'NEW Spring CHP by DISC'!G67/15</f>
        <v>0</v>
      </c>
      <c r="H67" s="1313">
        <f>+'NEW Spring CHP by DISC'!H67/12</f>
        <v>0</v>
      </c>
      <c r="I67" s="1313">
        <f>SUM(F67:H67)</f>
        <v>0</v>
      </c>
      <c r="J67" s="1307" t="str">
        <f t="shared" si="66"/>
        <v>N/A</v>
      </c>
      <c r="K67" s="772">
        <f>+'NEW Spring CHP by DISC'!K67/15</f>
        <v>0</v>
      </c>
      <c r="L67" s="1313">
        <f>+'NEW Spring CHP by DISC'!L67/15</f>
        <v>0</v>
      </c>
      <c r="M67" s="1313">
        <f>+'NEW Spring CHP by DISC'!M67/12</f>
        <v>0</v>
      </c>
      <c r="N67" s="1313">
        <f>SUM(K67:M67)</f>
        <v>0</v>
      </c>
      <c r="O67" s="1339" t="str">
        <f t="shared" si="67"/>
        <v>N/A</v>
      </c>
      <c r="P67" s="772">
        <f>+'NEW Spring CHP by DISC'!P67/15</f>
        <v>0</v>
      </c>
      <c r="Q67" s="1313">
        <f>+'NEW Spring CHP by DISC'!Q67/15</f>
        <v>0</v>
      </c>
      <c r="R67" s="1313">
        <f>+'NEW Spring CHP by DISC'!R67/12</f>
        <v>0</v>
      </c>
      <c r="S67" s="1313">
        <f>SUM(P67:R67)</f>
        <v>0</v>
      </c>
      <c r="T67" s="1307" t="str">
        <f t="shared" si="68"/>
        <v>N/A</v>
      </c>
      <c r="U67" s="1313">
        <f>+'NEW Spring CHP by DISC'!U67/15</f>
        <v>0</v>
      </c>
      <c r="V67" s="1313">
        <f>+'NEW Spring CHP by DISC'!V67/15</f>
        <v>0</v>
      </c>
      <c r="W67" s="1313">
        <f>+'NEW Spring CHP by DISC'!W67/12</f>
        <v>0</v>
      </c>
      <c r="X67" s="1313">
        <f>SUM(U67:W67)</f>
        <v>0</v>
      </c>
      <c r="Y67" s="1307" t="str">
        <f t="shared" si="69"/>
        <v>N/A</v>
      </c>
      <c r="Z67" s="1312">
        <f>+'NEW Spring CHP by DISC'!Z67/15</f>
        <v>1.6666666666666667</v>
      </c>
      <c r="AA67" s="1312">
        <f>+'NEW Spring CHP by DISC'!AA67/15</f>
        <v>0.6</v>
      </c>
      <c r="AB67" s="1312">
        <f>+'NEW Spring CHP by DISC'!AB67/12</f>
        <v>0</v>
      </c>
      <c r="AC67" s="1312">
        <f>SUM(Z67:AB67)</f>
        <v>2.2666666666666666</v>
      </c>
      <c r="AD67" s="1320">
        <f t="shared" si="70"/>
        <v>1</v>
      </c>
      <c r="AE67" s="1312">
        <f>+'NEW Spring CHP by DISC'!AE67/15</f>
        <v>1.3333333333333333</v>
      </c>
      <c r="AF67" s="1312">
        <f>+'NEW Spring CHP by DISC'!AF67/15</f>
        <v>0.6</v>
      </c>
      <c r="AG67" s="1312">
        <f>+'NEW Spring CHP by DISC'!AG67/12</f>
        <v>0</v>
      </c>
      <c r="AH67" s="1312">
        <f>SUM(AE67:AG67)</f>
        <v>1.9333333333333331</v>
      </c>
      <c r="AI67" s="1320">
        <f t="shared" si="71"/>
        <v>-0.14705882352941183</v>
      </c>
      <c r="AJ67" s="1312">
        <f>+'NEW Spring CHP by DISC'!AJ67/15</f>
        <v>1</v>
      </c>
      <c r="AK67" s="1312">
        <f>+'NEW Spring CHP by DISC'!AK67/15</f>
        <v>1.1333333333333333</v>
      </c>
      <c r="AL67" s="1312">
        <f>+'NEW Spring CHP by DISC'!AL67/12</f>
        <v>0</v>
      </c>
      <c r="AM67" s="1312">
        <f>SUM(AJ67:AL67)</f>
        <v>2.1333333333333333</v>
      </c>
      <c r="AN67" s="1320">
        <f t="shared" si="72"/>
        <v>0.10344827586206908</v>
      </c>
      <c r="AO67" s="1312">
        <f>+'NEW Spring CHP by DISC'!AO67/15</f>
        <v>0.33333333333333331</v>
      </c>
      <c r="AP67" s="1312">
        <f>+'NEW Spring CHP by DISC'!AP67/15</f>
        <v>1.4666666666666666</v>
      </c>
      <c r="AQ67" s="1312">
        <f>+'NEW Spring CHP by DISC'!AQ67/12</f>
        <v>0</v>
      </c>
      <c r="AR67" s="1312">
        <f>SUM(AO67:AQ67)</f>
        <v>1.7999999999999998</v>
      </c>
      <c r="AS67" s="1320">
        <f t="shared" si="73"/>
        <v>-0.15625000000000008</v>
      </c>
    </row>
    <row r="68" spans="1:45" x14ac:dyDescent="0.25">
      <c r="A68" s="1319" t="s">
        <v>1554</v>
      </c>
      <c r="B68" s="1313">
        <f>+'NEW Spring CHP by DISC'!B68/15</f>
        <v>0</v>
      </c>
      <c r="C68" s="1313">
        <f>+'NEW Spring CHP by DISC'!C68/15</f>
        <v>0</v>
      </c>
      <c r="D68" s="1313">
        <f>+'NEW Spring CHP by DISC'!D68/12</f>
        <v>0</v>
      </c>
      <c r="E68" s="1311">
        <f>SUM(B68:D68)</f>
        <v>0</v>
      </c>
      <c r="F68" s="1313">
        <f>+'NEW Spring CHP by DISC'!F68/15</f>
        <v>0</v>
      </c>
      <c r="G68" s="1313">
        <f>+'NEW Spring CHP by DISC'!G68/15</f>
        <v>0</v>
      </c>
      <c r="H68" s="1313">
        <f>+'NEW Spring CHP by DISC'!H68/12</f>
        <v>0</v>
      </c>
      <c r="I68" s="1313">
        <f>SUM(F68:H68)</f>
        <v>0</v>
      </c>
      <c r="J68" s="1307" t="str">
        <f t="shared" si="66"/>
        <v>N/A</v>
      </c>
      <c r="K68" s="772">
        <f>+'NEW Spring CHP by DISC'!K68/15</f>
        <v>0</v>
      </c>
      <c r="L68" s="1313">
        <f>+'NEW Spring CHP by DISC'!L68/15</f>
        <v>0</v>
      </c>
      <c r="M68" s="1313">
        <f>+'NEW Spring CHP by DISC'!M68/12</f>
        <v>0</v>
      </c>
      <c r="N68" s="1313">
        <f>SUM(K68:M68)</f>
        <v>0</v>
      </c>
      <c r="O68" s="1339" t="str">
        <f t="shared" si="67"/>
        <v>N/A</v>
      </c>
      <c r="P68" s="772">
        <f>+'NEW Spring CHP by DISC'!P68/15</f>
        <v>0</v>
      </c>
      <c r="Q68" s="1313">
        <f>+'NEW Spring CHP by DISC'!Q68/15</f>
        <v>0</v>
      </c>
      <c r="R68" s="1313">
        <f>+'NEW Spring CHP by DISC'!R68/12</f>
        <v>0</v>
      </c>
      <c r="S68" s="1313">
        <f>SUM(P68:R68)</f>
        <v>0</v>
      </c>
      <c r="T68" s="1307" t="str">
        <f t="shared" si="68"/>
        <v>N/A</v>
      </c>
      <c r="U68" s="1313">
        <f>+'NEW Spring CHP by DISC'!U68/15</f>
        <v>0</v>
      </c>
      <c r="V68" s="1313">
        <f>+'NEW Spring CHP by DISC'!V68/15</f>
        <v>0</v>
      </c>
      <c r="W68" s="1313">
        <f>+'NEW Spring CHP by DISC'!W68/12</f>
        <v>0</v>
      </c>
      <c r="X68" s="1313">
        <f>SUM(U68:W68)</f>
        <v>0</v>
      </c>
      <c r="Y68" s="1307" t="str">
        <f t="shared" si="69"/>
        <v>N/A</v>
      </c>
      <c r="Z68" s="1312">
        <f>+'NEW Spring CHP by DISC'!Z68/15</f>
        <v>0.93333333333333335</v>
      </c>
      <c r="AA68" s="1312">
        <f>+'NEW Spring CHP by DISC'!AA68/15</f>
        <v>0.4</v>
      </c>
      <c r="AB68" s="1312">
        <f>+'NEW Spring CHP by DISC'!AB68/12</f>
        <v>0</v>
      </c>
      <c r="AC68" s="1312">
        <f>SUM(Z68:AB68)</f>
        <v>1.3333333333333335</v>
      </c>
      <c r="AD68" s="1320">
        <f t="shared" si="70"/>
        <v>1</v>
      </c>
      <c r="AE68" s="1312">
        <f>+'NEW Spring CHP by DISC'!AE68/15</f>
        <v>0.8</v>
      </c>
      <c r="AF68" s="1312">
        <f>+'NEW Spring CHP by DISC'!AF68/15</f>
        <v>0.33333333333333331</v>
      </c>
      <c r="AG68" s="1312">
        <f>+'NEW Spring CHP by DISC'!AG68/12</f>
        <v>0</v>
      </c>
      <c r="AH68" s="1312">
        <f>SUM(AE68:AG68)</f>
        <v>1.1333333333333333</v>
      </c>
      <c r="AI68" s="1320">
        <f t="shared" si="71"/>
        <v>-0.15000000000000011</v>
      </c>
      <c r="AJ68" s="1312">
        <f>+'NEW Spring CHP by DISC'!AJ68/15</f>
        <v>0.8</v>
      </c>
      <c r="AK68" s="1312">
        <f>+'NEW Spring CHP by DISC'!AK68/15</f>
        <v>0.13333333333333333</v>
      </c>
      <c r="AL68" s="1312">
        <f>+'NEW Spring CHP by DISC'!AL68/12</f>
        <v>0</v>
      </c>
      <c r="AM68" s="1312">
        <f>SUM(AJ68:AL68)</f>
        <v>0.93333333333333335</v>
      </c>
      <c r="AN68" s="1320">
        <f t="shared" si="72"/>
        <v>-0.17647058823529407</v>
      </c>
      <c r="AO68" s="1312">
        <f>+'NEW Spring CHP by DISC'!AO68/15</f>
        <v>0.46666666666666667</v>
      </c>
      <c r="AP68" s="1312">
        <f>+'NEW Spring CHP by DISC'!AP68/15</f>
        <v>0.93333333333333335</v>
      </c>
      <c r="AQ68" s="1312">
        <f>+'NEW Spring CHP by DISC'!AQ68/12</f>
        <v>0</v>
      </c>
      <c r="AR68" s="1312">
        <f>SUM(AO68:AQ68)</f>
        <v>1.4</v>
      </c>
      <c r="AS68" s="1320">
        <f t="shared" si="73"/>
        <v>0.49999999999999989</v>
      </c>
    </row>
    <row r="69" spans="1:45" s="484" customFormat="1" ht="13.8" x14ac:dyDescent="0.25">
      <c r="A69" s="1345" t="s">
        <v>1015</v>
      </c>
      <c r="B69" s="1340">
        <f t="shared" ref="B69:I69" si="74">SUM(B64:B68)</f>
        <v>49.333333333333329</v>
      </c>
      <c r="C69" s="1340">
        <f t="shared" si="74"/>
        <v>10.933333333333334</v>
      </c>
      <c r="D69" s="1340">
        <f t="shared" si="74"/>
        <v>0</v>
      </c>
      <c r="E69" s="495">
        <f t="shared" si="74"/>
        <v>60.266666666666659</v>
      </c>
      <c r="F69" s="1340">
        <f t="shared" si="74"/>
        <v>50.4</v>
      </c>
      <c r="G69" s="1340">
        <f t="shared" si="74"/>
        <v>12.266666666666667</v>
      </c>
      <c r="H69" s="1340">
        <f t="shared" si="74"/>
        <v>0</v>
      </c>
      <c r="I69" s="1340">
        <f t="shared" si="74"/>
        <v>62.666666666666664</v>
      </c>
      <c r="J69" s="1323">
        <f t="shared" si="66"/>
        <v>3.9823008849557619E-2</v>
      </c>
      <c r="K69" s="1340">
        <f>SUM(K64:K68)</f>
        <v>60.266666666666666</v>
      </c>
      <c r="L69" s="1340">
        <f>SUM(L64:L68)</f>
        <v>11.666666666666668</v>
      </c>
      <c r="M69" s="1340">
        <f>SUM(M64:M68)</f>
        <v>0</v>
      </c>
      <c r="N69" s="1340">
        <f>SUM(N64:N68)</f>
        <v>71.933333333333323</v>
      </c>
      <c r="O69" s="496">
        <f t="shared" si="67"/>
        <v>0.1478723404255318</v>
      </c>
      <c r="P69" s="1340">
        <f>SUM(P64:P68)</f>
        <v>54.466666666666669</v>
      </c>
      <c r="Q69" s="1340">
        <f>SUM(Q64:Q68)</f>
        <v>6.6000000000000005</v>
      </c>
      <c r="R69" s="1340">
        <f>SUM(R64:R68)</f>
        <v>0</v>
      </c>
      <c r="S69" s="1340">
        <f>SUM(S64:S68)</f>
        <v>61.066666666666663</v>
      </c>
      <c r="T69" s="1323">
        <f t="shared" si="68"/>
        <v>-0.15106580166821124</v>
      </c>
      <c r="U69" s="1340">
        <f>SUM(U64:U68)</f>
        <v>41.866666666666667</v>
      </c>
      <c r="V69" s="1340">
        <f>SUM(V64:V68)</f>
        <v>9.533333333333335</v>
      </c>
      <c r="W69" s="1340">
        <f>SUM(W64:W68)</f>
        <v>0</v>
      </c>
      <c r="X69" s="1340">
        <f>SUM(X64:X68)</f>
        <v>51.4</v>
      </c>
      <c r="Y69" s="1323">
        <f t="shared" si="69"/>
        <v>-0.15829694323144103</v>
      </c>
      <c r="Z69" s="1340">
        <f>SUM(Z64:Z68)</f>
        <v>39.799999999999997</v>
      </c>
      <c r="AA69" s="1340">
        <f>SUM(AA64:AA68)</f>
        <v>8.9333333333333336</v>
      </c>
      <c r="AB69" s="1340">
        <f>SUM(AB64:AB68)</f>
        <v>0</v>
      </c>
      <c r="AC69" s="1340">
        <f>SUM(AC64:AC68)</f>
        <v>48.733333333333334</v>
      </c>
      <c r="AD69" s="1324">
        <f t="shared" si="70"/>
        <v>-5.1880674448767788E-2</v>
      </c>
      <c r="AE69" s="1340">
        <f>SUM(AE64:AE68)</f>
        <v>37.4</v>
      </c>
      <c r="AF69" s="1340">
        <f>SUM(AF64:AF68)</f>
        <v>10.733333333333333</v>
      </c>
      <c r="AG69" s="1340">
        <f>SUM(AG64:AG68)</f>
        <v>0</v>
      </c>
      <c r="AH69" s="1340">
        <f>SUM(AH64:AH68)</f>
        <v>48.133333333333319</v>
      </c>
      <c r="AI69" s="1324">
        <f t="shared" si="71"/>
        <v>-1.2311901504788282E-2</v>
      </c>
      <c r="AJ69" s="1340">
        <f>SUM(AJ64:AJ68)</f>
        <v>37.333333333333329</v>
      </c>
      <c r="AK69" s="1340">
        <f>SUM(AK64:AK68)</f>
        <v>10.399999999999999</v>
      </c>
      <c r="AL69" s="1340">
        <f>SUM(AL64:AL68)</f>
        <v>0</v>
      </c>
      <c r="AM69" s="1340">
        <f>SUM(AM64:AM68)</f>
        <v>47.733333333333327</v>
      </c>
      <c r="AN69" s="1324">
        <f t="shared" si="72"/>
        <v>-8.3102493074790496E-3</v>
      </c>
      <c r="AO69" s="1340">
        <f>SUM(AO64:AO68)</f>
        <v>36.13333333333334</v>
      </c>
      <c r="AP69" s="1340">
        <f>SUM(AP64:AP68)</f>
        <v>17.866666666666667</v>
      </c>
      <c r="AQ69" s="1340">
        <f>SUM(AQ64:AQ68)</f>
        <v>0</v>
      </c>
      <c r="AR69" s="1340">
        <f>SUM(AR64:AR68)</f>
        <v>53.999999999999993</v>
      </c>
      <c r="AS69" s="1324">
        <f t="shared" si="73"/>
        <v>0.13128491620111732</v>
      </c>
    </row>
    <row r="70" spans="1:45" x14ac:dyDescent="0.25">
      <c r="A70" s="1318" t="s">
        <v>436</v>
      </c>
      <c r="B70" s="1308"/>
      <c r="C70" s="1309"/>
      <c r="D70" s="1309"/>
      <c r="E70" s="1306"/>
      <c r="F70" s="1308"/>
      <c r="G70" s="1309"/>
      <c r="H70" s="1309"/>
      <c r="I70" s="1309"/>
      <c r="J70" s="1306"/>
      <c r="K70" s="1039"/>
      <c r="L70" s="1309"/>
      <c r="M70" s="1309"/>
      <c r="N70" s="1309"/>
      <c r="O70" s="1310"/>
      <c r="P70" s="1039"/>
      <c r="Q70" s="1309"/>
      <c r="R70" s="1309"/>
      <c r="S70" s="1309"/>
      <c r="T70" s="1306"/>
      <c r="U70" s="1308"/>
      <c r="V70" s="1309"/>
      <c r="W70" s="1309"/>
      <c r="X70" s="1309"/>
      <c r="Y70" s="1306"/>
      <c r="Z70" s="508"/>
      <c r="AA70" s="487"/>
      <c r="AB70" s="487"/>
      <c r="AC70" s="487"/>
      <c r="AD70" s="438"/>
      <c r="AE70" s="508"/>
      <c r="AF70" s="487"/>
      <c r="AG70" s="487"/>
      <c r="AH70" s="487"/>
      <c r="AI70" s="438"/>
      <c r="AJ70" s="508"/>
      <c r="AK70" s="487"/>
      <c r="AL70" s="487"/>
      <c r="AM70" s="487"/>
      <c r="AN70" s="438"/>
      <c r="AO70" s="508"/>
      <c r="AP70" s="487"/>
      <c r="AQ70" s="487"/>
      <c r="AR70" s="487"/>
      <c r="AS70" s="438"/>
    </row>
    <row r="71" spans="1:45" s="324" customFormat="1" x14ac:dyDescent="0.25">
      <c r="A71" s="1344" t="s">
        <v>1046</v>
      </c>
      <c r="B71" s="1313">
        <f>+'NEW Spring CHP by DISC'!B71/15</f>
        <v>0</v>
      </c>
      <c r="C71" s="1313">
        <f>+'NEW Spring CHP by DISC'!C71/15</f>
        <v>0</v>
      </c>
      <c r="D71" s="1313">
        <f>+'NEW Spring CHP by DISC'!D71/12</f>
        <v>0</v>
      </c>
      <c r="E71" s="1311">
        <f>SUM(B71:D71)</f>
        <v>0</v>
      </c>
      <c r="F71" s="1313">
        <f>+'NEW Spring CHP by DISC'!F71/15</f>
        <v>5.2</v>
      </c>
      <c r="G71" s="1313">
        <f>+'NEW Spring CHP by DISC'!G71/15</f>
        <v>0</v>
      </c>
      <c r="H71" s="1313">
        <f>+'NEW Spring CHP by DISC'!H71/12</f>
        <v>0</v>
      </c>
      <c r="I71" s="1313">
        <f>SUM(F71:H71)</f>
        <v>5.2</v>
      </c>
      <c r="J71" s="1307">
        <f t="shared" ref="J71:J76" si="75">IF(E71&gt;0,(I71-E71)/E71,(IF(I71=0,"N/A",100%)))</f>
        <v>1</v>
      </c>
      <c r="K71" s="772">
        <f>+'NEW Spring CHP by DISC'!K71/15</f>
        <v>0</v>
      </c>
      <c r="L71" s="1313">
        <f>+'NEW Spring CHP by DISC'!L71/15</f>
        <v>0</v>
      </c>
      <c r="M71" s="1313">
        <f>+'NEW Spring CHP by DISC'!M71/12</f>
        <v>0</v>
      </c>
      <c r="N71" s="1313">
        <f>SUM(K71:M71)</f>
        <v>0</v>
      </c>
      <c r="O71" s="1339">
        <f t="shared" ref="O71:O76" si="76">IF(I71&gt;0,(N71-I71)/I71,(IF(N71=0,"N/A",100%)))</f>
        <v>-1</v>
      </c>
      <c r="P71" s="772">
        <f>+'NEW Spring CHP by DISC'!P71/15</f>
        <v>7.4</v>
      </c>
      <c r="Q71" s="1313">
        <f>+'NEW Spring CHP by DISC'!Q71/15</f>
        <v>0</v>
      </c>
      <c r="R71" s="1313">
        <f>+'NEW Spring CHP by DISC'!R71/12</f>
        <v>0</v>
      </c>
      <c r="S71" s="1313">
        <f>SUM(P71:R71)</f>
        <v>7.4</v>
      </c>
      <c r="T71" s="1307">
        <f t="shared" ref="T71:T76" si="77">IF(N71&gt;0,(S71-N71)/N71,(IF(S71=0,"N/A",100%)))</f>
        <v>1</v>
      </c>
      <c r="U71" s="1313">
        <f>+'NEW Spring CHP by DISC'!U71/15</f>
        <v>7</v>
      </c>
      <c r="V71" s="1313">
        <f>+'NEW Spring CHP by DISC'!V71/15</f>
        <v>0</v>
      </c>
      <c r="W71" s="1313">
        <f>+'NEW Spring CHP by DISC'!W71/12</f>
        <v>0</v>
      </c>
      <c r="X71" s="1313">
        <f>SUM(U71:W71)</f>
        <v>7</v>
      </c>
      <c r="Y71" s="1307">
        <f t="shared" ref="Y71:Y76" si="78">IF(S71&gt;0,(X71-S71)/S71,(IF(X71=0,"N/A",100%)))</f>
        <v>-5.4054054054054099E-2</v>
      </c>
      <c r="Z71" s="1312">
        <f>+'NEW Spring CHP by DISC'!Z71/15</f>
        <v>5</v>
      </c>
      <c r="AA71" s="1312">
        <f>+'NEW Spring CHP by DISC'!AA71/15</f>
        <v>0</v>
      </c>
      <c r="AB71" s="1312">
        <f>+'NEW Spring CHP by DISC'!AB71/12</f>
        <v>0</v>
      </c>
      <c r="AC71" s="1312">
        <f>SUM(Z71:AB71)</f>
        <v>5</v>
      </c>
      <c r="AD71" s="1320">
        <f t="shared" ref="AD71:AD76" si="79">IF(X71&gt;0,(AC71-X71)/X71,(IF(AC71=0,"N/A",100%)))</f>
        <v>-0.2857142857142857</v>
      </c>
      <c r="AE71" s="1312">
        <f>+'NEW Spring CHP by DISC'!AE71/15</f>
        <v>4.8</v>
      </c>
      <c r="AF71" s="1312">
        <f>+'NEW Spring CHP by DISC'!AF71/15</f>
        <v>0</v>
      </c>
      <c r="AG71" s="1312">
        <f>+'NEW Spring CHP by DISC'!AG71/12</f>
        <v>0</v>
      </c>
      <c r="AH71" s="1312">
        <f>SUM(AE71:AG71)</f>
        <v>4.8</v>
      </c>
      <c r="AI71" s="1320">
        <f t="shared" ref="AI71:AI76" si="80">IF(AC71&gt;0,(AH71-AC71)/AC71,(IF(AH71=0,"N/A",100%)))</f>
        <v>-4.0000000000000036E-2</v>
      </c>
      <c r="AJ71" s="1312">
        <f>+'NEW Spring CHP by DISC'!AJ71/15</f>
        <v>0</v>
      </c>
      <c r="AK71" s="1312">
        <f>+'NEW Spring CHP by DISC'!AK71/15</f>
        <v>0</v>
      </c>
      <c r="AL71" s="1312">
        <f>+'NEW Spring CHP by DISC'!AL71/12</f>
        <v>0</v>
      </c>
      <c r="AM71" s="1312">
        <f>SUM(AJ71:AL71)</f>
        <v>0</v>
      </c>
      <c r="AN71" s="1320">
        <f t="shared" ref="AN71:AN76" si="81">IF(AH71&gt;0,(AM71-AH71)/AH71,(IF(AM71=0,"N/A",100%)))</f>
        <v>-1</v>
      </c>
      <c r="AO71" s="1312">
        <f>+'NEW Spring CHP by DISC'!AO71/15</f>
        <v>5.8</v>
      </c>
      <c r="AP71" s="1312">
        <f>+'NEW Spring CHP by DISC'!AP71/15</f>
        <v>0</v>
      </c>
      <c r="AQ71" s="1312">
        <f>+'NEW Spring CHP by DISC'!AQ71/12</f>
        <v>0</v>
      </c>
      <c r="AR71" s="1312">
        <f>SUM(AO71:AQ71)</f>
        <v>5.8</v>
      </c>
      <c r="AS71" s="1320">
        <f t="shared" ref="AS71:AS76" si="82">IF(AM71&gt;0,(AR71-AM71)/AM71,(IF(AR71=0,"N/A",100%)))</f>
        <v>1</v>
      </c>
    </row>
    <row r="72" spans="1:45" x14ac:dyDescent="0.25">
      <c r="A72" s="1319" t="s">
        <v>1041</v>
      </c>
      <c r="B72" s="1313">
        <f>+'NEW Spring CHP by DISC'!B72/15</f>
        <v>52.6</v>
      </c>
      <c r="C72" s="1313">
        <f>+'NEW Spring CHP by DISC'!C72/15</f>
        <v>33.200000000000003</v>
      </c>
      <c r="D72" s="1313">
        <f>+'NEW Spring CHP by DISC'!D72/12</f>
        <v>0</v>
      </c>
      <c r="E72" s="1311">
        <f>SUM(B72:D72)</f>
        <v>85.800000000000011</v>
      </c>
      <c r="F72" s="1313">
        <f>+'NEW Spring CHP by DISC'!F72/15</f>
        <v>65.599999999999994</v>
      </c>
      <c r="G72" s="1313">
        <f>+'NEW Spring CHP by DISC'!G72/15</f>
        <v>27.666666666666668</v>
      </c>
      <c r="H72" s="1313">
        <f>+'NEW Spring CHP by DISC'!H72/12</f>
        <v>0</v>
      </c>
      <c r="I72" s="1313">
        <f>SUM(F72:H72)</f>
        <v>93.266666666666666</v>
      </c>
      <c r="J72" s="1307">
        <f t="shared" si="75"/>
        <v>8.7024087024086871E-2</v>
      </c>
      <c r="K72" s="772">
        <f>+'NEW Spring CHP by DISC'!K72/15</f>
        <v>83</v>
      </c>
      <c r="L72" s="1313">
        <f>+'NEW Spring CHP by DISC'!L72/15</f>
        <v>35</v>
      </c>
      <c r="M72" s="1313">
        <f>+'NEW Spring CHP by DISC'!M72/12</f>
        <v>0</v>
      </c>
      <c r="N72" s="1313">
        <f>SUM(K72:M72)</f>
        <v>118</v>
      </c>
      <c r="O72" s="1339">
        <f t="shared" si="76"/>
        <v>0.26518942101501075</v>
      </c>
      <c r="P72" s="772">
        <f>+'NEW Spring CHP by DISC'!P72/15</f>
        <v>87.8</v>
      </c>
      <c r="Q72" s="1313">
        <f>+'NEW Spring CHP by DISC'!Q72/15</f>
        <v>22.6</v>
      </c>
      <c r="R72" s="1313">
        <f>+'NEW Spring CHP by DISC'!R72/12</f>
        <v>0</v>
      </c>
      <c r="S72" s="1313">
        <f>SUM(P72:R72)</f>
        <v>110.4</v>
      </c>
      <c r="T72" s="1307">
        <f t="shared" si="77"/>
        <v>-6.4406779661016905E-2</v>
      </c>
      <c r="U72" s="1313">
        <f>+'NEW Spring CHP by DISC'!U72/15</f>
        <v>69</v>
      </c>
      <c r="V72" s="1313">
        <f>+'NEW Spring CHP by DISC'!V72/15</f>
        <v>29</v>
      </c>
      <c r="W72" s="1313">
        <f>+'NEW Spring CHP by DISC'!W72/12</f>
        <v>0</v>
      </c>
      <c r="X72" s="1313">
        <f>SUM(U72:W72)</f>
        <v>98</v>
      </c>
      <c r="Y72" s="1307">
        <f t="shared" si="78"/>
        <v>-0.11231884057971019</v>
      </c>
      <c r="Z72" s="1312">
        <f>+'NEW Spring CHP by DISC'!Z72/15</f>
        <v>66.400000000000006</v>
      </c>
      <c r="AA72" s="1312">
        <f>+'NEW Spring CHP by DISC'!AA72/15</f>
        <v>37.799999999999997</v>
      </c>
      <c r="AB72" s="1312">
        <f>+'NEW Spring CHP by DISC'!AB72/12</f>
        <v>0</v>
      </c>
      <c r="AC72" s="1312">
        <f>SUM(Z72:AB72)</f>
        <v>104.2</v>
      </c>
      <c r="AD72" s="1320">
        <f t="shared" si="79"/>
        <v>6.3265306122449003E-2</v>
      </c>
      <c r="AE72" s="1312">
        <f>+'NEW Spring CHP by DISC'!AE72/15</f>
        <v>68</v>
      </c>
      <c r="AF72" s="1312">
        <f>+'NEW Spring CHP by DISC'!AF72/15</f>
        <v>26.866666666666667</v>
      </c>
      <c r="AG72" s="1312">
        <f>+'NEW Spring CHP by DISC'!AG72/12</f>
        <v>0</v>
      </c>
      <c r="AH72" s="1312">
        <f>SUM(AE72:AG72)</f>
        <v>94.866666666666674</v>
      </c>
      <c r="AI72" s="1320">
        <f t="shared" si="80"/>
        <v>-8.9571337172104873E-2</v>
      </c>
      <c r="AJ72" s="1312">
        <f>+'NEW Spring CHP by DISC'!AJ72/15</f>
        <v>73.466666666666669</v>
      </c>
      <c r="AK72" s="1312">
        <f>+'NEW Spring CHP by DISC'!AK72/15</f>
        <v>25.8</v>
      </c>
      <c r="AL72" s="1312">
        <f>+'NEW Spring CHP by DISC'!AL72/12</f>
        <v>0</v>
      </c>
      <c r="AM72" s="1312">
        <f>SUM(AJ72:AL72)</f>
        <v>99.266666666666666</v>
      </c>
      <c r="AN72" s="1320">
        <f t="shared" si="81"/>
        <v>4.6380885453267649E-2</v>
      </c>
      <c r="AO72" s="1312">
        <f>+'NEW Spring CHP by DISC'!AO72/15</f>
        <v>66.2</v>
      </c>
      <c r="AP72" s="1312">
        <f>+'NEW Spring CHP by DISC'!AP72/15</f>
        <v>26.133333333333333</v>
      </c>
      <c r="AQ72" s="1312">
        <f>+'NEW Spring CHP by DISC'!AQ72/12</f>
        <v>0</v>
      </c>
      <c r="AR72" s="1312">
        <f>SUM(AO72:AQ72)</f>
        <v>92.333333333333343</v>
      </c>
      <c r="AS72" s="1320">
        <f t="shared" si="82"/>
        <v>-6.9845533915379343E-2</v>
      </c>
    </row>
    <row r="73" spans="1:45" x14ac:dyDescent="0.25">
      <c r="A73" s="1319" t="s">
        <v>1047</v>
      </c>
      <c r="B73" s="1313">
        <f>+'NEW Spring CHP by DISC'!B73/15</f>
        <v>0</v>
      </c>
      <c r="C73" s="1313">
        <f>+'NEW Spring CHP by DISC'!C73/15</f>
        <v>23.6</v>
      </c>
      <c r="D73" s="1313">
        <f>+'NEW Spring CHP by DISC'!D73/12</f>
        <v>0</v>
      </c>
      <c r="E73" s="1311">
        <f>SUM(B73:D73)</f>
        <v>23.6</v>
      </c>
      <c r="F73" s="1313">
        <f>+'NEW Spring CHP by DISC'!F73/15</f>
        <v>0</v>
      </c>
      <c r="G73" s="1313">
        <f>+'NEW Spring CHP by DISC'!G73/15</f>
        <v>19.8</v>
      </c>
      <c r="H73" s="1313">
        <f>+'NEW Spring CHP by DISC'!H73/12</f>
        <v>0</v>
      </c>
      <c r="I73" s="1313">
        <f>SUM(F73:H73)</f>
        <v>19.8</v>
      </c>
      <c r="J73" s="1307">
        <f t="shared" si="75"/>
        <v>-0.16101694915254239</v>
      </c>
      <c r="K73" s="772">
        <f>+'NEW Spring CHP by DISC'!K73/15</f>
        <v>0</v>
      </c>
      <c r="L73" s="1313">
        <f>+'NEW Spring CHP by DISC'!L73/15</f>
        <v>13.6</v>
      </c>
      <c r="M73" s="1313">
        <f>+'NEW Spring CHP by DISC'!M73/12</f>
        <v>0</v>
      </c>
      <c r="N73" s="1313">
        <f>SUM(K73:M73)</f>
        <v>13.6</v>
      </c>
      <c r="O73" s="1339">
        <f t="shared" si="76"/>
        <v>-0.31313131313131315</v>
      </c>
      <c r="P73" s="772">
        <f>+'NEW Spring CHP by DISC'!P73/15</f>
        <v>0</v>
      </c>
      <c r="Q73" s="1313">
        <f>+'NEW Spring CHP by DISC'!Q73/15</f>
        <v>7</v>
      </c>
      <c r="R73" s="1313">
        <f>+'NEW Spring CHP by DISC'!R73/12</f>
        <v>0</v>
      </c>
      <c r="S73" s="1313">
        <f>SUM(P73:R73)</f>
        <v>7</v>
      </c>
      <c r="T73" s="1307">
        <f t="shared" si="77"/>
        <v>-0.48529411764705882</v>
      </c>
      <c r="U73" s="1313">
        <f>+'NEW Spring CHP by DISC'!U73/15</f>
        <v>11.2</v>
      </c>
      <c r="V73" s="1313">
        <f>+'NEW Spring CHP by DISC'!V73/15</f>
        <v>5.4</v>
      </c>
      <c r="W73" s="1313">
        <f>+'NEW Spring CHP by DISC'!W73/12</f>
        <v>0</v>
      </c>
      <c r="X73" s="1313">
        <f>SUM(U73:W73)</f>
        <v>16.600000000000001</v>
      </c>
      <c r="Y73" s="1307">
        <f t="shared" si="78"/>
        <v>1.3714285714285717</v>
      </c>
      <c r="Z73" s="1312">
        <f>+'NEW Spring CHP by DISC'!Z73/15</f>
        <v>0</v>
      </c>
      <c r="AA73" s="1312">
        <f>+'NEW Spring CHP by DISC'!AA73/15</f>
        <v>10.4</v>
      </c>
      <c r="AB73" s="1312">
        <f>+'NEW Spring CHP by DISC'!AB73/12</f>
        <v>0</v>
      </c>
      <c r="AC73" s="1312">
        <f>SUM(Z73:AB73)</f>
        <v>10.4</v>
      </c>
      <c r="AD73" s="1320">
        <f t="shared" si="79"/>
        <v>-0.37349397590361449</v>
      </c>
      <c r="AE73" s="1312">
        <f>+'NEW Spring CHP by DISC'!AE73/15</f>
        <v>13.8</v>
      </c>
      <c r="AF73" s="1312">
        <f>+'NEW Spring CHP by DISC'!AF73/15</f>
        <v>0.2</v>
      </c>
      <c r="AG73" s="1312">
        <f>+'NEW Spring CHP by DISC'!AG73/12</f>
        <v>0</v>
      </c>
      <c r="AH73" s="1312">
        <f>SUM(AE73:AG73)</f>
        <v>14</v>
      </c>
      <c r="AI73" s="1320">
        <f t="shared" si="80"/>
        <v>0.34615384615384609</v>
      </c>
      <c r="AJ73" s="1312">
        <f>+'NEW Spring CHP by DISC'!AJ73/15</f>
        <v>13.8</v>
      </c>
      <c r="AK73" s="1312">
        <f>+'NEW Spring CHP by DISC'!AK73/15</f>
        <v>6</v>
      </c>
      <c r="AL73" s="1312">
        <f>+'NEW Spring CHP by DISC'!AL73/12</f>
        <v>0</v>
      </c>
      <c r="AM73" s="1312">
        <f>SUM(AJ73:AL73)</f>
        <v>19.8</v>
      </c>
      <c r="AN73" s="1320">
        <f t="shared" si="81"/>
        <v>0.41428571428571431</v>
      </c>
      <c r="AO73" s="1312">
        <f>+'NEW Spring CHP by DISC'!AO73/15</f>
        <v>0</v>
      </c>
      <c r="AP73" s="1312">
        <f>+'NEW Spring CHP by DISC'!AP73/15</f>
        <v>28</v>
      </c>
      <c r="AQ73" s="1312">
        <f>+'NEW Spring CHP by DISC'!AQ73/12</f>
        <v>0</v>
      </c>
      <c r="AR73" s="1312">
        <f>SUM(AO73:AQ73)</f>
        <v>28</v>
      </c>
      <c r="AS73" s="1320">
        <f t="shared" si="82"/>
        <v>0.41414141414141409</v>
      </c>
    </row>
    <row r="74" spans="1:45" x14ac:dyDescent="0.25">
      <c r="A74" s="1319" t="s">
        <v>1048</v>
      </c>
      <c r="B74" s="1313">
        <f>+'NEW Spring CHP by DISC'!B74/15</f>
        <v>32.6</v>
      </c>
      <c r="C74" s="1313">
        <f>+'NEW Spring CHP by DISC'!C74/15</f>
        <v>5.4</v>
      </c>
      <c r="D74" s="1313">
        <f>+'NEW Spring CHP by DISC'!D74/12</f>
        <v>0</v>
      </c>
      <c r="E74" s="1311">
        <f>SUM(B74:D74)</f>
        <v>38</v>
      </c>
      <c r="F74" s="1313">
        <f>+'NEW Spring CHP by DISC'!F74/15</f>
        <v>36.6</v>
      </c>
      <c r="G74" s="1313">
        <f>+'NEW Spring CHP by DISC'!G74/15</f>
        <v>5.8</v>
      </c>
      <c r="H74" s="1313">
        <f>+'NEW Spring CHP by DISC'!H74/12</f>
        <v>0</v>
      </c>
      <c r="I74" s="1313">
        <f>SUM(F74:H74)</f>
        <v>42.4</v>
      </c>
      <c r="J74" s="1307">
        <f t="shared" si="75"/>
        <v>0.11578947368421048</v>
      </c>
      <c r="K74" s="772">
        <f>+'NEW Spring CHP by DISC'!K74/15</f>
        <v>33.4</v>
      </c>
      <c r="L74" s="1313">
        <f>+'NEW Spring CHP by DISC'!L74/15</f>
        <v>7.2</v>
      </c>
      <c r="M74" s="1313">
        <f>+'NEW Spring CHP by DISC'!M74/12</f>
        <v>0</v>
      </c>
      <c r="N74" s="1313">
        <f>SUM(K74:M74)</f>
        <v>40.6</v>
      </c>
      <c r="O74" s="1339">
        <f t="shared" si="76"/>
        <v>-4.245283018867918E-2</v>
      </c>
      <c r="P74" s="772">
        <f>+'NEW Spring CHP by DISC'!P74/15</f>
        <v>33.799999999999997</v>
      </c>
      <c r="Q74" s="1313">
        <f>+'NEW Spring CHP by DISC'!Q74/15</f>
        <v>8</v>
      </c>
      <c r="R74" s="1313">
        <f>+'NEW Spring CHP by DISC'!R74/12</f>
        <v>0</v>
      </c>
      <c r="S74" s="1313">
        <f>SUM(P74:R74)</f>
        <v>41.8</v>
      </c>
      <c r="T74" s="1307">
        <f t="shared" si="77"/>
        <v>2.9556650246305313E-2</v>
      </c>
      <c r="U74" s="1313">
        <f>+'NEW Spring CHP by DISC'!U74/15</f>
        <v>33.6</v>
      </c>
      <c r="V74" s="1313">
        <f>+'NEW Spring CHP by DISC'!V74/15</f>
        <v>5.8</v>
      </c>
      <c r="W74" s="1313">
        <f>+'NEW Spring CHP by DISC'!W74/12</f>
        <v>0</v>
      </c>
      <c r="X74" s="1313">
        <f>SUM(U74:W74)</f>
        <v>39.4</v>
      </c>
      <c r="Y74" s="1307">
        <f t="shared" si="78"/>
        <v>-5.7416267942583699E-2</v>
      </c>
      <c r="Z74" s="1312">
        <f>+'NEW Spring CHP by DISC'!Z74/15</f>
        <v>32</v>
      </c>
      <c r="AA74" s="1312">
        <f>+'NEW Spring CHP by DISC'!AA74/15</f>
        <v>10.8</v>
      </c>
      <c r="AB74" s="1312">
        <f>+'NEW Spring CHP by DISC'!AB74/12</f>
        <v>0</v>
      </c>
      <c r="AC74" s="1312">
        <f>SUM(Z74:AB74)</f>
        <v>42.8</v>
      </c>
      <c r="AD74" s="1320">
        <f t="shared" si="79"/>
        <v>8.629441624365479E-2</v>
      </c>
      <c r="AE74" s="1312">
        <f>+'NEW Spring CHP by DISC'!AE74/15</f>
        <v>17.8</v>
      </c>
      <c r="AF74" s="1312">
        <f>+'NEW Spring CHP by DISC'!AF74/15</f>
        <v>3.6</v>
      </c>
      <c r="AG74" s="1312">
        <f>+'NEW Spring CHP by DISC'!AG74/12</f>
        <v>0</v>
      </c>
      <c r="AH74" s="1312">
        <f>SUM(AE74:AG74)</f>
        <v>21.400000000000002</v>
      </c>
      <c r="AI74" s="1320">
        <f t="shared" si="80"/>
        <v>-0.49999999999999994</v>
      </c>
      <c r="AJ74" s="1312">
        <f>+'NEW Spring CHP by DISC'!AJ74/15</f>
        <v>21.2</v>
      </c>
      <c r="AK74" s="1312">
        <f>+'NEW Spring CHP by DISC'!AK74/15</f>
        <v>4</v>
      </c>
      <c r="AL74" s="1312">
        <f>+'NEW Spring CHP by DISC'!AL74/12</f>
        <v>0</v>
      </c>
      <c r="AM74" s="1312">
        <f>SUM(AJ74:AL74)</f>
        <v>25.2</v>
      </c>
      <c r="AN74" s="1320">
        <f t="shared" si="81"/>
        <v>0.17757009345794378</v>
      </c>
      <c r="AO74" s="1312">
        <f>+'NEW Spring CHP by DISC'!AO74/15</f>
        <v>30</v>
      </c>
      <c r="AP74" s="1312">
        <f>+'NEW Spring CHP by DISC'!AP74/15</f>
        <v>3.6</v>
      </c>
      <c r="AQ74" s="1312">
        <f>+'NEW Spring CHP by DISC'!AQ74/12</f>
        <v>0</v>
      </c>
      <c r="AR74" s="1312">
        <f>SUM(AO74:AQ74)</f>
        <v>33.6</v>
      </c>
      <c r="AS74" s="1320">
        <f t="shared" si="82"/>
        <v>0.33333333333333343</v>
      </c>
    </row>
    <row r="75" spans="1:45" x14ac:dyDescent="0.25">
      <c r="A75" s="1346" t="s">
        <v>1437</v>
      </c>
      <c r="B75" s="1313">
        <f>+'NEW Spring CHP by DISC'!B75/15</f>
        <v>1.6</v>
      </c>
      <c r="C75" s="1313">
        <f>+'NEW Spring CHP by DISC'!C75/15</f>
        <v>0</v>
      </c>
      <c r="D75" s="1313">
        <f>+'NEW Spring CHP by DISC'!D75/12</f>
        <v>0</v>
      </c>
      <c r="E75" s="1311">
        <f>SUM(B75:D75)</f>
        <v>1.6</v>
      </c>
      <c r="F75" s="1313">
        <f>+'NEW Spring CHP by DISC'!F75/15</f>
        <v>9.4</v>
      </c>
      <c r="G75" s="1313">
        <f>+'NEW Spring CHP by DISC'!G75/15</f>
        <v>0</v>
      </c>
      <c r="H75" s="1313">
        <f>+'NEW Spring CHP by DISC'!H75/12</f>
        <v>0</v>
      </c>
      <c r="I75" s="1313">
        <f>SUM(F75:H75)</f>
        <v>9.4</v>
      </c>
      <c r="J75" s="1307">
        <f t="shared" si="75"/>
        <v>4.875</v>
      </c>
      <c r="K75" s="772">
        <f>+'NEW Spring CHP by DISC'!K75/15</f>
        <v>11.8</v>
      </c>
      <c r="L75" s="1313">
        <f>+'NEW Spring CHP by DISC'!L75/15</f>
        <v>0</v>
      </c>
      <c r="M75" s="1313">
        <f>+'NEW Spring CHP by DISC'!M75/12</f>
        <v>0</v>
      </c>
      <c r="N75" s="1313">
        <f>SUM(K75:M75)</f>
        <v>11.8</v>
      </c>
      <c r="O75" s="1339">
        <f t="shared" si="76"/>
        <v>0.25531914893617025</v>
      </c>
      <c r="P75" s="772">
        <f>+'NEW Spring CHP by DISC'!P75/15</f>
        <v>11.4</v>
      </c>
      <c r="Q75" s="1313">
        <f>+'NEW Spring CHP by DISC'!Q75/15</f>
        <v>0</v>
      </c>
      <c r="R75" s="1313">
        <f>+'NEW Spring CHP by DISC'!R75/12</f>
        <v>0</v>
      </c>
      <c r="S75" s="1313">
        <f>SUM(P75:R75)</f>
        <v>11.4</v>
      </c>
      <c r="T75" s="1307">
        <f t="shared" si="77"/>
        <v>-3.389830508474579E-2</v>
      </c>
      <c r="U75" s="1313">
        <f>+'NEW Spring CHP by DISC'!U75/15</f>
        <v>8.4</v>
      </c>
      <c r="V75" s="1313">
        <f>+'NEW Spring CHP by DISC'!V75/15</f>
        <v>0</v>
      </c>
      <c r="W75" s="1313">
        <f>+'NEW Spring CHP by DISC'!W75/12</f>
        <v>0</v>
      </c>
      <c r="X75" s="1313">
        <f>SUM(U75:W75)</f>
        <v>8.4</v>
      </c>
      <c r="Y75" s="1307">
        <f t="shared" si="78"/>
        <v>-0.26315789473684209</v>
      </c>
      <c r="Z75" s="1312">
        <f>+'NEW Spring CHP by DISC'!Z75/15</f>
        <v>7</v>
      </c>
      <c r="AA75" s="1312">
        <f>+'NEW Spring CHP by DISC'!AA75/15</f>
        <v>0</v>
      </c>
      <c r="AB75" s="1312">
        <f>+'NEW Spring CHP by DISC'!AB75/12</f>
        <v>0</v>
      </c>
      <c r="AC75" s="1312">
        <f>SUM(Z75:AB75)</f>
        <v>7</v>
      </c>
      <c r="AD75" s="1320">
        <f t="shared" si="79"/>
        <v>-0.16666666666666671</v>
      </c>
      <c r="AE75" s="1312">
        <f>+'NEW Spring CHP by DISC'!AE75/15</f>
        <v>5.8</v>
      </c>
      <c r="AF75" s="1312">
        <f>+'NEW Spring CHP by DISC'!AF75/15</f>
        <v>4.5999999999999996</v>
      </c>
      <c r="AG75" s="1312">
        <f>+'NEW Spring CHP by DISC'!AG75/12</f>
        <v>0</v>
      </c>
      <c r="AH75" s="1312">
        <f>SUM(AE75:AG75)</f>
        <v>10.399999999999999</v>
      </c>
      <c r="AI75" s="1320">
        <f t="shared" si="80"/>
        <v>0.48571428571428549</v>
      </c>
      <c r="AJ75" s="1312">
        <f>+'NEW Spring CHP by DISC'!AJ75/15</f>
        <v>11.8</v>
      </c>
      <c r="AK75" s="1312">
        <f>+'NEW Spring CHP by DISC'!AK75/15</f>
        <v>0</v>
      </c>
      <c r="AL75" s="1312">
        <f>+'NEW Spring CHP by DISC'!AL75/12</f>
        <v>0</v>
      </c>
      <c r="AM75" s="1312">
        <f>SUM(AJ75:AL75)</f>
        <v>11.8</v>
      </c>
      <c r="AN75" s="1320">
        <f t="shared" si="81"/>
        <v>0.13461538461538483</v>
      </c>
      <c r="AO75" s="1312">
        <f>+'NEW Spring CHP by DISC'!AO75/15</f>
        <v>5</v>
      </c>
      <c r="AP75" s="1312">
        <f>+'NEW Spring CHP by DISC'!AP75/15</f>
        <v>11.6</v>
      </c>
      <c r="AQ75" s="1312">
        <f>+'NEW Spring CHP by DISC'!AQ75/12</f>
        <v>0</v>
      </c>
      <c r="AR75" s="1312">
        <f>SUM(AO75:AQ75)</f>
        <v>16.600000000000001</v>
      </c>
      <c r="AS75" s="1320">
        <f t="shared" si="82"/>
        <v>0.40677966101694918</v>
      </c>
    </row>
    <row r="76" spans="1:45" s="484" customFormat="1" ht="13.8" x14ac:dyDescent="0.25">
      <c r="A76" s="1345" t="s">
        <v>1015</v>
      </c>
      <c r="B76" s="1340">
        <f t="shared" ref="B76:I76" si="83">SUM(B71:B75)</f>
        <v>86.8</v>
      </c>
      <c r="C76" s="1340">
        <f t="shared" si="83"/>
        <v>62.2</v>
      </c>
      <c r="D76" s="1340">
        <f t="shared" si="83"/>
        <v>0</v>
      </c>
      <c r="E76" s="1341">
        <f t="shared" si="83"/>
        <v>149</v>
      </c>
      <c r="F76" s="1340">
        <f t="shared" si="83"/>
        <v>116.80000000000001</v>
      </c>
      <c r="G76" s="1340">
        <f t="shared" si="83"/>
        <v>53.266666666666666</v>
      </c>
      <c r="H76" s="1340">
        <f t="shared" si="83"/>
        <v>0</v>
      </c>
      <c r="I76" s="1340">
        <f t="shared" si="83"/>
        <v>170.06666666666666</v>
      </c>
      <c r="J76" s="1323">
        <f t="shared" si="75"/>
        <v>0.14138702460850108</v>
      </c>
      <c r="K76" s="1042">
        <f>SUM(K71:K75)</f>
        <v>128.20000000000002</v>
      </c>
      <c r="L76" s="1340">
        <f>SUM(L71:L75)</f>
        <v>55.800000000000004</v>
      </c>
      <c r="M76" s="1340">
        <f>SUM(M71:M75)</f>
        <v>0</v>
      </c>
      <c r="N76" s="1340">
        <f>SUM(N71:N75)</f>
        <v>184</v>
      </c>
      <c r="O76" s="1342">
        <f t="shared" si="76"/>
        <v>8.1928655429243463E-2</v>
      </c>
      <c r="P76" s="1042">
        <f>SUM(P71:P75)</f>
        <v>140.4</v>
      </c>
      <c r="Q76" s="1340">
        <f>SUM(Q71:Q75)</f>
        <v>37.6</v>
      </c>
      <c r="R76" s="1340">
        <f>SUM(R71:R75)</f>
        <v>0</v>
      </c>
      <c r="S76" s="1340">
        <f>SUM(S71:S75)</f>
        <v>178.00000000000003</v>
      </c>
      <c r="T76" s="1323">
        <f t="shared" si="77"/>
        <v>-3.2608695652173759E-2</v>
      </c>
      <c r="U76" s="1340">
        <f>SUM(U71:U75)</f>
        <v>129.20000000000002</v>
      </c>
      <c r="V76" s="1340">
        <f>SUM(V71:V75)</f>
        <v>40.199999999999996</v>
      </c>
      <c r="W76" s="1340">
        <f>SUM(W71:W75)</f>
        <v>0</v>
      </c>
      <c r="X76" s="1340">
        <f>SUM(X71:X75)</f>
        <v>169.4</v>
      </c>
      <c r="Y76" s="1323">
        <f t="shared" si="78"/>
        <v>-4.8314606741573153E-2</v>
      </c>
      <c r="Z76" s="1343">
        <f>SUM(Z71:Z75)</f>
        <v>110.4</v>
      </c>
      <c r="AA76" s="1343">
        <f>SUM(AA71:AA75)</f>
        <v>59</v>
      </c>
      <c r="AB76" s="1343">
        <f>SUM(AB71:AB75)</f>
        <v>0</v>
      </c>
      <c r="AC76" s="1343">
        <f>SUM(AC71:AC75)</f>
        <v>169.4</v>
      </c>
      <c r="AD76" s="1324">
        <f t="shared" si="79"/>
        <v>0</v>
      </c>
      <c r="AE76" s="1343">
        <f>SUM(AE71:AE75)</f>
        <v>110.19999999999999</v>
      </c>
      <c r="AF76" s="1343">
        <f>SUM(AF71:AF75)</f>
        <v>35.266666666666666</v>
      </c>
      <c r="AG76" s="1343">
        <f>SUM(AG71:AG75)</f>
        <v>0</v>
      </c>
      <c r="AH76" s="1343">
        <f>SUM(AH71:AH75)</f>
        <v>145.46666666666667</v>
      </c>
      <c r="AI76" s="1324">
        <f t="shared" si="80"/>
        <v>-0.14128295946477767</v>
      </c>
      <c r="AJ76" s="1343">
        <f>SUM(AJ71:AJ75)</f>
        <v>120.26666666666667</v>
      </c>
      <c r="AK76" s="1343">
        <f>SUM(AK71:AK75)</f>
        <v>35.799999999999997</v>
      </c>
      <c r="AL76" s="1343">
        <f>SUM(AL71:AL75)</f>
        <v>0</v>
      </c>
      <c r="AM76" s="1343">
        <f>SUM(AM71:AM75)</f>
        <v>156.06666666666666</v>
      </c>
      <c r="AN76" s="1324">
        <f t="shared" si="81"/>
        <v>7.2868927589367513E-2</v>
      </c>
      <c r="AO76" s="1343">
        <f>SUM(AO71:AO75)</f>
        <v>107</v>
      </c>
      <c r="AP76" s="1343">
        <f>SUM(AP71:AP75)</f>
        <v>69.333333333333329</v>
      </c>
      <c r="AQ76" s="1343">
        <f>SUM(AQ71:AQ75)</f>
        <v>0</v>
      </c>
      <c r="AR76" s="1343">
        <f>SUM(AR71:AR75)</f>
        <v>176.33333333333334</v>
      </c>
      <c r="AS76" s="1324">
        <f t="shared" si="82"/>
        <v>0.12985903460059811</v>
      </c>
    </row>
    <row r="77" spans="1:45" x14ac:dyDescent="0.25">
      <c r="A77" s="1318" t="s">
        <v>418</v>
      </c>
      <c r="B77" s="1308"/>
      <c r="C77" s="1309"/>
      <c r="D77" s="1309"/>
      <c r="E77" s="1306"/>
      <c r="F77" s="1308"/>
      <c r="G77" s="1309"/>
      <c r="H77" s="1309"/>
      <c r="I77" s="1309"/>
      <c r="J77" s="1306"/>
      <c r="K77" s="1039"/>
      <c r="L77" s="1309"/>
      <c r="M77" s="1309"/>
      <c r="N77" s="1309"/>
      <c r="O77" s="1310"/>
      <c r="P77" s="1039"/>
      <c r="Q77" s="1309"/>
      <c r="R77" s="1309"/>
      <c r="S77" s="1309"/>
      <c r="T77" s="1306"/>
      <c r="U77" s="1308"/>
      <c r="V77" s="1309"/>
      <c r="W77" s="1309"/>
      <c r="X77" s="1309"/>
      <c r="Y77" s="1306"/>
      <c r="Z77" s="508"/>
      <c r="AA77" s="487"/>
      <c r="AB77" s="487"/>
      <c r="AC77" s="487"/>
      <c r="AD77" s="438"/>
      <c r="AE77" s="508"/>
      <c r="AF77" s="487"/>
      <c r="AG77" s="487"/>
      <c r="AH77" s="487"/>
      <c r="AI77" s="438"/>
      <c r="AJ77" s="508"/>
      <c r="AK77" s="487"/>
      <c r="AL77" s="487"/>
      <c r="AM77" s="487"/>
      <c r="AN77" s="438"/>
      <c r="AO77" s="508"/>
      <c r="AP77" s="487"/>
      <c r="AQ77" s="487"/>
      <c r="AR77" s="487"/>
      <c r="AS77" s="438"/>
    </row>
    <row r="78" spans="1:45" x14ac:dyDescent="0.25">
      <c r="A78" s="1319" t="s">
        <v>1674</v>
      </c>
      <c r="B78" s="1313">
        <f>+'NEW Spring CHP by DISC'!B78/15</f>
        <v>0</v>
      </c>
      <c r="C78" s="1313">
        <f>+'NEW Spring CHP by DISC'!C78/15</f>
        <v>0</v>
      </c>
      <c r="D78" s="1313">
        <f>+'NEW Spring CHP by DISC'!D78/12</f>
        <v>0</v>
      </c>
      <c r="E78" s="1311">
        <f t="shared" ref="E78:E83" si="84">SUM(B78:D78)</f>
        <v>0</v>
      </c>
      <c r="F78" s="1313">
        <f>+'NEW Spring CHP by DISC'!F78/15</f>
        <v>0</v>
      </c>
      <c r="G78" s="1313">
        <f>+'NEW Spring CHP by DISC'!G78/15</f>
        <v>0</v>
      </c>
      <c r="H78" s="1313">
        <f>+'NEW Spring CHP by DISC'!H78/12</f>
        <v>0</v>
      </c>
      <c r="I78" s="1313">
        <f t="shared" ref="I78:I83" si="85">SUM(F78:H78)</f>
        <v>0</v>
      </c>
      <c r="J78" s="1307" t="str">
        <f>IF(E78&gt;0,(I78-E78)/E78,(IF(I78=0,"N/A",100%)))</f>
        <v>N/A</v>
      </c>
      <c r="K78" s="772">
        <f>+'NEW Spring CHP by DISC'!K78/15</f>
        <v>0</v>
      </c>
      <c r="L78" s="1313">
        <f>+'NEW Spring CHP by DISC'!L78/15</f>
        <v>0</v>
      </c>
      <c r="M78" s="1313">
        <f>+'NEW Spring CHP by DISC'!M78/12</f>
        <v>0</v>
      </c>
      <c r="N78" s="1313">
        <f t="shared" ref="N78:N83" si="86">SUM(K78:M78)</f>
        <v>0</v>
      </c>
      <c r="O78" s="1339" t="str">
        <f>IF(I78&gt;0,(N78-I78)/I78,(IF(N78=0,"N/A",100%)))</f>
        <v>N/A</v>
      </c>
      <c r="P78" s="772">
        <f>+'NEW Spring CHP by DISC'!P78/15</f>
        <v>0</v>
      </c>
      <c r="Q78" s="1313">
        <f>+'NEW Spring CHP by DISC'!Q78/15</f>
        <v>0</v>
      </c>
      <c r="R78" s="1313">
        <f>+'NEW Spring CHP by DISC'!R78/12</f>
        <v>0</v>
      </c>
      <c r="S78" s="1313">
        <f t="shared" ref="S78:S83" si="87">SUM(P78:R78)</f>
        <v>0</v>
      </c>
      <c r="T78" s="1307" t="str">
        <f>IF(N78&gt;0,(S78-N78)/N78,(IF(S78=0,"N/A",100%)))</f>
        <v>N/A</v>
      </c>
      <c r="U78" s="1313">
        <f>+'NEW Spring CHP by DISC'!U78/15</f>
        <v>0</v>
      </c>
      <c r="V78" s="1313">
        <f>+'NEW Spring CHP by DISC'!V78/15</f>
        <v>0</v>
      </c>
      <c r="W78" s="1313">
        <f>+'NEW Spring CHP by DISC'!W78/12</f>
        <v>0</v>
      </c>
      <c r="X78" s="1313">
        <f t="shared" ref="X78:X83" si="88">SUM(U78:W78)</f>
        <v>0</v>
      </c>
      <c r="Y78" s="1307" t="str">
        <f>IF(S78&gt;0,(X78-S78)/S78,(IF(X78=0,"N/A",100%)))</f>
        <v>N/A</v>
      </c>
      <c r="Z78" s="1312">
        <f>+'NEW Spring CHP by DISC'!Z78/15</f>
        <v>0</v>
      </c>
      <c r="AA78" s="1312">
        <f>+'NEW Spring CHP by DISC'!AA78/15</f>
        <v>0</v>
      </c>
      <c r="AB78" s="1312">
        <f>+'NEW Spring CHP by DISC'!AB78/12</f>
        <v>0</v>
      </c>
      <c r="AC78" s="1312">
        <f t="shared" ref="AC78:AC83" si="89">SUM(Z78:AB78)</f>
        <v>0</v>
      </c>
      <c r="AD78" s="1320" t="str">
        <f>IF(X78&gt;0,(AC78-X78)/X78,(IF(AC78=0,"N/A",100%)))</f>
        <v>N/A</v>
      </c>
      <c r="AE78" s="1312">
        <f>+'NEW Spring CHP by DISC'!AE78/15</f>
        <v>0</v>
      </c>
      <c r="AF78" s="1312">
        <f>+'NEW Spring CHP by DISC'!AF78/15</f>
        <v>0</v>
      </c>
      <c r="AG78" s="1312">
        <f>+'NEW Spring CHP by DISC'!AG78/12</f>
        <v>0</v>
      </c>
      <c r="AH78" s="1312">
        <f t="shared" ref="AH78:AH83" si="90">SUM(AE78:AG78)</f>
        <v>0</v>
      </c>
      <c r="AI78" s="1320" t="str">
        <f>IF(AC78&gt;0,(AH78-AC78)/AC78,(IF(AH78=0,"N/A",100%)))</f>
        <v>N/A</v>
      </c>
      <c r="AJ78" s="1312">
        <f>+'NEW Spring CHP by DISC'!AJ78/15</f>
        <v>3.8</v>
      </c>
      <c r="AK78" s="1312">
        <f>+'NEW Spring CHP by DISC'!AK78/15</f>
        <v>0</v>
      </c>
      <c r="AL78" s="1312">
        <f>+'NEW Spring CHP by DISC'!AL78/12</f>
        <v>0</v>
      </c>
      <c r="AM78" s="1312">
        <f t="shared" ref="AM78:AM83" si="91">SUM(AJ78:AL78)</f>
        <v>3.8</v>
      </c>
      <c r="AN78" s="1320">
        <f>IF(AH78&gt;0,(AM78-AH78)/AH78,(IF(AM78=0,"N/A",100%)))</f>
        <v>1</v>
      </c>
      <c r="AO78" s="1312">
        <f>+'NEW Spring CHP by DISC'!AO78/15</f>
        <v>3.8</v>
      </c>
      <c r="AP78" s="1312">
        <f>+'NEW Spring CHP by DISC'!AP78/15</f>
        <v>0</v>
      </c>
      <c r="AQ78" s="1312">
        <f>+'NEW Spring CHP by DISC'!AQ78/12</f>
        <v>0</v>
      </c>
      <c r="AR78" s="1312">
        <f t="shared" ref="AR78:AR83" si="92">SUM(AO78:AQ78)</f>
        <v>3.8</v>
      </c>
      <c r="AS78" s="1320">
        <f t="shared" ref="AS78:AS85" si="93">IF(AM78&gt;0,(AR78-AM78)/AM78,(IF(AR78=0,"N/A",100%)))</f>
        <v>0</v>
      </c>
    </row>
    <row r="79" spans="1:45" x14ac:dyDescent="0.25">
      <c r="A79" s="1319" t="s">
        <v>1044</v>
      </c>
      <c r="B79" s="1313">
        <f>+'NEW Spring CHP by DISC'!B79/15</f>
        <v>163.4</v>
      </c>
      <c r="C79" s="1313">
        <f>+'NEW Spring CHP by DISC'!C79/15</f>
        <v>17.8</v>
      </c>
      <c r="D79" s="1313">
        <f>+'NEW Spring CHP by DISC'!D79/12</f>
        <v>0</v>
      </c>
      <c r="E79" s="1311">
        <f t="shared" si="84"/>
        <v>181.20000000000002</v>
      </c>
      <c r="F79" s="1313">
        <f>+'NEW Spring CHP by DISC'!F79/15</f>
        <v>189</v>
      </c>
      <c r="G79" s="1313">
        <f>+'NEW Spring CHP by DISC'!G79/15</f>
        <v>17.8</v>
      </c>
      <c r="H79" s="1313">
        <f>+'NEW Spring CHP by DISC'!H79/12</f>
        <v>0</v>
      </c>
      <c r="I79" s="1313">
        <f t="shared" si="85"/>
        <v>206.8</v>
      </c>
      <c r="J79" s="1307">
        <f t="shared" ref="J79:J85" si="94">IF(E79&gt;0,(I79-E79)/E79,(IF(I79=0,"N/A",100%)))</f>
        <v>0.14128035320088295</v>
      </c>
      <c r="K79" s="772">
        <f>+'NEW Spring CHP by DISC'!K79/15</f>
        <v>221.8</v>
      </c>
      <c r="L79" s="1313">
        <f>+'NEW Spring CHP by DISC'!L79/15</f>
        <v>19.666666666666668</v>
      </c>
      <c r="M79" s="1313">
        <f>+'NEW Spring CHP by DISC'!M79/12</f>
        <v>0</v>
      </c>
      <c r="N79" s="1313">
        <f t="shared" si="86"/>
        <v>241.46666666666667</v>
      </c>
      <c r="O79" s="1339">
        <f t="shared" ref="O79:O85" si="95">IF(I79&gt;0,(N79-I79)/I79,(IF(N79=0,"N/A",100%)))</f>
        <v>0.16763378465506121</v>
      </c>
      <c r="P79" s="772">
        <f>+'NEW Spring CHP by DISC'!P79/15</f>
        <v>235.4</v>
      </c>
      <c r="Q79" s="1313">
        <f>+'NEW Spring CHP by DISC'!Q79/15</f>
        <v>20.266666666666666</v>
      </c>
      <c r="R79" s="1313">
        <f>+'NEW Spring CHP by DISC'!R79/12</f>
        <v>0</v>
      </c>
      <c r="S79" s="1313">
        <f t="shared" si="87"/>
        <v>255.66666666666669</v>
      </c>
      <c r="T79" s="1307">
        <f t="shared" ref="T79:T85" si="96">IF(N79&gt;0,(S79-N79)/N79,(IF(S79=0,"N/A",100%)))</f>
        <v>5.880728879072343E-2</v>
      </c>
      <c r="U79" s="1313">
        <f>+'NEW Spring CHP by DISC'!U79/15</f>
        <v>253.66666666666666</v>
      </c>
      <c r="V79" s="1313">
        <f>+'NEW Spring CHP by DISC'!V79/15</f>
        <v>15.4</v>
      </c>
      <c r="W79" s="1313">
        <f>+'NEW Spring CHP by DISC'!W79/12</f>
        <v>0</v>
      </c>
      <c r="X79" s="1313">
        <f t="shared" si="88"/>
        <v>269.06666666666666</v>
      </c>
      <c r="Y79" s="1307">
        <f t="shared" ref="Y79:Y85" si="97">IF(S79&gt;0,(X79-S79)/S79,(IF(X79=0,"N/A",100%)))</f>
        <v>5.241199478487605E-2</v>
      </c>
      <c r="Z79" s="1312">
        <f>+'NEW Spring CHP by DISC'!Z79/15</f>
        <v>231.66666666666666</v>
      </c>
      <c r="AA79" s="1312">
        <f>+'NEW Spring CHP by DISC'!AA79/15</f>
        <v>22.2</v>
      </c>
      <c r="AB79" s="1312">
        <f>+'NEW Spring CHP by DISC'!AB79/12</f>
        <v>0</v>
      </c>
      <c r="AC79" s="1312">
        <f t="shared" si="89"/>
        <v>253.86666666666665</v>
      </c>
      <c r="AD79" s="1320">
        <f t="shared" ref="AD79:AD85" si="98">IF(X79&gt;0,(AC79-X79)/X79,(IF(AC79=0,"N/A",100%)))</f>
        <v>-5.649157581764129E-2</v>
      </c>
      <c r="AE79" s="1312">
        <f>+'NEW Spring CHP by DISC'!AE79/15</f>
        <v>201.73333333333332</v>
      </c>
      <c r="AF79" s="1312">
        <f>+'NEW Spring CHP by DISC'!AF79/15</f>
        <v>21.8</v>
      </c>
      <c r="AG79" s="1312">
        <f>+'NEW Spring CHP by DISC'!AG79/12</f>
        <v>0</v>
      </c>
      <c r="AH79" s="1312">
        <f t="shared" si="90"/>
        <v>223.53333333333333</v>
      </c>
      <c r="AI79" s="1320">
        <f t="shared" ref="AI79:AI85" si="99">IF(AC79&gt;0,(AH79-AC79)/AC79,(IF(AH79=0,"N/A",100%)))</f>
        <v>-0.119485294117647</v>
      </c>
      <c r="AJ79" s="1312">
        <f>+'NEW Spring CHP by DISC'!AJ79/15</f>
        <v>199.26666666666668</v>
      </c>
      <c r="AK79" s="1312">
        <f>+'NEW Spring CHP by DISC'!AK79/15</f>
        <v>14.533333333333333</v>
      </c>
      <c r="AL79" s="1312">
        <f>+'NEW Spring CHP by DISC'!AL79/12</f>
        <v>0</v>
      </c>
      <c r="AM79" s="1312">
        <f t="shared" si="91"/>
        <v>213.8</v>
      </c>
      <c r="AN79" s="1320">
        <f t="shared" ref="AN79:AN85" si="100">IF(AH79&gt;0,(AM79-AH79)/AH79,(IF(AM79=0,"N/A",100%)))</f>
        <v>-4.3543095735162483E-2</v>
      </c>
      <c r="AO79" s="1312">
        <f>+'NEW Spring CHP by DISC'!AO79/15</f>
        <v>97.4</v>
      </c>
      <c r="AP79" s="1312">
        <f>+'NEW Spring CHP by DISC'!AP79/15</f>
        <v>102.4</v>
      </c>
      <c r="AQ79" s="1312">
        <f>+'NEW Spring CHP by DISC'!AQ79/12</f>
        <v>0</v>
      </c>
      <c r="AR79" s="1312">
        <f t="shared" si="92"/>
        <v>199.8</v>
      </c>
      <c r="AS79" s="1320">
        <f t="shared" si="93"/>
        <v>-6.548175865294667E-2</v>
      </c>
    </row>
    <row r="80" spans="1:45" x14ac:dyDescent="0.25">
      <c r="A80" s="1319" t="s">
        <v>1555</v>
      </c>
      <c r="B80" s="1313">
        <f>+'NEW Spring CHP by DISC'!B80/15</f>
        <v>0</v>
      </c>
      <c r="C80" s="1313">
        <f>+'NEW Spring CHP by DISC'!C80/15</f>
        <v>0</v>
      </c>
      <c r="D80" s="1313">
        <f>+'NEW Spring CHP by DISC'!D80/12</f>
        <v>0</v>
      </c>
      <c r="E80" s="1311">
        <f t="shared" si="84"/>
        <v>0</v>
      </c>
      <c r="F80" s="1313">
        <f>+'NEW Spring CHP by DISC'!F80/15</f>
        <v>0</v>
      </c>
      <c r="G80" s="1313">
        <f>+'NEW Spring CHP by DISC'!G80/15</f>
        <v>0</v>
      </c>
      <c r="H80" s="1313">
        <f>+'NEW Spring CHP by DISC'!H80/12</f>
        <v>0</v>
      </c>
      <c r="I80" s="1313">
        <f t="shared" si="85"/>
        <v>0</v>
      </c>
      <c r="J80" s="1307" t="str">
        <f t="shared" si="94"/>
        <v>N/A</v>
      </c>
      <c r="K80" s="772">
        <f>+'NEW Spring CHP by DISC'!K80/15</f>
        <v>0</v>
      </c>
      <c r="L80" s="1313">
        <f>+'NEW Spring CHP by DISC'!L80/15</f>
        <v>0</v>
      </c>
      <c r="M80" s="1313">
        <f>+'NEW Spring CHP by DISC'!M80/12</f>
        <v>0</v>
      </c>
      <c r="N80" s="1313">
        <f t="shared" si="86"/>
        <v>0</v>
      </c>
      <c r="O80" s="1339" t="str">
        <f t="shared" si="95"/>
        <v>N/A</v>
      </c>
      <c r="P80" s="772">
        <f>+'NEW Spring CHP by DISC'!P80/15</f>
        <v>0</v>
      </c>
      <c r="Q80" s="1313">
        <f>+'NEW Spring CHP by DISC'!Q80/15</f>
        <v>0</v>
      </c>
      <c r="R80" s="1313">
        <f>+'NEW Spring CHP by DISC'!R80/12</f>
        <v>0</v>
      </c>
      <c r="S80" s="1313">
        <f t="shared" si="87"/>
        <v>0</v>
      </c>
      <c r="T80" s="1307" t="str">
        <f t="shared" si="96"/>
        <v>N/A</v>
      </c>
      <c r="U80" s="1313">
        <f>+'NEW Spring CHP by DISC'!U80/15</f>
        <v>0</v>
      </c>
      <c r="V80" s="1313">
        <f>+'NEW Spring CHP by DISC'!V80/15</f>
        <v>0</v>
      </c>
      <c r="W80" s="1313">
        <f>+'NEW Spring CHP by DISC'!W80/12</f>
        <v>0</v>
      </c>
      <c r="X80" s="1313">
        <f t="shared" si="88"/>
        <v>0</v>
      </c>
      <c r="Y80" s="1307" t="str">
        <f t="shared" si="97"/>
        <v>N/A</v>
      </c>
      <c r="Z80" s="1312">
        <f>+'NEW Spring CHP by DISC'!Z80/15</f>
        <v>0</v>
      </c>
      <c r="AA80" s="1312">
        <f>+'NEW Spring CHP by DISC'!AA80/15</f>
        <v>0</v>
      </c>
      <c r="AB80" s="1312">
        <f>+'NEW Spring CHP by DISC'!AB80/12</f>
        <v>0</v>
      </c>
      <c r="AC80" s="1312">
        <f t="shared" si="89"/>
        <v>0</v>
      </c>
      <c r="AD80" s="1320" t="str">
        <f t="shared" si="98"/>
        <v>N/A</v>
      </c>
      <c r="AE80" s="1312">
        <f>+'NEW Spring CHP by DISC'!AE80/15</f>
        <v>0.4</v>
      </c>
      <c r="AF80" s="1312">
        <f>+'NEW Spring CHP by DISC'!AF80/15</f>
        <v>0</v>
      </c>
      <c r="AG80" s="1312">
        <f>+'NEW Spring CHP by DISC'!AG80/12</f>
        <v>0</v>
      </c>
      <c r="AH80" s="1312">
        <f t="shared" si="90"/>
        <v>0.4</v>
      </c>
      <c r="AI80" s="1320">
        <f t="shared" si="99"/>
        <v>1</v>
      </c>
      <c r="AJ80" s="1312">
        <f>+'NEW Spring CHP by DISC'!AJ80/15</f>
        <v>0.8</v>
      </c>
      <c r="AK80" s="1312">
        <f>+'NEW Spring CHP by DISC'!AK80/15</f>
        <v>0</v>
      </c>
      <c r="AL80" s="1312">
        <f>+'NEW Spring CHP by DISC'!AL80/12</f>
        <v>0</v>
      </c>
      <c r="AM80" s="1312">
        <f t="shared" si="91"/>
        <v>0.8</v>
      </c>
      <c r="AN80" s="1320">
        <f t="shared" si="100"/>
        <v>1</v>
      </c>
      <c r="AO80" s="1312">
        <f>+'NEW Spring CHP by DISC'!AO80/15</f>
        <v>3.6</v>
      </c>
      <c r="AP80" s="1312">
        <f>+'NEW Spring CHP by DISC'!AP80/15</f>
        <v>0</v>
      </c>
      <c r="AQ80" s="1312">
        <f>+'NEW Spring CHP by DISC'!AQ80/12</f>
        <v>0</v>
      </c>
      <c r="AR80" s="1312">
        <f t="shared" si="92"/>
        <v>3.6</v>
      </c>
      <c r="AS80" s="1320">
        <f t="shared" si="93"/>
        <v>3.4999999999999996</v>
      </c>
    </row>
    <row r="81" spans="1:45" x14ac:dyDescent="0.25">
      <c r="A81" s="1319" t="s">
        <v>1045</v>
      </c>
      <c r="B81" s="1313">
        <f>+'NEW Spring CHP by DISC'!B81/15</f>
        <v>7.2</v>
      </c>
      <c r="C81" s="1313">
        <f>+'NEW Spring CHP by DISC'!C81/15</f>
        <v>0</v>
      </c>
      <c r="D81" s="1313">
        <f>+'NEW Spring CHP by DISC'!D81/12</f>
        <v>0</v>
      </c>
      <c r="E81" s="1311">
        <f t="shared" si="84"/>
        <v>7.2</v>
      </c>
      <c r="F81" s="1313">
        <f>+'NEW Spring CHP by DISC'!F81/15</f>
        <v>7.4</v>
      </c>
      <c r="G81" s="1313">
        <f>+'NEW Spring CHP by DISC'!G81/15</f>
        <v>0</v>
      </c>
      <c r="H81" s="1313">
        <f>+'NEW Spring CHP by DISC'!H81/12</f>
        <v>0</v>
      </c>
      <c r="I81" s="1313">
        <f t="shared" si="85"/>
        <v>7.4</v>
      </c>
      <c r="J81" s="1307">
        <f t="shared" si="94"/>
        <v>2.7777777777777801E-2</v>
      </c>
      <c r="K81" s="772">
        <f>+'NEW Spring CHP by DISC'!K81/15</f>
        <v>7.6</v>
      </c>
      <c r="L81" s="1313">
        <f>+'NEW Spring CHP by DISC'!L81/15</f>
        <v>0.2</v>
      </c>
      <c r="M81" s="1313">
        <f>+'NEW Spring CHP by DISC'!M81/12</f>
        <v>0</v>
      </c>
      <c r="N81" s="1313">
        <f t="shared" si="86"/>
        <v>7.8</v>
      </c>
      <c r="O81" s="1339">
        <f t="shared" si="95"/>
        <v>5.4054054054053981E-2</v>
      </c>
      <c r="P81" s="772">
        <f>+'NEW Spring CHP by DISC'!P81/15</f>
        <v>8</v>
      </c>
      <c r="Q81" s="1313">
        <f>+'NEW Spring CHP by DISC'!Q81/15</f>
        <v>0</v>
      </c>
      <c r="R81" s="1313">
        <f>+'NEW Spring CHP by DISC'!R81/12</f>
        <v>0</v>
      </c>
      <c r="S81" s="1313">
        <f t="shared" si="87"/>
        <v>8</v>
      </c>
      <c r="T81" s="1307">
        <f t="shared" si="96"/>
        <v>2.5641025641025664E-2</v>
      </c>
      <c r="U81" s="1313">
        <f>+'NEW Spring CHP by DISC'!U81/15</f>
        <v>8.8000000000000007</v>
      </c>
      <c r="V81" s="1313">
        <f>+'NEW Spring CHP by DISC'!V81/15</f>
        <v>0.6</v>
      </c>
      <c r="W81" s="1313">
        <f>+'NEW Spring CHP by DISC'!W81/12</f>
        <v>0</v>
      </c>
      <c r="X81" s="1313">
        <f t="shared" si="88"/>
        <v>9.4</v>
      </c>
      <c r="Y81" s="1307">
        <f t="shared" si="97"/>
        <v>0.17500000000000004</v>
      </c>
      <c r="Z81" s="1312">
        <f>+'NEW Spring CHP by DISC'!Z81/15</f>
        <v>13.6</v>
      </c>
      <c r="AA81" s="1312">
        <f>+'NEW Spring CHP by DISC'!AA81/15</f>
        <v>0.4</v>
      </c>
      <c r="AB81" s="1312">
        <f>+'NEW Spring CHP by DISC'!AB81/12</f>
        <v>0</v>
      </c>
      <c r="AC81" s="1312">
        <f t="shared" si="89"/>
        <v>14</v>
      </c>
      <c r="AD81" s="1320">
        <f t="shared" si="98"/>
        <v>0.4893617021276595</v>
      </c>
      <c r="AE81" s="1312">
        <f>+'NEW Spring CHP by DISC'!AE81/15</f>
        <v>13.8</v>
      </c>
      <c r="AF81" s="1312">
        <f>+'NEW Spring CHP by DISC'!AF81/15</f>
        <v>0</v>
      </c>
      <c r="AG81" s="1312">
        <f>+'NEW Spring CHP by DISC'!AG81/12</f>
        <v>0</v>
      </c>
      <c r="AH81" s="1312">
        <f t="shared" si="90"/>
        <v>13.8</v>
      </c>
      <c r="AI81" s="1320">
        <f t="shared" si="99"/>
        <v>-1.4285714285714235E-2</v>
      </c>
      <c r="AJ81" s="1312">
        <f>+'NEW Spring CHP by DISC'!AJ81/15</f>
        <v>11.2</v>
      </c>
      <c r="AK81" s="1312">
        <f>+'NEW Spring CHP by DISC'!AK81/15</f>
        <v>0</v>
      </c>
      <c r="AL81" s="1312">
        <f>+'NEW Spring CHP by DISC'!AL81/12</f>
        <v>0</v>
      </c>
      <c r="AM81" s="1312">
        <f t="shared" si="91"/>
        <v>11.2</v>
      </c>
      <c r="AN81" s="1320">
        <f t="shared" si="100"/>
        <v>-0.18840579710144936</v>
      </c>
      <c r="AO81" s="1312">
        <f>+'NEW Spring CHP by DISC'!AO81/15</f>
        <v>7.8</v>
      </c>
      <c r="AP81" s="1312">
        <f>+'NEW Spring CHP by DISC'!AP81/15</f>
        <v>1.6</v>
      </c>
      <c r="AQ81" s="1312">
        <f>+'NEW Spring CHP by DISC'!AQ81/12</f>
        <v>0</v>
      </c>
      <c r="AR81" s="1312">
        <f t="shared" si="92"/>
        <v>9.4</v>
      </c>
      <c r="AS81" s="1320">
        <f t="shared" si="93"/>
        <v>-0.16071428571428564</v>
      </c>
    </row>
    <row r="82" spans="1:45" x14ac:dyDescent="0.25">
      <c r="A82" s="1319" t="s">
        <v>1739</v>
      </c>
      <c r="B82" s="1313">
        <f>+'NEW Spring CHP by DISC'!B82/15</f>
        <v>0</v>
      </c>
      <c r="C82" s="1313">
        <f>+'NEW Spring CHP by DISC'!C82/15</f>
        <v>0</v>
      </c>
      <c r="D82" s="1313">
        <f>+'NEW Spring CHP by DISC'!D82/12</f>
        <v>0</v>
      </c>
      <c r="E82" s="1311">
        <f t="shared" si="84"/>
        <v>0</v>
      </c>
      <c r="F82" s="1313">
        <f>+'NEW Spring CHP by DISC'!F82/15</f>
        <v>0</v>
      </c>
      <c r="G82" s="1313">
        <f>+'NEW Spring CHP by DISC'!G82/15</f>
        <v>0</v>
      </c>
      <c r="H82" s="1313">
        <f>+'NEW Spring CHP by DISC'!H82/12</f>
        <v>0</v>
      </c>
      <c r="I82" s="1313">
        <f t="shared" si="85"/>
        <v>0</v>
      </c>
      <c r="J82" s="1307" t="str">
        <f>IF(E82&gt;0,(I82-E82)/E82,(IF(I82=0,"N/A",100%)))</f>
        <v>N/A</v>
      </c>
      <c r="K82" s="772">
        <f>+'NEW Spring CHP by DISC'!K82/15</f>
        <v>0</v>
      </c>
      <c r="L82" s="1313">
        <f>+'NEW Spring CHP by DISC'!L82/15</f>
        <v>0</v>
      </c>
      <c r="M82" s="1313">
        <f>+'NEW Spring CHP by DISC'!M82/12</f>
        <v>0</v>
      </c>
      <c r="N82" s="1313">
        <f t="shared" si="86"/>
        <v>0</v>
      </c>
      <c r="O82" s="1339" t="str">
        <f>IF(I82&gt;0,(N82-I82)/I82,(IF(N82=0,"N/A",100%)))</f>
        <v>N/A</v>
      </c>
      <c r="P82" s="772">
        <f>+'NEW Spring CHP by DISC'!P82/15</f>
        <v>0</v>
      </c>
      <c r="Q82" s="1313">
        <f>+'NEW Spring CHP by DISC'!Q82/15</f>
        <v>0</v>
      </c>
      <c r="R82" s="1313">
        <f>+'NEW Spring CHP by DISC'!R82/12</f>
        <v>0</v>
      </c>
      <c r="S82" s="1313">
        <f t="shared" si="87"/>
        <v>0</v>
      </c>
      <c r="T82" s="1307" t="str">
        <f>IF(N82&gt;0,(S82-N82)/N82,(IF(S82=0,"N/A",100%)))</f>
        <v>N/A</v>
      </c>
      <c r="U82" s="1313">
        <f>+'NEW Spring CHP by DISC'!U82/15</f>
        <v>0</v>
      </c>
      <c r="V82" s="1313">
        <f>+'NEW Spring CHP by DISC'!V82/15</f>
        <v>0</v>
      </c>
      <c r="W82" s="1313">
        <f>+'NEW Spring CHP by DISC'!W82/12</f>
        <v>0</v>
      </c>
      <c r="X82" s="1313">
        <f t="shared" si="88"/>
        <v>0</v>
      </c>
      <c r="Y82" s="1307" t="str">
        <f>IF(S82&gt;0,(X82-S82)/S82,(IF(X82=0,"N/A",100%)))</f>
        <v>N/A</v>
      </c>
      <c r="Z82" s="1312">
        <f>+'NEW Spring CHP by DISC'!Z82/15</f>
        <v>0</v>
      </c>
      <c r="AA82" s="1312">
        <f>+'NEW Spring CHP by DISC'!AA82/15</f>
        <v>0</v>
      </c>
      <c r="AB82" s="1312">
        <f>+'NEW Spring CHP by DISC'!AB82/12</f>
        <v>0</v>
      </c>
      <c r="AC82" s="1312">
        <f t="shared" si="89"/>
        <v>0</v>
      </c>
      <c r="AD82" s="1320" t="str">
        <f>IF(X82&gt;0,(AC82-X82)/X82,(IF(AC82=0,"N/A",100%)))</f>
        <v>N/A</v>
      </c>
      <c r="AE82" s="1312">
        <f>+'NEW Spring CHP by DISC'!AE82/15</f>
        <v>0</v>
      </c>
      <c r="AF82" s="1312">
        <f>+'NEW Spring CHP by DISC'!AF82/15</f>
        <v>0</v>
      </c>
      <c r="AG82" s="1312">
        <f>+'NEW Spring CHP by DISC'!AG82/12</f>
        <v>0</v>
      </c>
      <c r="AH82" s="1312">
        <f t="shared" si="90"/>
        <v>0</v>
      </c>
      <c r="AI82" s="1320" t="str">
        <f>IF(AC82&gt;0,(AH82-AC82)/AC82,(IF(AH82=0,"N/A",100%)))</f>
        <v>N/A</v>
      </c>
      <c r="AJ82" s="1312">
        <f>+'NEW Spring CHP by DISC'!AJ82/15</f>
        <v>0</v>
      </c>
      <c r="AK82" s="1312">
        <f>+'NEW Spring CHP by DISC'!AK82/15</f>
        <v>0</v>
      </c>
      <c r="AL82" s="1312">
        <f>+'NEW Spring CHP by DISC'!AL82/12</f>
        <v>0</v>
      </c>
      <c r="AM82" s="1312">
        <f t="shared" si="91"/>
        <v>0</v>
      </c>
      <c r="AN82" s="1320" t="str">
        <f>IF(AH82&gt;0,(AM82-AH82)/AH82,(IF(AM82=0,"N/A",100%)))</f>
        <v>N/A</v>
      </c>
      <c r="AO82" s="1312">
        <f>+'NEW Spring CHP by DISC'!AO82/15</f>
        <v>1</v>
      </c>
      <c r="AP82" s="1312">
        <f>+'NEW Spring CHP by DISC'!AP82/15</f>
        <v>0</v>
      </c>
      <c r="AQ82" s="1312">
        <f>+'NEW Spring CHP by DISC'!AQ82/12</f>
        <v>0</v>
      </c>
      <c r="AR82" s="1312">
        <f t="shared" si="92"/>
        <v>1</v>
      </c>
      <c r="AS82" s="1320">
        <f t="shared" si="93"/>
        <v>1</v>
      </c>
    </row>
    <row r="83" spans="1:45" x14ac:dyDescent="0.25">
      <c r="A83" s="1319" t="s">
        <v>1049</v>
      </c>
      <c r="B83" s="1313">
        <f>+'NEW Spring CHP by DISC'!B83/15</f>
        <v>53.4</v>
      </c>
      <c r="C83" s="1313">
        <f>+'NEW Spring CHP by DISC'!C83/15</f>
        <v>1.2</v>
      </c>
      <c r="D83" s="1313">
        <f>+'NEW Spring CHP by DISC'!D83/12</f>
        <v>0</v>
      </c>
      <c r="E83" s="1311">
        <f t="shared" si="84"/>
        <v>54.6</v>
      </c>
      <c r="F83" s="1313">
        <f>+'NEW Spring CHP by DISC'!F83/15</f>
        <v>50.8</v>
      </c>
      <c r="G83" s="1313">
        <f>+'NEW Spring CHP by DISC'!G83/15</f>
        <v>1.7333333333333334</v>
      </c>
      <c r="H83" s="1313">
        <f>+'NEW Spring CHP by DISC'!H83/12</f>
        <v>0</v>
      </c>
      <c r="I83" s="1313">
        <f t="shared" si="85"/>
        <v>52.533333333333331</v>
      </c>
      <c r="J83" s="1307">
        <f t="shared" si="94"/>
        <v>-3.7851037851037911E-2</v>
      </c>
      <c r="K83" s="772">
        <f>+'NEW Spring CHP by DISC'!K83/15</f>
        <v>54.466666666666669</v>
      </c>
      <c r="L83" s="1313">
        <f>+'NEW Spring CHP by DISC'!L83/15</f>
        <v>4</v>
      </c>
      <c r="M83" s="1313">
        <f>+'NEW Spring CHP by DISC'!M83/12</f>
        <v>0</v>
      </c>
      <c r="N83" s="1313">
        <f t="shared" si="86"/>
        <v>58.466666666666669</v>
      </c>
      <c r="O83" s="1339">
        <f t="shared" si="95"/>
        <v>0.1129441624365483</v>
      </c>
      <c r="P83" s="772">
        <f>+'NEW Spring CHP by DISC'!P83/15</f>
        <v>72.400000000000006</v>
      </c>
      <c r="Q83" s="1313">
        <f>+'NEW Spring CHP by DISC'!Q83/15</f>
        <v>4.4000000000000004</v>
      </c>
      <c r="R83" s="1313">
        <f>+'NEW Spring CHP by DISC'!R83/12</f>
        <v>0</v>
      </c>
      <c r="S83" s="1313">
        <f t="shared" si="87"/>
        <v>76.800000000000011</v>
      </c>
      <c r="T83" s="1307">
        <f t="shared" si="96"/>
        <v>0.31356898517673903</v>
      </c>
      <c r="U83" s="1313">
        <f>+'NEW Spring CHP by DISC'!U83/15</f>
        <v>85.2</v>
      </c>
      <c r="V83" s="1313">
        <f>+'NEW Spring CHP by DISC'!V83/15</f>
        <v>4.5999999999999996</v>
      </c>
      <c r="W83" s="1313">
        <f>+'NEW Spring CHP by DISC'!W83/12</f>
        <v>0</v>
      </c>
      <c r="X83" s="1313">
        <f t="shared" si="88"/>
        <v>89.8</v>
      </c>
      <c r="Y83" s="1307">
        <f t="shared" si="97"/>
        <v>0.16927083333333312</v>
      </c>
      <c r="Z83" s="1312">
        <f>+'NEW Spring CHP by DISC'!Z83/15</f>
        <v>96.2</v>
      </c>
      <c r="AA83" s="1312">
        <f>+'NEW Spring CHP by DISC'!AA83/15</f>
        <v>6.4</v>
      </c>
      <c r="AB83" s="1312">
        <f>+'NEW Spring CHP by DISC'!AB83/12</f>
        <v>0</v>
      </c>
      <c r="AC83" s="1312">
        <f t="shared" si="89"/>
        <v>102.60000000000001</v>
      </c>
      <c r="AD83" s="1320">
        <f t="shared" si="98"/>
        <v>0.14253897550111372</v>
      </c>
      <c r="AE83" s="1312">
        <f>+'NEW Spring CHP by DISC'!AE83/15</f>
        <v>91.8</v>
      </c>
      <c r="AF83" s="1312">
        <f>+'NEW Spring CHP by DISC'!AF83/15</f>
        <v>3.2666666666666666</v>
      </c>
      <c r="AG83" s="1312">
        <f>+'NEW Spring CHP by DISC'!AG83/12</f>
        <v>0</v>
      </c>
      <c r="AH83" s="1312">
        <f t="shared" si="90"/>
        <v>95.066666666666663</v>
      </c>
      <c r="AI83" s="1320">
        <f t="shared" si="99"/>
        <v>-7.3424301494477054E-2</v>
      </c>
      <c r="AJ83" s="1312">
        <f>+'NEW Spring CHP by DISC'!AJ83/15</f>
        <v>78</v>
      </c>
      <c r="AK83" s="1312">
        <f>+'NEW Spring CHP by DISC'!AK83/15</f>
        <v>2.6</v>
      </c>
      <c r="AL83" s="1312">
        <f>+'NEW Spring CHP by DISC'!AL83/12</f>
        <v>0</v>
      </c>
      <c r="AM83" s="1312">
        <f t="shared" si="91"/>
        <v>80.599999999999994</v>
      </c>
      <c r="AN83" s="1320">
        <f t="shared" si="100"/>
        <v>-0.1521739130434783</v>
      </c>
      <c r="AO83" s="1312">
        <f>+'NEW Spring CHP by DISC'!AO83/15</f>
        <v>63.8</v>
      </c>
      <c r="AP83" s="1312">
        <f>+'NEW Spring CHP by DISC'!AP83/15</f>
        <v>8.4</v>
      </c>
      <c r="AQ83" s="1312">
        <f>+'NEW Spring CHP by DISC'!AQ83/12</f>
        <v>0</v>
      </c>
      <c r="AR83" s="1312">
        <f t="shared" si="92"/>
        <v>72.2</v>
      </c>
      <c r="AS83" s="1320">
        <f t="shared" si="93"/>
        <v>-0.10421836228287831</v>
      </c>
    </row>
    <row r="84" spans="1:45" s="484" customFormat="1" ht="13.8" x14ac:dyDescent="0.25">
      <c r="A84" s="1345" t="s">
        <v>1015</v>
      </c>
      <c r="B84" s="1340">
        <f t="shared" ref="B84:I84" si="101">SUM(B78:B83)</f>
        <v>224</v>
      </c>
      <c r="C84" s="1340">
        <f t="shared" si="101"/>
        <v>19</v>
      </c>
      <c r="D84" s="1340">
        <f t="shared" si="101"/>
        <v>0</v>
      </c>
      <c r="E84" s="495">
        <f t="shared" si="101"/>
        <v>243</v>
      </c>
      <c r="F84" s="1340">
        <f t="shared" si="101"/>
        <v>247.2</v>
      </c>
      <c r="G84" s="1340">
        <f t="shared" si="101"/>
        <v>19.533333333333335</v>
      </c>
      <c r="H84" s="1340">
        <f t="shared" si="101"/>
        <v>0</v>
      </c>
      <c r="I84" s="1340">
        <f t="shared" si="101"/>
        <v>266.73333333333335</v>
      </c>
      <c r="J84" s="1323">
        <f t="shared" si="94"/>
        <v>9.7668038408779217E-2</v>
      </c>
      <c r="K84" s="1340">
        <f>SUM(K78:K83)</f>
        <v>283.86666666666667</v>
      </c>
      <c r="L84" s="1340">
        <f>SUM(L78:L83)</f>
        <v>23.866666666666667</v>
      </c>
      <c r="M84" s="1340">
        <f>SUM(M78:M83)</f>
        <v>0</v>
      </c>
      <c r="N84" s="1340">
        <f>SUM(N78:N83)</f>
        <v>307.73333333333335</v>
      </c>
      <c r="O84" s="1323">
        <f t="shared" si="95"/>
        <v>0.15371157210697325</v>
      </c>
      <c r="P84" s="1340">
        <f>SUM(P78:P83)</f>
        <v>315.8</v>
      </c>
      <c r="Q84" s="1340">
        <f>SUM(Q78:Q83)</f>
        <v>24.666666666666664</v>
      </c>
      <c r="R84" s="1340">
        <f>SUM(R78:R83)</f>
        <v>0</v>
      </c>
      <c r="S84" s="1340">
        <f>SUM(S78:S83)</f>
        <v>340.4666666666667</v>
      </c>
      <c r="T84" s="1323">
        <f t="shared" si="96"/>
        <v>0.10636915077989606</v>
      </c>
      <c r="U84" s="1340">
        <f>SUM(U78:U83)</f>
        <v>347.66666666666663</v>
      </c>
      <c r="V84" s="1340">
        <f>SUM(V78:V83)</f>
        <v>20.6</v>
      </c>
      <c r="W84" s="1340">
        <f>SUM(W78:W83)</f>
        <v>0</v>
      </c>
      <c r="X84" s="1340">
        <f>SUM(X78:X83)</f>
        <v>368.26666666666665</v>
      </c>
      <c r="Y84" s="1323">
        <f t="shared" si="97"/>
        <v>8.1652633640101682E-2</v>
      </c>
      <c r="Z84" s="1340">
        <f>SUM(Z78:Z83)</f>
        <v>341.46666666666664</v>
      </c>
      <c r="AA84" s="1340">
        <f>SUM(AA78:AA83)</f>
        <v>29</v>
      </c>
      <c r="AB84" s="1340">
        <f>SUM(AB78:AB83)</f>
        <v>0</v>
      </c>
      <c r="AC84" s="1340">
        <f>SUM(AC78:AC83)</f>
        <v>370.4666666666667</v>
      </c>
      <c r="AD84" s="1324">
        <f t="shared" si="98"/>
        <v>5.9739319333817313E-3</v>
      </c>
      <c r="AE84" s="1340">
        <f>SUM(AE78:AE83)</f>
        <v>307.73333333333335</v>
      </c>
      <c r="AF84" s="1340">
        <f>SUM(AF78:AF83)</f>
        <v>25.066666666666666</v>
      </c>
      <c r="AG84" s="1340">
        <f>SUM(AG78:AG83)</f>
        <v>0</v>
      </c>
      <c r="AH84" s="1340">
        <f>SUM(AH78:AH83)</f>
        <v>332.8</v>
      </c>
      <c r="AI84" s="1324">
        <f t="shared" si="99"/>
        <v>-0.10167356487313303</v>
      </c>
      <c r="AJ84" s="1340">
        <f>SUM(AJ78:AJ83)</f>
        <v>293.06666666666672</v>
      </c>
      <c r="AK84" s="1340">
        <f>SUM(AK78:AK83)</f>
        <v>17.133333333333333</v>
      </c>
      <c r="AL84" s="1340">
        <f>SUM(AL78:AL83)</f>
        <v>0</v>
      </c>
      <c r="AM84" s="1340">
        <f>SUM(AM78:AM83)</f>
        <v>310.20000000000005</v>
      </c>
      <c r="AN84" s="1324">
        <f t="shared" si="100"/>
        <v>-6.7908653846153744E-2</v>
      </c>
      <c r="AO84" s="1340">
        <f>SUM(AO78:AO83)</f>
        <v>177.39999999999998</v>
      </c>
      <c r="AP84" s="1340">
        <f>SUM(AP78:AP83)</f>
        <v>112.4</v>
      </c>
      <c r="AQ84" s="1340">
        <f>SUM(AQ78:AQ83)</f>
        <v>0</v>
      </c>
      <c r="AR84" s="1340">
        <f>SUM(AR78:AR83)</f>
        <v>289.8</v>
      </c>
      <c r="AS84" s="1324">
        <f t="shared" si="93"/>
        <v>-6.5764023210831815E-2</v>
      </c>
    </row>
    <row r="85" spans="1:45" s="502" customFormat="1" ht="16.2" thickBot="1" x14ac:dyDescent="0.35">
      <c r="A85" s="1328" t="s">
        <v>423</v>
      </c>
      <c r="B85" s="988">
        <f t="shared" ref="B85:I85" si="102">+B54+B62+B69+B76+B84</f>
        <v>484.06666666666666</v>
      </c>
      <c r="C85" s="988">
        <f t="shared" si="102"/>
        <v>167.93333333333334</v>
      </c>
      <c r="D85" s="988">
        <f t="shared" si="102"/>
        <v>0</v>
      </c>
      <c r="E85" s="1337">
        <f t="shared" si="102"/>
        <v>652</v>
      </c>
      <c r="F85" s="988">
        <f t="shared" si="102"/>
        <v>555</v>
      </c>
      <c r="G85" s="988">
        <f t="shared" si="102"/>
        <v>164.79999999999998</v>
      </c>
      <c r="H85" s="988">
        <f t="shared" si="102"/>
        <v>0</v>
      </c>
      <c r="I85" s="988">
        <f t="shared" si="102"/>
        <v>719.8</v>
      </c>
      <c r="J85" s="1050">
        <f t="shared" si="94"/>
        <v>0.10398773006134962</v>
      </c>
      <c r="K85" s="1347">
        <f>+K54+K62+K69+K76+K84</f>
        <v>657.86666666666667</v>
      </c>
      <c r="L85" s="1347">
        <f>+L54+L62+L69+L76+L84</f>
        <v>169.60000000000002</v>
      </c>
      <c r="M85" s="1347">
        <f>+M54+M62+M69+M76+M84</f>
        <v>0</v>
      </c>
      <c r="N85" s="1347">
        <f>+N54+N62+N69+N76+N84</f>
        <v>827.4666666666667</v>
      </c>
      <c r="O85" s="1348">
        <f t="shared" si="95"/>
        <v>0.14957858664443838</v>
      </c>
      <c r="P85" s="1329">
        <f>+P54+P62+P69+P76+P84</f>
        <v>726.4666666666667</v>
      </c>
      <c r="Q85" s="988">
        <f>+Q54+Q62+Q69+Q76+Q84</f>
        <v>143.66666666666666</v>
      </c>
      <c r="R85" s="988">
        <f>+R54+R62+R69+R76+R84</f>
        <v>0</v>
      </c>
      <c r="S85" s="988">
        <f>+S54+S62+S69+S76+S84</f>
        <v>870.13333333333344</v>
      </c>
      <c r="T85" s="1330">
        <f t="shared" si="96"/>
        <v>5.1563003544956583E-2</v>
      </c>
      <c r="U85" s="988">
        <f>+U54+U62+U69+U76+U84</f>
        <v>720.93333333333328</v>
      </c>
      <c r="V85" s="988">
        <f>+V54+V62+V69+V76+V84</f>
        <v>157.26666666666665</v>
      </c>
      <c r="W85" s="988">
        <f>+W54+W62+W69+W76+W84</f>
        <v>0</v>
      </c>
      <c r="X85" s="988">
        <f>+X54+X62+X69+X76+X84</f>
        <v>878.19999999999993</v>
      </c>
      <c r="Y85" s="1330">
        <f t="shared" si="97"/>
        <v>9.2706098682192283E-3</v>
      </c>
      <c r="Z85" s="1331">
        <f>+Z54+Z62+Z69+Z76+Z84</f>
        <v>653.06666666666661</v>
      </c>
      <c r="AA85" s="1331">
        <f>+AA54+AA62+AA69+AA76+AA84</f>
        <v>183.53333333333333</v>
      </c>
      <c r="AB85" s="1331">
        <f>+AB54+AB62+AB69+AB76+AB84</f>
        <v>0.25</v>
      </c>
      <c r="AC85" s="1331">
        <f>+AC54+AC62+AC69+AC76+AC84</f>
        <v>836.85</v>
      </c>
      <c r="AD85" s="1333">
        <f t="shared" si="98"/>
        <v>-4.708494648143921E-2</v>
      </c>
      <c r="AE85" s="1331">
        <f>+AE54+AE62+AE69+AE76+AE84</f>
        <v>605.66666666666674</v>
      </c>
      <c r="AF85" s="1331">
        <f>+AF54+AF62+AF69+AF76+AF84</f>
        <v>166.93333333333334</v>
      </c>
      <c r="AG85" s="1331">
        <f>+AG54+AG62+AG69+AG76+AG84</f>
        <v>0</v>
      </c>
      <c r="AH85" s="1331">
        <f>+AH54+AH62+AH69+AH76+AH84</f>
        <v>772.59999999999991</v>
      </c>
      <c r="AI85" s="1333">
        <f t="shared" si="99"/>
        <v>-7.6776005257812169E-2</v>
      </c>
      <c r="AJ85" s="1331">
        <f>+AJ54+AJ62+AJ69+AJ76+AJ84</f>
        <v>573.4666666666667</v>
      </c>
      <c r="AK85" s="1331">
        <f>+AK54+AK62+AK69+AK76+AK84</f>
        <v>135.33333333333334</v>
      </c>
      <c r="AL85" s="1331">
        <f>+AL54+AL62+AL69+AL76+AL84</f>
        <v>0</v>
      </c>
      <c r="AM85" s="1331">
        <f>+AM54+AM62+AM69+AM76+AM84</f>
        <v>708.80000000000007</v>
      </c>
      <c r="AN85" s="1333">
        <f t="shared" si="100"/>
        <v>-8.2578307015272912E-2</v>
      </c>
      <c r="AO85" s="1331">
        <f>+AO54+AO62+AO69+AO76+AO84</f>
        <v>396.73333333333335</v>
      </c>
      <c r="AP85" s="1331">
        <f>+AP54+AP62+AP69+AP76+AP84</f>
        <v>301.5333333333333</v>
      </c>
      <c r="AQ85" s="1331">
        <f>+AQ54+AQ62+AQ69+AQ76+AQ84</f>
        <v>0</v>
      </c>
      <c r="AR85" s="1331">
        <f>+AR54+AR62+AR69+AR76+AR84</f>
        <v>698.26666666666665</v>
      </c>
      <c r="AS85" s="1333">
        <f t="shared" si="93"/>
        <v>-1.4860797592174683E-2</v>
      </c>
    </row>
    <row r="86" spans="1:45" ht="14.25" customHeight="1" x14ac:dyDescent="0.25">
      <c r="A86" s="507"/>
      <c r="B86" s="286"/>
      <c r="C86" s="286"/>
      <c r="D86" s="286"/>
      <c r="E86" s="286"/>
      <c r="F86" s="286"/>
      <c r="G86" s="286"/>
      <c r="H86" s="286"/>
      <c r="I86" s="286"/>
      <c r="J86" s="504"/>
      <c r="K86" s="280"/>
      <c r="L86" s="280"/>
      <c r="M86" s="280"/>
      <c r="N86" s="280"/>
      <c r="O86" s="280"/>
      <c r="P86" s="280"/>
      <c r="Q86" s="280"/>
      <c r="R86" s="280"/>
      <c r="S86" s="280"/>
      <c r="T86" s="280"/>
      <c r="U86" s="280"/>
      <c r="V86" s="280"/>
      <c r="W86" s="280"/>
      <c r="X86" s="280"/>
      <c r="Y86" s="280"/>
      <c r="Z86" s="712"/>
      <c r="AA86" s="712"/>
      <c r="AB86" s="712"/>
      <c r="AC86" s="712"/>
      <c r="AD86" s="712"/>
      <c r="AE86" s="712"/>
      <c r="AF86" s="712"/>
      <c r="AG86" s="712"/>
      <c r="AH86" s="712"/>
      <c r="AI86" s="712"/>
      <c r="AJ86" s="712"/>
      <c r="AK86" s="712"/>
      <c r="AL86" s="712"/>
      <c r="AM86" s="712"/>
      <c r="AN86" s="712"/>
      <c r="AO86" s="712"/>
      <c r="AP86" s="712"/>
      <c r="AQ86" s="712"/>
      <c r="AR86" s="712"/>
      <c r="AS86" s="712"/>
    </row>
    <row r="87" spans="1:45" ht="14.25" customHeight="1" thickBot="1" x14ac:dyDescent="0.3">
      <c r="A87" s="507"/>
      <c r="B87" s="286"/>
      <c r="C87" s="286"/>
      <c r="D87" s="286"/>
      <c r="E87" s="286"/>
      <c r="F87" s="286"/>
      <c r="G87" s="286"/>
      <c r="H87" s="286"/>
      <c r="I87" s="286"/>
      <c r="J87" s="504"/>
      <c r="K87" s="280"/>
      <c r="L87" s="280"/>
      <c r="M87" s="280"/>
      <c r="N87" s="280"/>
      <c r="O87" s="280"/>
      <c r="P87" s="280"/>
      <c r="Q87" s="280"/>
      <c r="R87" s="280"/>
      <c r="S87" s="280"/>
      <c r="T87" s="280"/>
      <c r="U87" s="280"/>
      <c r="V87" s="280"/>
      <c r="W87" s="280"/>
      <c r="X87" s="280"/>
      <c r="Y87" s="280"/>
      <c r="Z87" s="712"/>
      <c r="AA87" s="712"/>
      <c r="AB87" s="712"/>
      <c r="AC87" s="712"/>
      <c r="AD87" s="712"/>
      <c r="AE87" s="712"/>
      <c r="AF87" s="712"/>
      <c r="AG87" s="712"/>
      <c r="AH87" s="712"/>
      <c r="AI87" s="712"/>
      <c r="AJ87" s="712"/>
      <c r="AK87" s="712"/>
      <c r="AL87" s="712"/>
      <c r="AM87" s="712"/>
      <c r="AN87" s="712"/>
      <c r="AO87" s="712"/>
      <c r="AP87" s="712"/>
      <c r="AQ87" s="712"/>
      <c r="AR87" s="712"/>
      <c r="AS87" s="712"/>
    </row>
    <row r="88" spans="1:45" customFormat="1" ht="18" thickBot="1" x14ac:dyDescent="0.35">
      <c r="A88" s="2134" t="s">
        <v>409</v>
      </c>
      <c r="B88" s="2135"/>
      <c r="C88" s="2135"/>
      <c r="D88" s="2135"/>
      <c r="E88" s="2135"/>
      <c r="F88" s="2135"/>
      <c r="G88" s="2135"/>
      <c r="H88" s="2135"/>
      <c r="I88" s="2135"/>
      <c r="J88" s="2135"/>
      <c r="K88" s="2135"/>
      <c r="L88" s="2135"/>
      <c r="M88" s="2135"/>
      <c r="N88" s="2135"/>
      <c r="O88" s="2135"/>
      <c r="P88" s="2135"/>
      <c r="Q88" s="2135"/>
      <c r="R88" s="2135"/>
      <c r="S88" s="2135"/>
      <c r="T88" s="2135"/>
      <c r="U88" s="2135"/>
      <c r="V88" s="2135"/>
      <c r="W88" s="2135"/>
      <c r="X88" s="2135"/>
      <c r="Y88" s="2135"/>
      <c r="Z88" s="2135"/>
      <c r="AA88" s="2135"/>
      <c r="AB88" s="2135"/>
      <c r="AC88" s="2135"/>
      <c r="AD88" s="2135"/>
      <c r="AE88" s="2135"/>
      <c r="AF88" s="2135"/>
      <c r="AG88" s="2135"/>
      <c r="AH88" s="2135"/>
      <c r="AI88" s="2135"/>
      <c r="AJ88" s="2135"/>
      <c r="AK88" s="2135"/>
      <c r="AL88" s="2135"/>
      <c r="AM88" s="2135"/>
      <c r="AN88" s="2135"/>
      <c r="AO88" s="2135"/>
      <c r="AP88" s="2135"/>
      <c r="AQ88" s="2135"/>
      <c r="AR88" s="2135"/>
      <c r="AS88" s="2136"/>
    </row>
    <row r="89" spans="1:45" ht="49.2" customHeight="1" x14ac:dyDescent="0.25">
      <c r="A89" s="2142" t="s">
        <v>1006</v>
      </c>
      <c r="B89" s="1314" t="s">
        <v>1008</v>
      </c>
      <c r="C89" s="1314" t="s">
        <v>1009</v>
      </c>
      <c r="D89" s="1314" t="s">
        <v>1010</v>
      </c>
      <c r="E89" s="680" t="s">
        <v>1069</v>
      </c>
      <c r="F89" s="1314" t="s">
        <v>1008</v>
      </c>
      <c r="G89" s="1314" t="s">
        <v>1009</v>
      </c>
      <c r="H89" s="1314" t="s">
        <v>1010</v>
      </c>
      <c r="I89" s="682" t="s">
        <v>1069</v>
      </c>
      <c r="J89" s="1315" t="s">
        <v>1071</v>
      </c>
      <c r="K89" s="1038" t="s">
        <v>1008</v>
      </c>
      <c r="L89" s="1314" t="s">
        <v>1009</v>
      </c>
      <c r="M89" s="1314" t="s">
        <v>1010</v>
      </c>
      <c r="N89" s="682" t="s">
        <v>1069</v>
      </c>
      <c r="O89" s="1315" t="s">
        <v>1071</v>
      </c>
      <c r="P89" s="1038" t="s">
        <v>1008</v>
      </c>
      <c r="Q89" s="1314" t="s">
        <v>1009</v>
      </c>
      <c r="R89" s="1314" t="s">
        <v>1010</v>
      </c>
      <c r="S89" s="682" t="s">
        <v>1069</v>
      </c>
      <c r="T89" s="1315" t="s">
        <v>1071</v>
      </c>
      <c r="U89" s="1314" t="s">
        <v>1008</v>
      </c>
      <c r="V89" s="1314" t="s">
        <v>1009</v>
      </c>
      <c r="W89" s="1314" t="s">
        <v>1010</v>
      </c>
      <c r="X89" s="682" t="s">
        <v>1069</v>
      </c>
      <c r="Y89" s="1315" t="s">
        <v>1071</v>
      </c>
      <c r="Z89" s="1316" t="s">
        <v>1008</v>
      </c>
      <c r="AA89" s="1316" t="s">
        <v>1009</v>
      </c>
      <c r="AB89" s="1316" t="s">
        <v>1010</v>
      </c>
      <c r="AC89" s="1186" t="s">
        <v>1069</v>
      </c>
      <c r="AD89" s="1317" t="s">
        <v>1071</v>
      </c>
      <c r="AE89" s="1316" t="s">
        <v>1008</v>
      </c>
      <c r="AF89" s="1316" t="s">
        <v>1009</v>
      </c>
      <c r="AG89" s="1316" t="s">
        <v>1010</v>
      </c>
      <c r="AH89" s="1186" t="s">
        <v>1069</v>
      </c>
      <c r="AI89" s="1317" t="s">
        <v>1071</v>
      </c>
      <c r="AJ89" s="1316" t="s">
        <v>1008</v>
      </c>
      <c r="AK89" s="1316" t="s">
        <v>1009</v>
      </c>
      <c r="AL89" s="1316" t="s">
        <v>1010</v>
      </c>
      <c r="AM89" s="1186" t="s">
        <v>1069</v>
      </c>
      <c r="AN89" s="1317" t="s">
        <v>1071</v>
      </c>
      <c r="AO89" s="1316" t="s">
        <v>1008</v>
      </c>
      <c r="AP89" s="1316" t="s">
        <v>1009</v>
      </c>
      <c r="AQ89" s="1316" t="s">
        <v>1010</v>
      </c>
      <c r="AR89" s="1186" t="s">
        <v>1069</v>
      </c>
      <c r="AS89" s="1317" t="s">
        <v>1071</v>
      </c>
    </row>
    <row r="90" spans="1:45" ht="12.75" customHeight="1" x14ac:dyDescent="0.25">
      <c r="A90" s="2143"/>
      <c r="B90" s="2138" t="s">
        <v>1502</v>
      </c>
      <c r="C90" s="2139"/>
      <c r="D90" s="2139"/>
      <c r="E90" s="2153"/>
      <c r="F90" s="2139" t="s">
        <v>1501</v>
      </c>
      <c r="G90" s="2139"/>
      <c r="H90" s="2139"/>
      <c r="I90" s="2139"/>
      <c r="J90" s="2153"/>
      <c r="K90" s="2139" t="s">
        <v>1451</v>
      </c>
      <c r="L90" s="2139"/>
      <c r="M90" s="2139"/>
      <c r="N90" s="2139"/>
      <c r="O90" s="2153"/>
      <c r="P90" s="2139" t="s">
        <v>1452</v>
      </c>
      <c r="Q90" s="2139"/>
      <c r="R90" s="2139"/>
      <c r="S90" s="2139"/>
      <c r="T90" s="2153"/>
      <c r="U90" s="2139" t="s">
        <v>1453</v>
      </c>
      <c r="V90" s="2139"/>
      <c r="W90" s="2139"/>
      <c r="X90" s="2139"/>
      <c r="Y90" s="2153"/>
      <c r="Z90" s="2154" t="s">
        <v>1581</v>
      </c>
      <c r="AA90" s="2154"/>
      <c r="AB90" s="2154"/>
      <c r="AC90" s="2154"/>
      <c r="AD90" s="2155"/>
      <c r="AE90" s="2154" t="s">
        <v>1632</v>
      </c>
      <c r="AF90" s="2154"/>
      <c r="AG90" s="2154"/>
      <c r="AH90" s="2154"/>
      <c r="AI90" s="2155"/>
      <c r="AJ90" s="2154" t="str">
        <f>+AJ50</f>
        <v>Spring 2015</v>
      </c>
      <c r="AK90" s="2154"/>
      <c r="AL90" s="2154"/>
      <c r="AM90" s="2154"/>
      <c r="AN90" s="2155"/>
      <c r="AO90" s="2154" t="str">
        <f>+AO50</f>
        <v>Spring 2016</v>
      </c>
      <c r="AP90" s="2154"/>
      <c r="AQ90" s="2154"/>
      <c r="AR90" s="2154"/>
      <c r="AS90" s="2155"/>
    </row>
    <row r="91" spans="1:45" x14ac:dyDescent="0.25">
      <c r="A91" s="1318" t="s">
        <v>411</v>
      </c>
      <c r="B91" s="1308"/>
      <c r="C91" s="1309"/>
      <c r="D91" s="1309"/>
      <c r="E91" s="1306"/>
      <c r="F91" s="1308"/>
      <c r="G91" s="1309"/>
      <c r="H91" s="1309"/>
      <c r="I91" s="1309"/>
      <c r="J91" s="1306"/>
      <c r="K91" s="1039"/>
      <c r="L91" s="1309"/>
      <c r="M91" s="1309"/>
      <c r="N91" s="1309"/>
      <c r="O91" s="1306"/>
      <c r="P91" s="1039"/>
      <c r="Q91" s="1309"/>
      <c r="R91" s="1309"/>
      <c r="S91" s="1309"/>
      <c r="T91" s="1306"/>
      <c r="U91" s="1308"/>
      <c r="V91" s="1309"/>
      <c r="W91" s="1309"/>
      <c r="X91" s="1309"/>
      <c r="Y91" s="1306"/>
      <c r="Z91" s="508"/>
      <c r="AA91" s="487"/>
      <c r="AB91" s="487"/>
      <c r="AC91" s="487"/>
      <c r="AD91" s="438"/>
      <c r="AE91" s="508"/>
      <c r="AF91" s="487"/>
      <c r="AG91" s="487"/>
      <c r="AH91" s="487"/>
      <c r="AI91" s="438"/>
      <c r="AJ91" s="508"/>
      <c r="AK91" s="487"/>
      <c r="AL91" s="487"/>
      <c r="AM91" s="487"/>
      <c r="AN91" s="438"/>
      <c r="AO91" s="508"/>
      <c r="AP91" s="487"/>
      <c r="AQ91" s="487"/>
      <c r="AR91" s="487"/>
      <c r="AS91" s="438"/>
    </row>
    <row r="92" spans="1:45" x14ac:dyDescent="0.25">
      <c r="A92" s="1319" t="s">
        <v>1060</v>
      </c>
      <c r="B92" s="1313">
        <f>+'NEW Spring CHP by DISC'!B92/15</f>
        <v>81.86666666666666</v>
      </c>
      <c r="C92" s="1313">
        <f>+'NEW Spring CHP by DISC'!C92/15</f>
        <v>28.133333333333333</v>
      </c>
      <c r="D92" s="1313">
        <f>+'NEW Spring CHP by DISC'!D92/12</f>
        <v>0</v>
      </c>
      <c r="E92" s="1311">
        <f>SUM(B92:D92)</f>
        <v>110</v>
      </c>
      <c r="F92" s="1313">
        <f>+'NEW Spring CHP by DISC'!F92/15</f>
        <v>90.666666666666671</v>
      </c>
      <c r="G92" s="1313">
        <f>+'NEW Spring CHP by DISC'!G92/15</f>
        <v>23.6</v>
      </c>
      <c r="H92" s="1313">
        <f>+'NEW Spring CHP by DISC'!H92/12</f>
        <v>0</v>
      </c>
      <c r="I92" s="1313">
        <f>SUM(F92:H92)</f>
        <v>114.26666666666668</v>
      </c>
      <c r="J92" s="1307">
        <f>IF(E92&gt;0,(I92-E92)/E92,(IF(I92=0,"N/A",100%)))</f>
        <v>3.8787878787878906E-2</v>
      </c>
      <c r="K92" s="772">
        <f>+'NEW Spring CHP by DISC'!K92/15</f>
        <v>110.13333333333334</v>
      </c>
      <c r="L92" s="1313">
        <f>+'NEW Spring CHP by DISC'!L92/15</f>
        <v>23.066666666666666</v>
      </c>
      <c r="M92" s="1313">
        <f>+'NEW Spring CHP by DISC'!M92/12</f>
        <v>0</v>
      </c>
      <c r="N92" s="1313">
        <f>SUM(K92:M92)</f>
        <v>133.20000000000002</v>
      </c>
      <c r="O92" s="1307">
        <f>IF(I92&gt;0,(N92-I92)/I92,(IF(N92=0,"N/A",100%)))</f>
        <v>0.16569428238039674</v>
      </c>
      <c r="P92" s="772">
        <f>+'NEW Spring CHP by DISC'!P92/15</f>
        <v>122.13333333333334</v>
      </c>
      <c r="Q92" s="1313">
        <f>+'NEW Spring CHP by DISC'!Q92/15</f>
        <v>26</v>
      </c>
      <c r="R92" s="1313">
        <f>+'NEW Spring CHP by DISC'!R92/12</f>
        <v>0</v>
      </c>
      <c r="S92" s="1313">
        <f>SUM(P92:R92)</f>
        <v>148.13333333333333</v>
      </c>
      <c r="T92" s="1307">
        <f>IF(N92&gt;0,(S92-N92)/N92,(IF(S92=0,"N/A",100%)))</f>
        <v>0.11211211211211192</v>
      </c>
      <c r="U92" s="1313">
        <f>+'NEW Spring CHP by DISC'!U92/15</f>
        <v>120.26666666666667</v>
      </c>
      <c r="V92" s="1313">
        <f>+'NEW Spring CHP by DISC'!V92/15</f>
        <v>21.4</v>
      </c>
      <c r="W92" s="1313">
        <f>+'NEW Spring CHP by DISC'!W92/12</f>
        <v>0</v>
      </c>
      <c r="X92" s="1313">
        <f>SUM(U92:W92)</f>
        <v>141.66666666666666</v>
      </c>
      <c r="Y92" s="1307">
        <f>IF(S92&gt;0,(X92-S92)/S92,(IF(X92=0,"N/A",100%)))</f>
        <v>-4.365436543654367E-2</v>
      </c>
      <c r="Z92" s="1312">
        <f>+'NEW Spring CHP by DISC'!Z92/15</f>
        <v>123.46666666666667</v>
      </c>
      <c r="AA92" s="1312">
        <f>+'NEW Spring CHP by DISC'!AA92/15</f>
        <v>21.533333333333335</v>
      </c>
      <c r="AB92" s="1312">
        <f>+'NEW Spring CHP by DISC'!AB92/12</f>
        <v>0</v>
      </c>
      <c r="AC92" s="1312">
        <f>SUM(Z92:AB92)</f>
        <v>145</v>
      </c>
      <c r="AD92" s="1320">
        <f>IF(X92&gt;0,(AC92-X92)/X92,(IF(AC92=0,"N/A",100%)))</f>
        <v>2.3529411764705951E-2</v>
      </c>
      <c r="AE92" s="1312">
        <f>+'NEW Spring CHP by DISC'!AE92/15</f>
        <v>108</v>
      </c>
      <c r="AF92" s="1312">
        <f>+'NEW Spring CHP by DISC'!AF92/15</f>
        <v>23.2</v>
      </c>
      <c r="AG92" s="1312">
        <f>+'NEW Spring CHP by DISC'!AG92/12</f>
        <v>0</v>
      </c>
      <c r="AH92" s="1312">
        <f>SUM(AE92:AG92)</f>
        <v>131.19999999999999</v>
      </c>
      <c r="AI92" s="1320">
        <f>IF(AC92&gt;0,(AH92-AC92)/AC92,(IF(AH92=0,"N/A",100%)))</f>
        <v>-9.5172413793103525E-2</v>
      </c>
      <c r="AJ92" s="1312">
        <f>+'NEW Spring CHP by DISC'!AJ92/15</f>
        <v>98.933333333333337</v>
      </c>
      <c r="AK92" s="1312">
        <f>+'NEW Spring CHP by DISC'!AK92/15</f>
        <v>29.933333333333334</v>
      </c>
      <c r="AL92" s="1312">
        <f>+'NEW Spring CHP by DISC'!AL92/12</f>
        <v>0</v>
      </c>
      <c r="AM92" s="1312">
        <f>SUM(AJ92:AL92)</f>
        <v>128.86666666666667</v>
      </c>
      <c r="AN92" s="1320">
        <f>IF(AH92&gt;0,(AM92-AH92)/AH92,(IF(AM92=0,"N/A",100%)))</f>
        <v>-1.7784552845528313E-2</v>
      </c>
      <c r="AO92" s="1312">
        <f>+'NEW Spring CHP by DISC'!AO92/15</f>
        <v>77.066666666666663</v>
      </c>
      <c r="AP92" s="1312">
        <f>+'NEW Spring CHP by DISC'!AP92/15</f>
        <v>78.13333333333334</v>
      </c>
      <c r="AQ92" s="1312">
        <f>+'NEW Spring CHP by DISC'!AQ92/12</f>
        <v>0</v>
      </c>
      <c r="AR92" s="1312">
        <f>SUM(AO92:AQ92)</f>
        <v>155.19999999999999</v>
      </c>
      <c r="AS92" s="1320">
        <f>IF(AM92&gt;0,(AR92-AM92)/AM92,(IF(AR92=0,"N/A",100%)))</f>
        <v>0.20434557682359011</v>
      </c>
    </row>
    <row r="93" spans="1:45" x14ac:dyDescent="0.25">
      <c r="A93" s="1318" t="s">
        <v>412</v>
      </c>
      <c r="B93" s="1349"/>
      <c r="C93" s="1349"/>
      <c r="D93" s="1349"/>
      <c r="E93" s="1306"/>
      <c r="F93" s="1308"/>
      <c r="G93" s="1309"/>
      <c r="H93" s="1309"/>
      <c r="I93" s="1309"/>
      <c r="J93" s="1306"/>
      <c r="K93" s="1039"/>
      <c r="L93" s="1309"/>
      <c r="M93" s="1309"/>
      <c r="N93" s="1309"/>
      <c r="O93" s="1306"/>
      <c r="P93" s="1039"/>
      <c r="Q93" s="1309"/>
      <c r="R93" s="1309"/>
      <c r="S93" s="1309"/>
      <c r="T93" s="1306"/>
      <c r="U93" s="1308"/>
      <c r="V93" s="1309"/>
      <c r="W93" s="1309"/>
      <c r="X93" s="1309"/>
      <c r="Y93" s="1306"/>
      <c r="Z93" s="508"/>
      <c r="AA93" s="487"/>
      <c r="AB93" s="487"/>
      <c r="AC93" s="487"/>
      <c r="AD93" s="438"/>
      <c r="AE93" s="508"/>
      <c r="AF93" s="487"/>
      <c r="AG93" s="487"/>
      <c r="AH93" s="487"/>
      <c r="AI93" s="438"/>
      <c r="AJ93" s="508"/>
      <c r="AK93" s="487"/>
      <c r="AL93" s="487"/>
      <c r="AM93" s="487"/>
      <c r="AN93" s="438"/>
      <c r="AO93" s="508"/>
      <c r="AP93" s="487"/>
      <c r="AQ93" s="487"/>
      <c r="AR93" s="487"/>
      <c r="AS93" s="438"/>
    </row>
    <row r="94" spans="1:45" x14ac:dyDescent="0.25">
      <c r="A94" s="1319" t="s">
        <v>1355</v>
      </c>
      <c r="B94" s="1313">
        <f>+'NEW Spring CHP by DISC'!B94/15</f>
        <v>26.666666666666668</v>
      </c>
      <c r="C94" s="1313">
        <f>+'NEW Spring CHP by DISC'!C94/15</f>
        <v>9</v>
      </c>
      <c r="D94" s="1313">
        <f>+'NEW Spring CHP by DISC'!D94/12</f>
        <v>0</v>
      </c>
      <c r="E94" s="1311">
        <f>SUM(B94:D94)</f>
        <v>35.666666666666671</v>
      </c>
      <c r="F94" s="1313">
        <f>+'NEW Spring CHP by DISC'!F94/15</f>
        <v>27.066666666666666</v>
      </c>
      <c r="G94" s="1313">
        <f>+'NEW Spring CHP by DISC'!G94/15</f>
        <v>4.4000000000000004</v>
      </c>
      <c r="H94" s="1313">
        <f>+'NEW Spring CHP by DISC'!H94/12</f>
        <v>0</v>
      </c>
      <c r="I94" s="1313">
        <f>SUM(F94:H94)</f>
        <v>31.466666666666669</v>
      </c>
      <c r="J94" s="1307">
        <f>IF(E94&gt;0,(I94-E94)/E94,(IF(I94=0,"N/A",100%)))</f>
        <v>-0.11775700934579446</v>
      </c>
      <c r="K94" s="772">
        <f>+'NEW Spring CHP by DISC'!K94/15</f>
        <v>36.666666666666664</v>
      </c>
      <c r="L94" s="1313">
        <f>+'NEW Spring CHP by DISC'!L94/15</f>
        <v>7.6</v>
      </c>
      <c r="M94" s="1313">
        <f>+'NEW Spring CHP by DISC'!M94/12</f>
        <v>0</v>
      </c>
      <c r="N94" s="1313">
        <f>SUM(K94:M94)</f>
        <v>44.266666666666666</v>
      </c>
      <c r="O94" s="1307">
        <f>IF(I94&gt;0,(N94-I94)/I94,(IF(N94=0,"N/A",100%)))</f>
        <v>0.40677966101694901</v>
      </c>
      <c r="P94" s="772">
        <f>+'NEW Spring CHP by DISC'!P94/15</f>
        <v>34</v>
      </c>
      <c r="Q94" s="1313">
        <f>+'NEW Spring CHP by DISC'!Q94/15</f>
        <v>6.8</v>
      </c>
      <c r="R94" s="1313">
        <f>+'NEW Spring CHP by DISC'!R94/12</f>
        <v>0</v>
      </c>
      <c r="S94" s="1313">
        <f>SUM(P94:R94)</f>
        <v>40.799999999999997</v>
      </c>
      <c r="T94" s="1307">
        <f>IF(N94&gt;0,(S94-N94)/N94,(IF(S94=0,"N/A",100%)))</f>
        <v>-7.8313253012048237E-2</v>
      </c>
      <c r="U94" s="1313">
        <f>+'NEW Spring CHP by DISC'!U94/15</f>
        <v>37.200000000000003</v>
      </c>
      <c r="V94" s="1313">
        <f>+'NEW Spring CHP by DISC'!V94/15</f>
        <v>8</v>
      </c>
      <c r="W94" s="1313">
        <f>+'NEW Spring CHP by DISC'!W94/12</f>
        <v>0</v>
      </c>
      <c r="X94" s="1313">
        <f>SUM(U94:W94)</f>
        <v>45.2</v>
      </c>
      <c r="Y94" s="1307">
        <f>IF(S94&gt;0,(X94-S94)/S94,(IF(X94=0,"N/A",100%)))</f>
        <v>0.10784313725490211</v>
      </c>
      <c r="Z94" s="1312">
        <f>+'NEW Spring CHP by DISC'!Z94/15</f>
        <v>41.06666666666667</v>
      </c>
      <c r="AA94" s="1312">
        <f>+'NEW Spring CHP by DISC'!AA94/15</f>
        <v>6.8</v>
      </c>
      <c r="AB94" s="1312">
        <f>+'NEW Spring CHP by DISC'!AB94/12</f>
        <v>0</v>
      </c>
      <c r="AC94" s="1312">
        <f>SUM(Z94:AB94)</f>
        <v>47.866666666666667</v>
      </c>
      <c r="AD94" s="1320">
        <f>IF(X94&gt;0,(AC94-X94)/X94,(IF(AC94=0,"N/A",100%)))</f>
        <v>5.8997050147492569E-2</v>
      </c>
      <c r="AE94" s="1312">
        <f>+'NEW Spring CHP by DISC'!AE94/15</f>
        <v>35.200000000000003</v>
      </c>
      <c r="AF94" s="1312">
        <f>+'NEW Spring CHP by DISC'!AF94/15</f>
        <v>7.8</v>
      </c>
      <c r="AG94" s="1312">
        <f>+'NEW Spring CHP by DISC'!AG94/12</f>
        <v>0</v>
      </c>
      <c r="AH94" s="1312">
        <f>SUM(AE94:AG94)</f>
        <v>43</v>
      </c>
      <c r="AI94" s="1320">
        <f>IF(AC94&gt;0,(AH94-AC94)/AC94,(IF(AH94=0,"N/A",100%)))</f>
        <v>-0.10167130919220056</v>
      </c>
      <c r="AJ94" s="1312">
        <f>+'NEW Spring CHP by DISC'!AJ94/15</f>
        <v>32.733333333333334</v>
      </c>
      <c r="AK94" s="1312">
        <f>+'NEW Spring CHP by DISC'!AK94/15</f>
        <v>13.333333333333334</v>
      </c>
      <c r="AL94" s="1312">
        <f>+'NEW Spring CHP by DISC'!AL94/12</f>
        <v>0</v>
      </c>
      <c r="AM94" s="1312">
        <f>SUM(AJ94:AL94)</f>
        <v>46.06666666666667</v>
      </c>
      <c r="AN94" s="1320">
        <f>IF(AH94&gt;0,(AM94-AH94)/AH94,(IF(AM94=0,"N/A",100%)))</f>
        <v>7.1317829457364423E-2</v>
      </c>
      <c r="AO94" s="1312">
        <f>+'NEW Spring CHP by DISC'!AO94/15</f>
        <v>23.8</v>
      </c>
      <c r="AP94" s="1312">
        <f>+'NEW Spring CHP by DISC'!AP94/15</f>
        <v>20.333333333333332</v>
      </c>
      <c r="AQ94" s="1312">
        <f>+'NEW Spring CHP by DISC'!AQ94/12</f>
        <v>0</v>
      </c>
      <c r="AR94" s="1312">
        <f>SUM(AO94:AQ94)</f>
        <v>44.133333333333333</v>
      </c>
      <c r="AS94" s="1320">
        <f>IF(AM94&gt;0,(AR94-AM94)/AM94,(IF(AR94=0,"N/A",100%)))</f>
        <v>-4.1968162083936403E-2</v>
      </c>
    </row>
    <row r="95" spans="1:45" x14ac:dyDescent="0.25">
      <c r="A95" s="1319" t="s">
        <v>854</v>
      </c>
      <c r="B95" s="1313">
        <f>+'NEW Spring CHP by DISC'!B95/15</f>
        <v>120.4</v>
      </c>
      <c r="C95" s="1313">
        <f>+'NEW Spring CHP by DISC'!C95/15</f>
        <v>2.4666666666666668</v>
      </c>
      <c r="D95" s="1313">
        <f>+'NEW Spring CHP by DISC'!D95/12</f>
        <v>0</v>
      </c>
      <c r="E95" s="1311">
        <f>SUM(B95:D95)</f>
        <v>122.86666666666667</v>
      </c>
      <c r="F95" s="1313">
        <f>+'NEW Spring CHP by DISC'!F95/15</f>
        <v>134.80000000000001</v>
      </c>
      <c r="G95" s="1313">
        <f>+'NEW Spring CHP by DISC'!G95/15</f>
        <v>6.7333333333333334</v>
      </c>
      <c r="H95" s="1313">
        <f>+'NEW Spring CHP by DISC'!H95/12</f>
        <v>0</v>
      </c>
      <c r="I95" s="1313">
        <f>SUM(F95:H95)</f>
        <v>141.53333333333333</v>
      </c>
      <c r="J95" s="1307">
        <f>IF(E95&gt;0,(I95-E95)/E95,(IF(I95=0,"N/A",100%)))</f>
        <v>0.15192620727075412</v>
      </c>
      <c r="K95" s="772">
        <f>+'NEW Spring CHP by DISC'!K95/15</f>
        <v>166.8</v>
      </c>
      <c r="L95" s="1313">
        <f>+'NEW Spring CHP by DISC'!L95/15</f>
        <v>1.7333333333333334</v>
      </c>
      <c r="M95" s="1313">
        <f>+'NEW Spring CHP by DISC'!M95/12</f>
        <v>0</v>
      </c>
      <c r="N95" s="1313">
        <f>SUM(K95:M95)</f>
        <v>168.53333333333333</v>
      </c>
      <c r="O95" s="1307">
        <f>IF(I95&gt;0,(N95-I95)/I95,(IF(N95=0,"N/A",100%)))</f>
        <v>0.19076778144135656</v>
      </c>
      <c r="P95" s="772">
        <f>+'NEW Spring CHP by DISC'!P95/15</f>
        <v>179.53333333333333</v>
      </c>
      <c r="Q95" s="1313">
        <f>+'NEW Spring CHP by DISC'!Q95/15</f>
        <v>2.9333333333333331</v>
      </c>
      <c r="R95" s="1313">
        <f>+'NEW Spring CHP by DISC'!R95/12</f>
        <v>0</v>
      </c>
      <c r="S95" s="1313">
        <f>SUM(P95:R95)</f>
        <v>182.46666666666667</v>
      </c>
      <c r="T95" s="1307">
        <f>IF(N95&gt;0,(S95-N95)/N95,(IF(S95=0,"N/A",100%)))</f>
        <v>8.2674050632911417E-2</v>
      </c>
      <c r="U95" s="1313">
        <f>+'NEW Spring CHP by DISC'!U95/15</f>
        <v>191.53333333333333</v>
      </c>
      <c r="V95" s="1313">
        <f>+'NEW Spring CHP by DISC'!V95/15</f>
        <v>4.2666666666666666</v>
      </c>
      <c r="W95" s="1313">
        <f>+'NEW Spring CHP by DISC'!W95/12</f>
        <v>0</v>
      </c>
      <c r="X95" s="1313">
        <f>SUM(U95:W95)</f>
        <v>195.8</v>
      </c>
      <c r="Y95" s="1307">
        <f>IF(S95&gt;0,(X95-S95)/S95,(IF(X95=0,"N/A",100%)))</f>
        <v>7.3072707343807136E-2</v>
      </c>
      <c r="Z95" s="1312">
        <f>+'NEW Spring CHP by DISC'!Z95/15</f>
        <v>190.6</v>
      </c>
      <c r="AA95" s="1312">
        <f>+'NEW Spring CHP by DISC'!AA95/15</f>
        <v>5.1333333333333337</v>
      </c>
      <c r="AB95" s="1312">
        <f>+'NEW Spring CHP by DISC'!AB95/12</f>
        <v>0</v>
      </c>
      <c r="AC95" s="1312">
        <f>SUM(Z95:AB95)</f>
        <v>195.73333333333332</v>
      </c>
      <c r="AD95" s="1320">
        <f>IF(X95&gt;0,(AC95-X95)/X95,(IF(AC95=0,"N/A",100%)))</f>
        <v>-3.4048348655102808E-4</v>
      </c>
      <c r="AE95" s="1312">
        <f>+'NEW Spring CHP by DISC'!AE95/15</f>
        <v>171.93333333333334</v>
      </c>
      <c r="AF95" s="1312">
        <f>+'NEW Spring CHP by DISC'!AF95/15</f>
        <v>4.2</v>
      </c>
      <c r="AG95" s="1312">
        <f>+'NEW Spring CHP by DISC'!AG95/12</f>
        <v>0</v>
      </c>
      <c r="AH95" s="1312">
        <f>SUM(AE95:AG95)</f>
        <v>176.13333333333333</v>
      </c>
      <c r="AI95" s="1320">
        <f>IF(AC95&gt;0,(AH95-AC95)/AC95,(IF(AH95=0,"N/A",100%)))</f>
        <v>-0.10013623978201633</v>
      </c>
      <c r="AJ95" s="1312">
        <f>+'NEW Spring CHP by DISC'!AJ95/15</f>
        <v>173.8</v>
      </c>
      <c r="AK95" s="1312">
        <f>+'NEW Spring CHP by DISC'!AK95/15</f>
        <v>4.333333333333333</v>
      </c>
      <c r="AL95" s="1312">
        <f>+'NEW Spring CHP by DISC'!AL95/12</f>
        <v>0</v>
      </c>
      <c r="AM95" s="1312">
        <f>SUM(AJ95:AL95)</f>
        <v>178.13333333333335</v>
      </c>
      <c r="AN95" s="1320">
        <f>IF(AH95&gt;0,(AM95-AH95)/AH95,(IF(AM95=0,"N/A",100%)))</f>
        <v>1.1355034065102357E-2</v>
      </c>
      <c r="AO95" s="1312">
        <f>+'NEW Spring CHP by DISC'!AO95/15</f>
        <v>103.2</v>
      </c>
      <c r="AP95" s="1312">
        <f>+'NEW Spring CHP by DISC'!AP95/15</f>
        <v>65.066666666666663</v>
      </c>
      <c r="AQ95" s="1312">
        <f>+'NEW Spring CHP by DISC'!AQ95/12</f>
        <v>0</v>
      </c>
      <c r="AR95" s="1312">
        <f>SUM(AO95:AQ95)</f>
        <v>168.26666666666665</v>
      </c>
      <c r="AS95" s="1320">
        <f>IF(AM95&gt;0,(AR95-AM95)/AM95,(IF(AR95=0,"N/A",100%)))</f>
        <v>-5.5389221556886421E-2</v>
      </c>
    </row>
    <row r="96" spans="1:45" s="484" customFormat="1" ht="13.8" x14ac:dyDescent="0.25">
      <c r="A96" s="1345" t="s">
        <v>1015</v>
      </c>
      <c r="B96" s="1340">
        <f t="shared" ref="B96:I96" si="103">SUM(B94:B95)</f>
        <v>147.06666666666666</v>
      </c>
      <c r="C96" s="1340">
        <f t="shared" si="103"/>
        <v>11.466666666666667</v>
      </c>
      <c r="D96" s="1340">
        <f t="shared" si="103"/>
        <v>0</v>
      </c>
      <c r="E96" s="1341">
        <f t="shared" si="103"/>
        <v>158.53333333333336</v>
      </c>
      <c r="F96" s="1340">
        <f t="shared" si="103"/>
        <v>161.86666666666667</v>
      </c>
      <c r="G96" s="1340">
        <f t="shared" si="103"/>
        <v>11.133333333333333</v>
      </c>
      <c r="H96" s="1340">
        <f t="shared" si="103"/>
        <v>0</v>
      </c>
      <c r="I96" s="1340">
        <f t="shared" si="103"/>
        <v>173</v>
      </c>
      <c r="J96" s="1323">
        <f>IF(E96&gt;0,(I96-E96)/E96,(IF(I96=0,"N/A",100%)))</f>
        <v>9.1253153910849275E-2</v>
      </c>
      <c r="K96" s="1042">
        <f>SUM(K94:K95)</f>
        <v>203.46666666666667</v>
      </c>
      <c r="L96" s="1340">
        <f>SUM(L94:L95)</f>
        <v>9.3333333333333321</v>
      </c>
      <c r="M96" s="1340">
        <f>SUM(M94:M95)</f>
        <v>0</v>
      </c>
      <c r="N96" s="1340">
        <f>SUM(N94:N95)</f>
        <v>212.8</v>
      </c>
      <c r="O96" s="1323">
        <f>IF(I96&gt;0,(N96-I96)/I96,(IF(N96=0,"N/A",100%)))</f>
        <v>0.23005780346820817</v>
      </c>
      <c r="P96" s="1042">
        <f>SUM(P94:P95)</f>
        <v>213.53333333333333</v>
      </c>
      <c r="Q96" s="1340">
        <f>SUM(Q94:Q95)</f>
        <v>9.7333333333333325</v>
      </c>
      <c r="R96" s="1340">
        <f>SUM(R94:R95)</f>
        <v>0</v>
      </c>
      <c r="S96" s="1340">
        <f>SUM(S94:S95)</f>
        <v>223.26666666666665</v>
      </c>
      <c r="T96" s="1323">
        <f>IF(N96&gt;0,(S96-N96)/N96,(IF(S96=0,"N/A",100%)))</f>
        <v>4.9185463659147742E-2</v>
      </c>
      <c r="U96" s="1340">
        <f>SUM(U94:U95)</f>
        <v>228.73333333333335</v>
      </c>
      <c r="V96" s="1340">
        <f>SUM(V94:V95)</f>
        <v>12.266666666666666</v>
      </c>
      <c r="W96" s="1340">
        <f>SUM(W94:W95)</f>
        <v>0</v>
      </c>
      <c r="X96" s="1340">
        <f>SUM(X94:X95)</f>
        <v>241</v>
      </c>
      <c r="Y96" s="1323">
        <f>IF(S96&gt;0,(X96-S96)/S96,(IF(X96=0,"N/A",100%)))</f>
        <v>7.9426694535682366E-2</v>
      </c>
      <c r="Z96" s="1343">
        <f>SUM(Z94:Z95)</f>
        <v>231.66666666666666</v>
      </c>
      <c r="AA96" s="1343">
        <f>SUM(AA94:AA95)</f>
        <v>11.933333333333334</v>
      </c>
      <c r="AB96" s="1343">
        <f>SUM(AB94:AB95)</f>
        <v>0</v>
      </c>
      <c r="AC96" s="1343">
        <f>SUM(AC94:AC95)</f>
        <v>243.6</v>
      </c>
      <c r="AD96" s="1324">
        <f>IF(X96&gt;0,(AC96-X96)/X96,(IF(AC96=0,"N/A",100%)))</f>
        <v>1.0788381742738565E-2</v>
      </c>
      <c r="AE96" s="1343">
        <f>SUM(AE94:AE95)</f>
        <v>207.13333333333333</v>
      </c>
      <c r="AF96" s="1343">
        <f>SUM(AF94:AF95)</f>
        <v>12</v>
      </c>
      <c r="AG96" s="1343">
        <f>SUM(AG94:AG95)</f>
        <v>0</v>
      </c>
      <c r="AH96" s="1343">
        <f>SUM(AH94:AH95)</f>
        <v>219.13333333333333</v>
      </c>
      <c r="AI96" s="1324">
        <f>IF(AC96&gt;0,(AH96-AC96)/AC96,(IF(AH96=0,"N/A",100%)))</f>
        <v>-0.10043787629994527</v>
      </c>
      <c r="AJ96" s="1343">
        <f>SUM(AJ94:AJ95)</f>
        <v>206.53333333333336</v>
      </c>
      <c r="AK96" s="1343">
        <f>SUM(AK94:AK95)</f>
        <v>17.666666666666668</v>
      </c>
      <c r="AL96" s="1343">
        <f>SUM(AL94:AL95)</f>
        <v>0</v>
      </c>
      <c r="AM96" s="1343">
        <f>SUM(AM94:AM95)</f>
        <v>224.20000000000002</v>
      </c>
      <c r="AN96" s="1324">
        <f>IF(AH96&gt;0,(AM96-AH96)/AH96,(IF(AM96=0,"N/A",100%)))</f>
        <v>2.3121387283237108E-2</v>
      </c>
      <c r="AO96" s="1343">
        <f>SUM(AO94:AO95)</f>
        <v>127</v>
      </c>
      <c r="AP96" s="1343">
        <f>SUM(AP94:AP95)</f>
        <v>85.399999999999991</v>
      </c>
      <c r="AQ96" s="1343">
        <f>SUM(AQ94:AQ95)</f>
        <v>0</v>
      </c>
      <c r="AR96" s="1343">
        <f>SUM(AR94:AR95)</f>
        <v>212.39999999999998</v>
      </c>
      <c r="AS96" s="1324">
        <f>IF(AM96&gt;0,(AR96-AM96)/AM96,(IF(AR96=0,"N/A",100%)))</f>
        <v>-5.2631578947368592E-2</v>
      </c>
    </row>
    <row r="97" spans="1:45" customFormat="1" x14ac:dyDescent="0.25">
      <c r="A97" s="423" t="s">
        <v>414</v>
      </c>
      <c r="B97" s="515"/>
      <c r="C97" s="515"/>
      <c r="D97" s="515"/>
      <c r="E97" s="516"/>
      <c r="F97" s="517"/>
      <c r="G97" s="515"/>
      <c r="H97" s="515"/>
      <c r="I97" s="515"/>
      <c r="J97" s="516"/>
      <c r="K97" s="1043"/>
      <c r="L97" s="515"/>
      <c r="M97" s="515"/>
      <c r="N97" s="515"/>
      <c r="O97" s="516"/>
      <c r="P97" s="1043"/>
      <c r="Q97" s="515"/>
      <c r="R97" s="515"/>
      <c r="S97" s="515"/>
      <c r="T97" s="516"/>
      <c r="U97" s="517"/>
      <c r="V97" s="515"/>
      <c r="W97" s="515"/>
      <c r="X97" s="515"/>
      <c r="Y97" s="516"/>
      <c r="Z97" s="508"/>
      <c r="AA97" s="487"/>
      <c r="AB97" s="487"/>
      <c r="AC97" s="487"/>
      <c r="AD97" s="438"/>
      <c r="AE97" s="508"/>
      <c r="AF97" s="487"/>
      <c r="AG97" s="487"/>
      <c r="AH97" s="487"/>
      <c r="AI97" s="438"/>
      <c r="AJ97" s="508"/>
      <c r="AK97" s="487"/>
      <c r="AL97" s="487"/>
      <c r="AM97" s="487"/>
      <c r="AN97" s="438"/>
      <c r="AO97" s="508"/>
      <c r="AP97" s="487"/>
      <c r="AQ97" s="487"/>
      <c r="AR97" s="487"/>
      <c r="AS97" s="438"/>
    </row>
    <row r="98" spans="1:45" x14ac:dyDescent="0.25">
      <c r="A98" s="1319" t="s">
        <v>1061</v>
      </c>
      <c r="B98" s="1313">
        <f>+'NEW Spring CHP by DISC'!B98/15</f>
        <v>65.86666666666666</v>
      </c>
      <c r="C98" s="1313">
        <f>+'NEW Spring CHP by DISC'!C98/15</f>
        <v>12.733333333333333</v>
      </c>
      <c r="D98" s="1313">
        <f>+'NEW Spring CHP by DISC'!D98/12</f>
        <v>0</v>
      </c>
      <c r="E98" s="326">
        <f>SUM(B98:D98)</f>
        <v>78.599999999999994</v>
      </c>
      <c r="F98" s="1313">
        <f>+'NEW Spring CHP by DISC'!F98/15</f>
        <v>63.466666666666669</v>
      </c>
      <c r="G98" s="1313">
        <f>+'NEW Spring CHP by DISC'!G98/15</f>
        <v>19.533333333333335</v>
      </c>
      <c r="H98" s="1313">
        <f>+'NEW Spring CHP by DISC'!H98/12</f>
        <v>0</v>
      </c>
      <c r="I98" s="490">
        <f>SUM(F98:H98)</f>
        <v>83</v>
      </c>
      <c r="J98" s="491">
        <f t="shared" ref="J98:J103" si="104">IF(E98&gt;0,(I98-E98)/E98,(IF(I98=0,"N/A",100%)))</f>
        <v>5.5979643765903385E-2</v>
      </c>
      <c r="K98" s="772">
        <f>+'NEW Spring CHP by DISC'!K98/15</f>
        <v>80.266666666666666</v>
      </c>
      <c r="L98" s="1313">
        <f>+'NEW Spring CHP by DISC'!L98/15</f>
        <v>16.533333333333335</v>
      </c>
      <c r="M98" s="1313">
        <f>+'NEW Spring CHP by DISC'!M98/12</f>
        <v>0</v>
      </c>
      <c r="N98" s="490">
        <f>SUM(K98:M98)</f>
        <v>96.8</v>
      </c>
      <c r="O98" s="1307">
        <f t="shared" ref="O98:O103" si="105">IF(I98&gt;0,(N98-I98)/I98,(IF(N98=0,"N/A",100%)))</f>
        <v>0.16626506024096382</v>
      </c>
      <c r="P98" s="772">
        <f>+'NEW Spring CHP by DISC'!P98/15</f>
        <v>88</v>
      </c>
      <c r="Q98" s="1313">
        <f>+'NEW Spring CHP by DISC'!Q98/15</f>
        <v>19.666666666666668</v>
      </c>
      <c r="R98" s="1313">
        <f>+'NEW Spring CHP by DISC'!R98/12</f>
        <v>0</v>
      </c>
      <c r="S98" s="490">
        <f>SUM(P98:R98)</f>
        <v>107.66666666666667</v>
      </c>
      <c r="T98" s="1307">
        <f t="shared" ref="T98:T103" si="106">IF(N98&gt;0,(S98-N98)/N98,(IF(S98=0,"N/A",100%)))</f>
        <v>0.11225895316804416</v>
      </c>
      <c r="U98" s="1313">
        <f>+'NEW Spring CHP by DISC'!U98/15</f>
        <v>83.733333333333334</v>
      </c>
      <c r="V98" s="1313">
        <f>+'NEW Spring CHP by DISC'!V98/15</f>
        <v>13.333333333333334</v>
      </c>
      <c r="W98" s="1313">
        <f>+'NEW Spring CHP by DISC'!W98/12</f>
        <v>0</v>
      </c>
      <c r="X98" s="490">
        <f>SUM(U98:W98)</f>
        <v>97.066666666666663</v>
      </c>
      <c r="Y98" s="1307">
        <f t="shared" ref="Y98:Y103" si="107">IF(S98&gt;0,(X98-S98)/S98,(IF(X98=0,"N/A",100%)))</f>
        <v>-9.8452012383901E-2</v>
      </c>
      <c r="Z98" s="1312">
        <f>+'NEW Spring CHP by DISC'!Z98/15</f>
        <v>85.333333333333329</v>
      </c>
      <c r="AA98" s="1312">
        <f>+'NEW Spring CHP by DISC'!AA98/15</f>
        <v>19.2</v>
      </c>
      <c r="AB98" s="1312">
        <f>+'NEW Spring CHP by DISC'!AB98/12</f>
        <v>0</v>
      </c>
      <c r="AC98" s="973">
        <f>SUM(Z98:AB98)</f>
        <v>104.53333333333333</v>
      </c>
      <c r="AD98" s="1320">
        <f t="shared" ref="AD98:AD103" si="108">IF(X98&gt;0,(AC98-X98)/X98,(IF(AC98=0,"N/A",100%)))</f>
        <v>7.6923076923076941E-2</v>
      </c>
      <c r="AE98" s="1312">
        <f>+'NEW Spring CHP by DISC'!AE98/15</f>
        <v>80</v>
      </c>
      <c r="AF98" s="1312">
        <f>+'NEW Spring CHP by DISC'!AF98/15</f>
        <v>17.666666666666668</v>
      </c>
      <c r="AG98" s="1312">
        <f>+'NEW Spring CHP by DISC'!AG98/12</f>
        <v>0</v>
      </c>
      <c r="AH98" s="973">
        <f>SUM(AE98:AG98)</f>
        <v>97.666666666666671</v>
      </c>
      <c r="AI98" s="1320">
        <f t="shared" ref="AI98:AI103" si="109">IF(AC98&gt;0,(AH98-AC98)/AC98,(IF(AH98=0,"N/A",100%)))</f>
        <v>-6.5688775510204023E-2</v>
      </c>
      <c r="AJ98" s="1312">
        <f>+'NEW Spring CHP by DISC'!AJ98/15</f>
        <v>73.86666666666666</v>
      </c>
      <c r="AK98" s="1312">
        <f>+'NEW Spring CHP by DISC'!AK98/15</f>
        <v>14.8</v>
      </c>
      <c r="AL98" s="1312">
        <f>+'NEW Spring CHP by DISC'!AL98/12</f>
        <v>0</v>
      </c>
      <c r="AM98" s="973">
        <f>SUM(AJ98:AL98)</f>
        <v>88.666666666666657</v>
      </c>
      <c r="AN98" s="1320">
        <f t="shared" ref="AN98:AN103" si="110">IF(AH98&gt;0,(AM98-AH98)/AH98,(IF(AM98=0,"N/A",100%)))</f>
        <v>-9.21501706484643E-2</v>
      </c>
      <c r="AO98" s="1312">
        <f>+'NEW Spring CHP by DISC'!AO98/15</f>
        <v>74.13333333333334</v>
      </c>
      <c r="AP98" s="1312">
        <f>+'NEW Spring CHP by DISC'!AP98/15</f>
        <v>21.933333333333334</v>
      </c>
      <c r="AQ98" s="1312">
        <f>+'NEW Spring CHP by DISC'!AQ98/12</f>
        <v>0</v>
      </c>
      <c r="AR98" s="973">
        <f>SUM(AO98:AQ98)</f>
        <v>96.066666666666677</v>
      </c>
      <c r="AS98" s="1320">
        <f t="shared" ref="AS98:AS103" si="111">IF(AM98&gt;0,(AR98-AM98)/AM98,(IF(AR98=0,"N/A",100%)))</f>
        <v>8.3458646616541593E-2</v>
      </c>
    </row>
    <row r="99" spans="1:45" x14ac:dyDescent="0.25">
      <c r="A99" s="1319" t="s">
        <v>1062</v>
      </c>
      <c r="B99" s="1313">
        <f>+'NEW Spring CHP by DISC'!B99/15</f>
        <v>0</v>
      </c>
      <c r="C99" s="1313">
        <f>+'NEW Spring CHP by DISC'!C99/15</f>
        <v>0.53333333333333333</v>
      </c>
      <c r="D99" s="1313">
        <f>+'NEW Spring CHP by DISC'!D99/12</f>
        <v>0</v>
      </c>
      <c r="E99" s="326">
        <f>SUM(B99:D99)</f>
        <v>0.53333333333333333</v>
      </c>
      <c r="F99" s="1313">
        <f>+'NEW Spring CHP by DISC'!F99/15</f>
        <v>0</v>
      </c>
      <c r="G99" s="1313">
        <f>+'NEW Spring CHP by DISC'!G99/15</f>
        <v>1.8</v>
      </c>
      <c r="H99" s="1313">
        <f>+'NEW Spring CHP by DISC'!H99/12</f>
        <v>0</v>
      </c>
      <c r="I99" s="490">
        <f>SUM(F99:H99)</f>
        <v>1.8</v>
      </c>
      <c r="J99" s="491">
        <f t="shared" si="104"/>
        <v>2.375</v>
      </c>
      <c r="K99" s="772">
        <f>+'NEW Spring CHP by DISC'!K99/15</f>
        <v>0</v>
      </c>
      <c r="L99" s="1313">
        <f>+'NEW Spring CHP by DISC'!L99/15</f>
        <v>1.0666666666666667</v>
      </c>
      <c r="M99" s="1313">
        <f>+'NEW Spring CHP by DISC'!M99/12</f>
        <v>0</v>
      </c>
      <c r="N99" s="490">
        <f>SUM(K99:M99)</f>
        <v>1.0666666666666667</v>
      </c>
      <c r="O99" s="1307">
        <f t="shared" si="105"/>
        <v>-0.40740740740740744</v>
      </c>
      <c r="P99" s="772">
        <f>+'NEW Spring CHP by DISC'!P99/15</f>
        <v>0</v>
      </c>
      <c r="Q99" s="1313">
        <f>+'NEW Spring CHP by DISC'!Q99/15</f>
        <v>4.8</v>
      </c>
      <c r="R99" s="1313">
        <f>+'NEW Spring CHP by DISC'!R99/12</f>
        <v>0</v>
      </c>
      <c r="S99" s="490">
        <f>SUM(P99:R99)</f>
        <v>4.8</v>
      </c>
      <c r="T99" s="1307">
        <f t="shared" si="106"/>
        <v>3.5</v>
      </c>
      <c r="U99" s="1313">
        <f>+'NEW Spring CHP by DISC'!U99/15</f>
        <v>0</v>
      </c>
      <c r="V99" s="1313">
        <f>+'NEW Spring CHP by DISC'!V99/15</f>
        <v>1.2</v>
      </c>
      <c r="W99" s="1313">
        <f>+'NEW Spring CHP by DISC'!W99/12</f>
        <v>0</v>
      </c>
      <c r="X99" s="490">
        <f>SUM(U99:W99)</f>
        <v>1.2</v>
      </c>
      <c r="Y99" s="1307">
        <f t="shared" si="107"/>
        <v>-0.75</v>
      </c>
      <c r="Z99" s="1312">
        <f>+'NEW Spring CHP by DISC'!Z99/15</f>
        <v>0</v>
      </c>
      <c r="AA99" s="1312">
        <f>+'NEW Spring CHP by DISC'!AA99/15</f>
        <v>3.4</v>
      </c>
      <c r="AB99" s="1312">
        <f>+'NEW Spring CHP by DISC'!AB99/12</f>
        <v>0</v>
      </c>
      <c r="AC99" s="973">
        <f>SUM(Z99:AB99)</f>
        <v>3.4</v>
      </c>
      <c r="AD99" s="1320">
        <f t="shared" si="108"/>
        <v>1.8333333333333335</v>
      </c>
      <c r="AE99" s="1312">
        <f>+'NEW Spring CHP by DISC'!AE99/15</f>
        <v>0</v>
      </c>
      <c r="AF99" s="1312">
        <f>+'NEW Spring CHP by DISC'!AF99/15</f>
        <v>1</v>
      </c>
      <c r="AG99" s="1312">
        <f>+'NEW Spring CHP by DISC'!AG99/12</f>
        <v>0</v>
      </c>
      <c r="AH99" s="973">
        <f>SUM(AE99:AG99)</f>
        <v>1</v>
      </c>
      <c r="AI99" s="1320">
        <f t="shared" si="109"/>
        <v>-0.70588235294117652</v>
      </c>
      <c r="AJ99" s="1312">
        <f>+'NEW Spring CHP by DISC'!AJ99/15</f>
        <v>0</v>
      </c>
      <c r="AK99" s="1312">
        <f>+'NEW Spring CHP by DISC'!AK99/15</f>
        <v>2.0666666666666669</v>
      </c>
      <c r="AL99" s="1312">
        <f>+'NEW Spring CHP by DISC'!AL99/12</f>
        <v>0</v>
      </c>
      <c r="AM99" s="973">
        <f>SUM(AJ99:AL99)</f>
        <v>2.0666666666666669</v>
      </c>
      <c r="AN99" s="1320">
        <f t="shared" si="110"/>
        <v>1.0666666666666669</v>
      </c>
      <c r="AO99" s="1312">
        <f>+'NEW Spring CHP by DISC'!AO99/15</f>
        <v>0</v>
      </c>
      <c r="AP99" s="1312">
        <f>+'NEW Spring CHP by DISC'!AP99/15</f>
        <v>0.8</v>
      </c>
      <c r="AQ99" s="1312">
        <f>+'NEW Spring CHP by DISC'!AQ99/12</f>
        <v>0</v>
      </c>
      <c r="AR99" s="973">
        <f>SUM(AO99:AQ99)</f>
        <v>0.8</v>
      </c>
      <c r="AS99" s="1320">
        <f t="shared" si="111"/>
        <v>-0.61290322580645162</v>
      </c>
    </row>
    <row r="100" spans="1:45" x14ac:dyDescent="0.25">
      <c r="A100" s="1319" t="s">
        <v>1046</v>
      </c>
      <c r="B100" s="1313">
        <f>+'NEW Spring CHP by DISC'!B100/15</f>
        <v>10.133333333333333</v>
      </c>
      <c r="C100" s="1313">
        <f>+'NEW Spring CHP by DISC'!C100/15</f>
        <v>1</v>
      </c>
      <c r="D100" s="1313">
        <f>+'NEW Spring CHP by DISC'!D100/12</f>
        <v>0</v>
      </c>
      <c r="E100" s="326">
        <f>SUM(B100:D100)</f>
        <v>11.133333333333333</v>
      </c>
      <c r="F100" s="1313">
        <f>+'NEW Spring CHP by DISC'!F100/15</f>
        <v>11.466666666666667</v>
      </c>
      <c r="G100" s="1313">
        <f>+'NEW Spring CHP by DISC'!G100/15</f>
        <v>0</v>
      </c>
      <c r="H100" s="1313">
        <f>+'NEW Spring CHP by DISC'!H100/12</f>
        <v>0</v>
      </c>
      <c r="I100" s="490">
        <f>SUM(F100:H100)</f>
        <v>11.466666666666667</v>
      </c>
      <c r="J100" s="491">
        <f t="shared" si="104"/>
        <v>2.9940119760479098E-2</v>
      </c>
      <c r="K100" s="772">
        <f>+'NEW Spring CHP by DISC'!K100/15</f>
        <v>10.666666666666666</v>
      </c>
      <c r="L100" s="1313">
        <f>+'NEW Spring CHP by DISC'!L100/15</f>
        <v>1</v>
      </c>
      <c r="M100" s="1313">
        <f>+'NEW Spring CHP by DISC'!M100/12</f>
        <v>0</v>
      </c>
      <c r="N100" s="490">
        <f>SUM(K100:M100)</f>
        <v>11.666666666666666</v>
      </c>
      <c r="O100" s="1307">
        <f t="shared" si="105"/>
        <v>1.7441860465116216E-2</v>
      </c>
      <c r="P100" s="772">
        <f>+'NEW Spring CHP by DISC'!P100/15</f>
        <v>10.666666666666666</v>
      </c>
      <c r="Q100" s="1313">
        <f>+'NEW Spring CHP by DISC'!Q100/15</f>
        <v>0</v>
      </c>
      <c r="R100" s="1313">
        <f>+'NEW Spring CHP by DISC'!R100/12</f>
        <v>0</v>
      </c>
      <c r="S100" s="490">
        <f>SUM(P100:R100)</f>
        <v>10.666666666666666</v>
      </c>
      <c r="T100" s="1307">
        <f t="shared" si="106"/>
        <v>-8.5714285714285715E-2</v>
      </c>
      <c r="U100" s="1313">
        <f>+'NEW Spring CHP by DISC'!U100/15</f>
        <v>10.666666666666666</v>
      </c>
      <c r="V100" s="1313">
        <f>+'NEW Spring CHP by DISC'!V100/15</f>
        <v>1.6</v>
      </c>
      <c r="W100" s="1313">
        <f>+'NEW Spring CHP by DISC'!W100/12</f>
        <v>0</v>
      </c>
      <c r="X100" s="490">
        <f>SUM(U100:W100)</f>
        <v>12.266666666666666</v>
      </c>
      <c r="Y100" s="1307">
        <f t="shared" si="107"/>
        <v>0.14999999999999997</v>
      </c>
      <c r="Z100" s="1312">
        <f>+'NEW Spring CHP by DISC'!Z100/15</f>
        <v>10.666666666666666</v>
      </c>
      <c r="AA100" s="1312">
        <f>+'NEW Spring CHP by DISC'!AA100/15</f>
        <v>0</v>
      </c>
      <c r="AB100" s="1312">
        <f>+'NEW Spring CHP by DISC'!AB100/12</f>
        <v>0</v>
      </c>
      <c r="AC100" s="973">
        <f>SUM(Z100:AB100)</f>
        <v>10.666666666666666</v>
      </c>
      <c r="AD100" s="1320">
        <f t="shared" si="108"/>
        <v>-0.13043478260869562</v>
      </c>
      <c r="AE100" s="1312">
        <f>+'NEW Spring CHP by DISC'!AE100/15</f>
        <v>11.2</v>
      </c>
      <c r="AF100" s="1312">
        <f>+'NEW Spring CHP by DISC'!AF100/15</f>
        <v>1.8</v>
      </c>
      <c r="AG100" s="1312">
        <f>+'NEW Spring CHP by DISC'!AG100/12</f>
        <v>0</v>
      </c>
      <c r="AH100" s="973">
        <f>SUM(AE100:AG100)</f>
        <v>13</v>
      </c>
      <c r="AI100" s="1320">
        <f t="shared" si="109"/>
        <v>0.21875000000000006</v>
      </c>
      <c r="AJ100" s="1312">
        <f>+'NEW Spring CHP by DISC'!AJ100/15</f>
        <v>10.666666666666666</v>
      </c>
      <c r="AK100" s="1312">
        <f>+'NEW Spring CHP by DISC'!AK100/15</f>
        <v>0</v>
      </c>
      <c r="AL100" s="1312">
        <f>+'NEW Spring CHP by DISC'!AL100/12</f>
        <v>0</v>
      </c>
      <c r="AM100" s="973">
        <f>SUM(AJ100:AL100)</f>
        <v>10.666666666666666</v>
      </c>
      <c r="AN100" s="1320">
        <f t="shared" si="110"/>
        <v>-0.17948717948717954</v>
      </c>
      <c r="AO100" s="1312">
        <f>+'NEW Spring CHP by DISC'!AO100/15</f>
        <v>10.133333333333333</v>
      </c>
      <c r="AP100" s="1312">
        <f>+'NEW Spring CHP by DISC'!AP100/15</f>
        <v>1</v>
      </c>
      <c r="AQ100" s="1312">
        <f>+'NEW Spring CHP by DISC'!AQ100/12</f>
        <v>0</v>
      </c>
      <c r="AR100" s="973">
        <f>SUM(AO100:AQ100)</f>
        <v>11.133333333333333</v>
      </c>
      <c r="AS100" s="1320">
        <f t="shared" si="111"/>
        <v>4.3750000000000011E-2</v>
      </c>
    </row>
    <row r="101" spans="1:45" x14ac:dyDescent="0.25">
      <c r="A101" s="1319" t="s">
        <v>1064</v>
      </c>
      <c r="B101" s="1313">
        <f>+'NEW Spring CHP by DISC'!B101/15</f>
        <v>10.933333333333334</v>
      </c>
      <c r="C101" s="1313">
        <f>+'NEW Spring CHP by DISC'!C101/15</f>
        <v>0.8</v>
      </c>
      <c r="D101" s="1313">
        <f>+'NEW Spring CHP by DISC'!D101/12</f>
        <v>0</v>
      </c>
      <c r="E101" s="326">
        <f>SUM(B101:D101)</f>
        <v>11.733333333333334</v>
      </c>
      <c r="F101" s="1313">
        <f>+'NEW Spring CHP by DISC'!F101/15</f>
        <v>7.4666666666666668</v>
      </c>
      <c r="G101" s="1313">
        <f>+'NEW Spring CHP by DISC'!G101/15</f>
        <v>0</v>
      </c>
      <c r="H101" s="1313">
        <f>+'NEW Spring CHP by DISC'!H101/12</f>
        <v>0</v>
      </c>
      <c r="I101" s="490">
        <f>SUM(F101:H101)</f>
        <v>7.4666666666666668</v>
      </c>
      <c r="J101" s="491">
        <f t="shared" si="104"/>
        <v>-0.3636363636363637</v>
      </c>
      <c r="K101" s="772">
        <f>+'NEW Spring CHP by DISC'!K101/15</f>
        <v>7.4666666666666668</v>
      </c>
      <c r="L101" s="1313">
        <f>+'NEW Spring CHP by DISC'!L101/15</f>
        <v>0.53333333333333333</v>
      </c>
      <c r="M101" s="1313">
        <f>+'NEW Spring CHP by DISC'!M101/12</f>
        <v>0</v>
      </c>
      <c r="N101" s="490">
        <f>SUM(K101:M101)</f>
        <v>8</v>
      </c>
      <c r="O101" s="1307">
        <f t="shared" si="105"/>
        <v>7.1428571428571411E-2</v>
      </c>
      <c r="P101" s="772">
        <f>+'NEW Spring CHP by DISC'!P101/15</f>
        <v>11.466666666666667</v>
      </c>
      <c r="Q101" s="1313">
        <f>+'NEW Spring CHP by DISC'!Q101/15</f>
        <v>0</v>
      </c>
      <c r="R101" s="1313">
        <f>+'NEW Spring CHP by DISC'!R101/12</f>
        <v>0</v>
      </c>
      <c r="S101" s="490">
        <f>SUM(P101:R101)</f>
        <v>11.466666666666667</v>
      </c>
      <c r="T101" s="1307">
        <f t="shared" si="106"/>
        <v>0.43333333333333335</v>
      </c>
      <c r="U101" s="1313">
        <f>+'NEW Spring CHP by DISC'!U101/15</f>
        <v>8</v>
      </c>
      <c r="V101" s="1313">
        <f>+'NEW Spring CHP by DISC'!V101/15</f>
        <v>0</v>
      </c>
      <c r="W101" s="1313">
        <f>+'NEW Spring CHP by DISC'!W101/12</f>
        <v>0</v>
      </c>
      <c r="X101" s="490">
        <f>SUM(U101:W101)</f>
        <v>8</v>
      </c>
      <c r="Y101" s="1307">
        <f t="shared" si="107"/>
        <v>-0.30232558139534882</v>
      </c>
      <c r="Z101" s="1312">
        <f>+'NEW Spring CHP by DISC'!Z101/15</f>
        <v>11.2</v>
      </c>
      <c r="AA101" s="1312">
        <f>+'NEW Spring CHP by DISC'!AA101/15</f>
        <v>0</v>
      </c>
      <c r="AB101" s="1312">
        <f>+'NEW Spring CHP by DISC'!AB101/12</f>
        <v>0</v>
      </c>
      <c r="AC101" s="973">
        <f>SUM(Z101:AB101)</f>
        <v>11.2</v>
      </c>
      <c r="AD101" s="1320">
        <f t="shared" si="108"/>
        <v>0.39999999999999991</v>
      </c>
      <c r="AE101" s="1312">
        <f>+'NEW Spring CHP by DISC'!AE101/15</f>
        <v>7.2</v>
      </c>
      <c r="AF101" s="1312">
        <f>+'NEW Spring CHP by DISC'!AF101/15</f>
        <v>0.26666666666666666</v>
      </c>
      <c r="AG101" s="1312">
        <f>+'NEW Spring CHP by DISC'!AG101/12</f>
        <v>0</v>
      </c>
      <c r="AH101" s="973">
        <f>SUM(AE101:AG101)</f>
        <v>7.4666666666666668</v>
      </c>
      <c r="AI101" s="1320">
        <f t="shared" si="109"/>
        <v>-0.33333333333333326</v>
      </c>
      <c r="AJ101" s="1312">
        <f>+'NEW Spring CHP by DISC'!AJ101/15</f>
        <v>16.8</v>
      </c>
      <c r="AK101" s="1312">
        <f>+'NEW Spring CHP by DISC'!AK101/15</f>
        <v>0</v>
      </c>
      <c r="AL101" s="1312">
        <f>+'NEW Spring CHP by DISC'!AL101/12</f>
        <v>0</v>
      </c>
      <c r="AM101" s="973">
        <f>SUM(AJ101:AL101)</f>
        <v>16.8</v>
      </c>
      <c r="AN101" s="1320">
        <f t="shared" si="110"/>
        <v>1.25</v>
      </c>
      <c r="AO101" s="1312">
        <f>+'NEW Spring CHP by DISC'!AO101/15</f>
        <v>0</v>
      </c>
      <c r="AP101" s="1312">
        <f>+'NEW Spring CHP by DISC'!AP101/15</f>
        <v>8</v>
      </c>
      <c r="AQ101" s="1312">
        <f>+'NEW Spring CHP by DISC'!AQ101/12</f>
        <v>0</v>
      </c>
      <c r="AR101" s="973">
        <f>SUM(AO101:AQ101)</f>
        <v>8</v>
      </c>
      <c r="AS101" s="1320">
        <f t="shared" si="111"/>
        <v>-0.52380952380952384</v>
      </c>
    </row>
    <row r="102" spans="1:45" x14ac:dyDescent="0.25">
      <c r="A102" s="1319" t="s">
        <v>1065</v>
      </c>
      <c r="B102" s="1313">
        <f>+'NEW Spring CHP by DISC'!B102/15</f>
        <v>21.066666666666666</v>
      </c>
      <c r="C102" s="1313">
        <f>+'NEW Spring CHP by DISC'!C102/15</f>
        <v>0</v>
      </c>
      <c r="D102" s="1313">
        <f>+'NEW Spring CHP by DISC'!D102/12</f>
        <v>0</v>
      </c>
      <c r="E102" s="326">
        <f>SUM(B102:D102)</f>
        <v>21.066666666666666</v>
      </c>
      <c r="F102" s="1313">
        <f>+'NEW Spring CHP by DISC'!F102/15</f>
        <v>26.133333333333333</v>
      </c>
      <c r="G102" s="1313">
        <f>+'NEW Spring CHP by DISC'!G102/15</f>
        <v>0</v>
      </c>
      <c r="H102" s="1313">
        <f>+'NEW Spring CHP by DISC'!H102/12</f>
        <v>0</v>
      </c>
      <c r="I102" s="490">
        <f>SUM(F102:H102)</f>
        <v>26.133333333333333</v>
      </c>
      <c r="J102" s="491">
        <f t="shared" si="104"/>
        <v>0.24050632911392406</v>
      </c>
      <c r="K102" s="772">
        <f>+'NEW Spring CHP by DISC'!K102/15</f>
        <v>30.133333333333333</v>
      </c>
      <c r="L102" s="1313">
        <f>+'NEW Spring CHP by DISC'!L102/15</f>
        <v>0</v>
      </c>
      <c r="M102" s="1313">
        <f>+'NEW Spring CHP by DISC'!M102/12</f>
        <v>0</v>
      </c>
      <c r="N102" s="490">
        <f>SUM(K102:M102)</f>
        <v>30.133333333333333</v>
      </c>
      <c r="O102" s="1307">
        <f t="shared" si="105"/>
        <v>0.15306122448979592</v>
      </c>
      <c r="P102" s="772">
        <f>+'NEW Spring CHP by DISC'!P102/15</f>
        <v>25.866666666666667</v>
      </c>
      <c r="Q102" s="1313">
        <f>+'NEW Spring CHP by DISC'!Q102/15</f>
        <v>0.93333333333333335</v>
      </c>
      <c r="R102" s="1313">
        <f>+'NEW Spring CHP by DISC'!R102/12</f>
        <v>0</v>
      </c>
      <c r="S102" s="490">
        <f>SUM(P102:R102)</f>
        <v>26.8</v>
      </c>
      <c r="T102" s="1307">
        <f t="shared" si="106"/>
        <v>-0.11061946902654864</v>
      </c>
      <c r="U102" s="1313">
        <f>+'NEW Spring CHP by DISC'!U102/15</f>
        <v>26.933333333333334</v>
      </c>
      <c r="V102" s="1313">
        <f>+'NEW Spring CHP by DISC'!V102/15</f>
        <v>2.6</v>
      </c>
      <c r="W102" s="1313">
        <f>+'NEW Spring CHP by DISC'!W102/12</f>
        <v>0</v>
      </c>
      <c r="X102" s="490">
        <f>SUM(U102:W102)</f>
        <v>29.533333333333335</v>
      </c>
      <c r="Y102" s="1307">
        <f t="shared" si="107"/>
        <v>0.10199004975124382</v>
      </c>
      <c r="Z102" s="1312">
        <f>+'NEW Spring CHP by DISC'!Z102/15</f>
        <v>21.333333333333332</v>
      </c>
      <c r="AA102" s="1312">
        <f>+'NEW Spring CHP by DISC'!AA102/15</f>
        <v>2</v>
      </c>
      <c r="AB102" s="1312">
        <f>+'NEW Spring CHP by DISC'!AB102/12</f>
        <v>0</v>
      </c>
      <c r="AC102" s="973">
        <f>SUM(Z102:AB102)</f>
        <v>23.333333333333332</v>
      </c>
      <c r="AD102" s="1320">
        <f t="shared" si="108"/>
        <v>-0.20993227990970664</v>
      </c>
      <c r="AE102" s="1312">
        <f>+'NEW Spring CHP by DISC'!AE102/15</f>
        <v>21.066666666666666</v>
      </c>
      <c r="AF102" s="1312">
        <f>+'NEW Spring CHP by DISC'!AF102/15</f>
        <v>3.4</v>
      </c>
      <c r="AG102" s="1312">
        <f>+'NEW Spring CHP by DISC'!AG102/12</f>
        <v>0</v>
      </c>
      <c r="AH102" s="973">
        <f>SUM(AE102:AG102)</f>
        <v>24.466666666666665</v>
      </c>
      <c r="AI102" s="1320">
        <f t="shared" si="109"/>
        <v>4.857142857142855E-2</v>
      </c>
      <c r="AJ102" s="1312">
        <f>+'NEW Spring CHP by DISC'!AJ102/15</f>
        <v>16</v>
      </c>
      <c r="AK102" s="1312">
        <f>+'NEW Spring CHP by DISC'!AK102/15</f>
        <v>3</v>
      </c>
      <c r="AL102" s="1312">
        <f>+'NEW Spring CHP by DISC'!AL102/12</f>
        <v>0</v>
      </c>
      <c r="AM102" s="973">
        <f>SUM(AJ102:AL102)</f>
        <v>19</v>
      </c>
      <c r="AN102" s="1320">
        <f t="shared" si="110"/>
        <v>-0.22343324250681193</v>
      </c>
      <c r="AO102" s="1312">
        <f>+'NEW Spring CHP by DISC'!AO102/15</f>
        <v>20.266666666666666</v>
      </c>
      <c r="AP102" s="1312">
        <f>+'NEW Spring CHP by DISC'!AP102/15</f>
        <v>2.2000000000000002</v>
      </c>
      <c r="AQ102" s="1312">
        <f>+'NEW Spring CHP by DISC'!AQ102/12</f>
        <v>0</v>
      </c>
      <c r="AR102" s="973">
        <f>SUM(AO102:AQ102)</f>
        <v>22.466666666666665</v>
      </c>
      <c r="AS102" s="1320">
        <f t="shared" si="111"/>
        <v>0.18245614035087709</v>
      </c>
    </row>
    <row r="103" spans="1:45" s="484" customFormat="1" ht="13.8" x14ac:dyDescent="0.25">
      <c r="A103" s="1345" t="s">
        <v>1015</v>
      </c>
      <c r="B103" s="494">
        <f t="shared" ref="B103:I103" si="112">SUM(B98:B102)</f>
        <v>108</v>
      </c>
      <c r="C103" s="494">
        <f t="shared" si="112"/>
        <v>15.066666666666666</v>
      </c>
      <c r="D103" s="494">
        <f t="shared" si="112"/>
        <v>0</v>
      </c>
      <c r="E103" s="495">
        <f t="shared" si="112"/>
        <v>123.06666666666665</v>
      </c>
      <c r="F103" s="493">
        <f t="shared" si="112"/>
        <v>108.53333333333333</v>
      </c>
      <c r="G103" s="494">
        <f t="shared" si="112"/>
        <v>21.333333333333336</v>
      </c>
      <c r="H103" s="494">
        <f t="shared" si="112"/>
        <v>0</v>
      </c>
      <c r="I103" s="494">
        <f t="shared" si="112"/>
        <v>129.86666666666667</v>
      </c>
      <c r="J103" s="496">
        <f t="shared" si="104"/>
        <v>5.5254604550379414E-2</v>
      </c>
      <c r="K103" s="1025">
        <f>SUM(K98:K102)</f>
        <v>128.53333333333333</v>
      </c>
      <c r="L103" s="494">
        <f>SUM(L98:L102)</f>
        <v>19.133333333333336</v>
      </c>
      <c r="M103" s="494">
        <f>SUM(M98:M102)</f>
        <v>0</v>
      </c>
      <c r="N103" s="494">
        <f>SUM(N98:N102)</f>
        <v>147.66666666666666</v>
      </c>
      <c r="O103" s="1323">
        <f t="shared" si="105"/>
        <v>0.13706365503080067</v>
      </c>
      <c r="P103" s="1025">
        <f>SUM(P98:P102)</f>
        <v>136</v>
      </c>
      <c r="Q103" s="494">
        <f>SUM(Q98:Q102)</f>
        <v>25.400000000000002</v>
      </c>
      <c r="R103" s="494">
        <f>SUM(R98:R102)</f>
        <v>0</v>
      </c>
      <c r="S103" s="494">
        <f>SUM(S98:S102)</f>
        <v>161.4</v>
      </c>
      <c r="T103" s="1323">
        <f t="shared" si="106"/>
        <v>9.3002257336343222E-2</v>
      </c>
      <c r="U103" s="493">
        <f>SUM(U98:U102)</f>
        <v>129.33333333333334</v>
      </c>
      <c r="V103" s="494">
        <f>SUM(V98:V102)</f>
        <v>18.733333333333334</v>
      </c>
      <c r="W103" s="494">
        <f>SUM(W98:W102)</f>
        <v>0</v>
      </c>
      <c r="X103" s="494">
        <f>SUM(X98:X102)</f>
        <v>148.06666666666666</v>
      </c>
      <c r="Y103" s="1323">
        <f t="shared" si="107"/>
        <v>-8.2610491532424668E-2</v>
      </c>
      <c r="Z103" s="1188">
        <f>SUM(Z98:Z102)</f>
        <v>128.53333333333333</v>
      </c>
      <c r="AA103" s="1189">
        <f>SUM(AA98:AA102)</f>
        <v>24.599999999999998</v>
      </c>
      <c r="AB103" s="1189">
        <f>SUM(AB98:AB102)</f>
        <v>0</v>
      </c>
      <c r="AC103" s="1189">
        <f>SUM(AC98:AC102)</f>
        <v>153.13333333333335</v>
      </c>
      <c r="AD103" s="1324">
        <f t="shared" si="108"/>
        <v>3.4218820351193321E-2</v>
      </c>
      <c r="AE103" s="1188">
        <f>SUM(AE98:AE102)</f>
        <v>119.46666666666667</v>
      </c>
      <c r="AF103" s="1189">
        <f>SUM(AF98:AF102)</f>
        <v>24.133333333333333</v>
      </c>
      <c r="AG103" s="1189">
        <f>SUM(AG98:AG102)</f>
        <v>0</v>
      </c>
      <c r="AH103" s="1189">
        <f>SUM(AH98:AH102)</f>
        <v>143.6</v>
      </c>
      <c r="AI103" s="1324">
        <f t="shared" si="109"/>
        <v>-6.2255115367871303E-2</v>
      </c>
      <c r="AJ103" s="1188">
        <f>SUM(AJ98:AJ102)</f>
        <v>117.33333333333333</v>
      </c>
      <c r="AK103" s="1189">
        <f>SUM(AK98:AK102)</f>
        <v>19.866666666666667</v>
      </c>
      <c r="AL103" s="1189">
        <f>SUM(AL98:AL102)</f>
        <v>0</v>
      </c>
      <c r="AM103" s="1189">
        <f>SUM(AM98:AM102)</f>
        <v>137.19999999999999</v>
      </c>
      <c r="AN103" s="1324">
        <f t="shared" si="110"/>
        <v>-4.4568245125348231E-2</v>
      </c>
      <c r="AO103" s="1188">
        <f>SUM(AO98:AO102)</f>
        <v>104.53333333333335</v>
      </c>
      <c r="AP103" s="1189">
        <f>SUM(AP98:AP102)</f>
        <v>33.933333333333337</v>
      </c>
      <c r="AQ103" s="1189">
        <f>SUM(AQ98:AQ102)</f>
        <v>0</v>
      </c>
      <c r="AR103" s="1189">
        <f>SUM(AR98:AR102)</f>
        <v>138.46666666666667</v>
      </c>
      <c r="AS103" s="1324">
        <f t="shared" si="111"/>
        <v>9.2322643343052489E-3</v>
      </c>
    </row>
    <row r="104" spans="1:45" customFormat="1" x14ac:dyDescent="0.25">
      <c r="A104" s="423" t="s">
        <v>413</v>
      </c>
      <c r="B104" s="515"/>
      <c r="C104" s="515"/>
      <c r="D104" s="515"/>
      <c r="E104" s="516"/>
      <c r="F104" s="517"/>
      <c r="G104" s="515"/>
      <c r="H104" s="515"/>
      <c r="I104" s="515"/>
      <c r="J104" s="516"/>
      <c r="K104" s="1043"/>
      <c r="L104" s="515"/>
      <c r="M104" s="515"/>
      <c r="N104" s="515"/>
      <c r="O104" s="516"/>
      <c r="P104" s="1043"/>
      <c r="Q104" s="515"/>
      <c r="R104" s="515"/>
      <c r="S104" s="515"/>
      <c r="T104" s="516"/>
      <c r="U104" s="517"/>
      <c r="V104" s="515"/>
      <c r="W104" s="515"/>
      <c r="X104" s="515"/>
      <c r="Y104" s="516"/>
      <c r="Z104" s="508"/>
      <c r="AA104" s="487"/>
      <c r="AB104" s="487"/>
      <c r="AC104" s="487"/>
      <c r="AD104" s="438"/>
      <c r="AE104" s="508"/>
      <c r="AF104" s="487"/>
      <c r="AG104" s="487"/>
      <c r="AH104" s="487"/>
      <c r="AI104" s="438"/>
      <c r="AJ104" s="508"/>
      <c r="AK104" s="487"/>
      <c r="AL104" s="487"/>
      <c r="AM104" s="487"/>
      <c r="AN104" s="438"/>
      <c r="AO104" s="508"/>
      <c r="AP104" s="487"/>
      <c r="AQ104" s="487"/>
      <c r="AR104" s="487"/>
      <c r="AS104" s="438"/>
    </row>
    <row r="105" spans="1:45" customFormat="1" x14ac:dyDescent="0.25">
      <c r="A105" s="1326" t="s">
        <v>1633</v>
      </c>
      <c r="B105" s="1313">
        <f>+'NEW Spring CHP by DISC'!B105/15</f>
        <v>0</v>
      </c>
      <c r="C105" s="1313">
        <f>+'NEW Spring CHP by DISC'!C105/15</f>
        <v>0</v>
      </c>
      <c r="D105" s="1313">
        <f>+'NEW Spring CHP by DISC'!D105/12</f>
        <v>0</v>
      </c>
      <c r="E105" s="326">
        <f>SUM(B105:D105)</f>
        <v>0</v>
      </c>
      <c r="F105" s="1313">
        <f>+'NEW Spring CHP by DISC'!F105/15</f>
        <v>0</v>
      </c>
      <c r="G105" s="1313">
        <f>+'NEW Spring CHP by DISC'!G105/15</f>
        <v>0</v>
      </c>
      <c r="H105" s="1313">
        <f>+'NEW Spring CHP by DISC'!H105/12</f>
        <v>0</v>
      </c>
      <c r="I105" s="490">
        <f>SUM(F105:H105)</f>
        <v>0</v>
      </c>
      <c r="J105" s="491" t="str">
        <f>IF(E105&gt;0,(I105-E105)/E105,(IF(I105=0,"N/A",100%)))</f>
        <v>N/A</v>
      </c>
      <c r="K105" s="772">
        <f>+'NEW Spring CHP by DISC'!K105/15</f>
        <v>0</v>
      </c>
      <c r="L105" s="1313">
        <f>+'NEW Spring CHP by DISC'!L105/15</f>
        <v>0</v>
      </c>
      <c r="M105" s="1313">
        <f>+'NEW Spring CHP by DISC'!M105/12</f>
        <v>0</v>
      </c>
      <c r="N105" s="490">
        <f>SUM(K105:M105)</f>
        <v>0</v>
      </c>
      <c r="O105" s="1307" t="str">
        <f>IF(I105&gt;0,(N105-I105)/I105,(IF(N105=0,"N/A",100%)))</f>
        <v>N/A</v>
      </c>
      <c r="P105" s="772">
        <f>+'NEW Spring CHP by DISC'!P105/15</f>
        <v>0</v>
      </c>
      <c r="Q105" s="1313">
        <f>+'NEW Spring CHP by DISC'!Q105/15</f>
        <v>0</v>
      </c>
      <c r="R105" s="1313">
        <f>+'NEW Spring CHP by DISC'!R105/12</f>
        <v>0</v>
      </c>
      <c r="S105" s="490">
        <f>SUM(P105:R105)</f>
        <v>0</v>
      </c>
      <c r="T105" s="1307" t="str">
        <f>IF(N105&gt;0,(S105-N105)/N105,(IF(S105=0,"N/A",100%)))</f>
        <v>N/A</v>
      </c>
      <c r="U105" s="1313">
        <f>+'NEW Spring CHP by DISC'!U105/15</f>
        <v>0</v>
      </c>
      <c r="V105" s="1313">
        <f>+'NEW Spring CHP by DISC'!V105/15</f>
        <v>0</v>
      </c>
      <c r="W105" s="1313">
        <f>+'NEW Spring CHP by DISC'!W105/12</f>
        <v>0</v>
      </c>
      <c r="X105" s="490">
        <f>SUM(U105:W105)</f>
        <v>0</v>
      </c>
      <c r="Y105" s="1307" t="str">
        <f>IF(S105&gt;0,(X105-S105)/S105,(IF(X105=0,"N/A",100%)))</f>
        <v>N/A</v>
      </c>
      <c r="Z105" s="1312">
        <f>+'NEW Spring CHP by DISC'!Z105/15</f>
        <v>0</v>
      </c>
      <c r="AA105" s="1312">
        <f>+'NEW Spring CHP by DISC'!AA105/15</f>
        <v>0</v>
      </c>
      <c r="AB105" s="1312">
        <f>+'NEW Spring CHP by DISC'!AB105/12</f>
        <v>0</v>
      </c>
      <c r="AC105" s="973">
        <f>SUM(Z105:AB105)</f>
        <v>0</v>
      </c>
      <c r="AD105" s="1320" t="str">
        <f>IF(X105&gt;0,(AC105-X105)/X105,(IF(AC105=0,"N/A",100%)))</f>
        <v>N/A</v>
      </c>
      <c r="AE105" s="1312">
        <f>+'NEW Spring CHP by DISC'!AE105/15</f>
        <v>0</v>
      </c>
      <c r="AF105" s="1312">
        <f>+'NEW Spring CHP by DISC'!AF105/15</f>
        <v>0</v>
      </c>
      <c r="AG105" s="1312">
        <f>+'NEW Spring CHP by DISC'!AG105/12</f>
        <v>1.5</v>
      </c>
      <c r="AH105" s="973">
        <f>SUM(AE105:AG105)</f>
        <v>1.5</v>
      </c>
      <c r="AI105" s="1320">
        <f>IF(AC105&gt;0,(AH105-AC105)/AC105,(IF(AH105=0,"N/A",100%)))</f>
        <v>1</v>
      </c>
      <c r="AJ105" s="1312">
        <f>+'NEW Spring CHP by DISC'!AJ105/15</f>
        <v>0</v>
      </c>
      <c r="AK105" s="1312">
        <f>+'NEW Spring CHP by DISC'!AK105/15</f>
        <v>0</v>
      </c>
      <c r="AL105" s="1312">
        <f>+'NEW Spring CHP by DISC'!AL105/12</f>
        <v>2</v>
      </c>
      <c r="AM105" s="973">
        <f>SUM(AJ105:AL105)</f>
        <v>2</v>
      </c>
      <c r="AN105" s="1320">
        <f>IF(AH105&gt;0,(AM105-AH105)/AH105,(IF(AM105=0,"N/A",100%)))</f>
        <v>0.33333333333333331</v>
      </c>
      <c r="AO105" s="1312">
        <f>+'NEW Spring CHP by DISC'!AO105/15</f>
        <v>0</v>
      </c>
      <c r="AP105" s="1312">
        <f>+'NEW Spring CHP by DISC'!AP105/15</f>
        <v>0</v>
      </c>
      <c r="AQ105" s="1312">
        <f>+'NEW Spring CHP by DISC'!AQ105/12</f>
        <v>0.75</v>
      </c>
      <c r="AR105" s="973">
        <f>SUM(AO105:AQ105)</f>
        <v>0.75</v>
      </c>
      <c r="AS105" s="1320">
        <f>IF(AM105&gt;0,(AR105-AM105)/AM105,(IF(AR105=0,"N/A",100%)))</f>
        <v>-0.625</v>
      </c>
    </row>
    <row r="106" spans="1:45" x14ac:dyDescent="0.25">
      <c r="A106" s="1326" t="s">
        <v>716</v>
      </c>
      <c r="B106" s="1313">
        <f>+'NEW Spring CHP by DISC'!B106/15</f>
        <v>0</v>
      </c>
      <c r="C106" s="1313">
        <f>+'NEW Spring CHP by DISC'!C106/15</f>
        <v>9.4666666666666668</v>
      </c>
      <c r="D106" s="1313">
        <f>+'NEW Spring CHP by DISC'!D106/12</f>
        <v>0</v>
      </c>
      <c r="E106" s="326">
        <f>SUM(B106:D106)</f>
        <v>9.4666666666666668</v>
      </c>
      <c r="F106" s="1313">
        <f>+'NEW Spring CHP by DISC'!F106/15</f>
        <v>0</v>
      </c>
      <c r="G106" s="1313">
        <f>+'NEW Spring CHP by DISC'!G106/15</f>
        <v>11.466666666666667</v>
      </c>
      <c r="H106" s="1313">
        <f>+'NEW Spring CHP by DISC'!H106/12</f>
        <v>0</v>
      </c>
      <c r="I106" s="490">
        <f>SUM(F106:H106)</f>
        <v>11.466666666666667</v>
      </c>
      <c r="J106" s="491">
        <f>IF(E106&gt;0,(I106-E106)/E106,(IF(I106=0,"N/A",100%)))</f>
        <v>0.21126760563380281</v>
      </c>
      <c r="K106" s="772">
        <f>+'NEW Spring CHP by DISC'!K106/15</f>
        <v>0</v>
      </c>
      <c r="L106" s="1313">
        <f>+'NEW Spring CHP by DISC'!L106/15</f>
        <v>8.6666666666666661</v>
      </c>
      <c r="M106" s="1313">
        <f>+'NEW Spring CHP by DISC'!M106/12</f>
        <v>0</v>
      </c>
      <c r="N106" s="490">
        <f>SUM(K106:M106)</f>
        <v>8.6666666666666661</v>
      </c>
      <c r="O106" s="1307">
        <f>IF(I106&gt;0,(N106-I106)/I106,(IF(N106=0,"N/A",100%)))</f>
        <v>-0.24418604651162798</v>
      </c>
      <c r="P106" s="772">
        <f>+'NEW Spring CHP by DISC'!P106/15</f>
        <v>1.4</v>
      </c>
      <c r="Q106" s="1313">
        <f>+'NEW Spring CHP by DISC'!Q106/15</f>
        <v>13.4</v>
      </c>
      <c r="R106" s="1313">
        <f>+'NEW Spring CHP by DISC'!R106/12</f>
        <v>0</v>
      </c>
      <c r="S106" s="490">
        <f>SUM(P106:R106)</f>
        <v>14.8</v>
      </c>
      <c r="T106" s="1307">
        <f>IF(N106&gt;0,(S106-N106)/N106,(IF(S106=0,"N/A",100%)))</f>
        <v>0.70769230769230784</v>
      </c>
      <c r="U106" s="1313">
        <f>+'NEW Spring CHP by DISC'!U106/15</f>
        <v>4</v>
      </c>
      <c r="V106" s="1313">
        <f>+'NEW Spring CHP by DISC'!V106/15</f>
        <v>22.666666666666668</v>
      </c>
      <c r="W106" s="1313">
        <f>+'NEW Spring CHP by DISC'!W106/12</f>
        <v>0</v>
      </c>
      <c r="X106" s="490">
        <f>SUM(U106:W106)</f>
        <v>26.666666666666668</v>
      </c>
      <c r="Y106" s="1307">
        <f>IF(S106&gt;0,(X106-S106)/S106,(IF(X106=0,"N/A",100%)))</f>
        <v>0.80180180180180183</v>
      </c>
      <c r="Z106" s="1312">
        <f>+'NEW Spring CHP by DISC'!Z106/15</f>
        <v>4</v>
      </c>
      <c r="AA106" s="1312">
        <f>+'NEW Spring CHP by DISC'!AA106/15</f>
        <v>16.466666666666665</v>
      </c>
      <c r="AB106" s="1312">
        <f>+'NEW Spring CHP by DISC'!AB106/12</f>
        <v>0</v>
      </c>
      <c r="AC106" s="973">
        <f>SUM(Z106:AB106)</f>
        <v>20.466666666666665</v>
      </c>
      <c r="AD106" s="1320">
        <f>IF(X106&gt;0,(AC106-X106)/X106,(IF(AC106=0,"N/A",100%)))</f>
        <v>-0.2325000000000001</v>
      </c>
      <c r="AE106" s="1312">
        <f>+'NEW Spring CHP by DISC'!AE106/15</f>
        <v>1.6</v>
      </c>
      <c r="AF106" s="1312">
        <f>+'NEW Spring CHP by DISC'!AF106/15</f>
        <v>15.333333333333334</v>
      </c>
      <c r="AG106" s="1312">
        <f>+'NEW Spring CHP by DISC'!AG106/12</f>
        <v>0</v>
      </c>
      <c r="AH106" s="973">
        <f>SUM(AE106:AG106)</f>
        <v>16.933333333333334</v>
      </c>
      <c r="AI106" s="1320">
        <f>IF(AC106&gt;0,(AH106-AC106)/AC106,(IF(AH106=0,"N/A",100%)))</f>
        <v>-0.1726384364820846</v>
      </c>
      <c r="AJ106" s="1312">
        <f>+'NEW Spring CHP by DISC'!AJ106/15</f>
        <v>2</v>
      </c>
      <c r="AK106" s="1312">
        <f>+'NEW Spring CHP by DISC'!AK106/15</f>
        <v>15.466666666666667</v>
      </c>
      <c r="AL106" s="1312">
        <f>+'NEW Spring CHP by DISC'!AL106/12</f>
        <v>0</v>
      </c>
      <c r="AM106" s="973">
        <f>SUM(AJ106:AL106)</f>
        <v>17.466666666666669</v>
      </c>
      <c r="AN106" s="1320">
        <f>IF(AH106&gt;0,(AM106-AH106)/AH106,(IF(AM106=0,"N/A",100%)))</f>
        <v>3.1496062992126081E-2</v>
      </c>
      <c r="AO106" s="1312">
        <f>+'NEW Spring CHP by DISC'!AO106/15</f>
        <v>0</v>
      </c>
      <c r="AP106" s="1312">
        <f>+'NEW Spring CHP by DISC'!AP106/15</f>
        <v>9.6666666666666661</v>
      </c>
      <c r="AQ106" s="1312">
        <f>+'NEW Spring CHP by DISC'!AQ106/12</f>
        <v>0</v>
      </c>
      <c r="AR106" s="973">
        <f>SUM(AO106:AQ106)</f>
        <v>9.6666666666666661</v>
      </c>
      <c r="AS106" s="1320">
        <f>IF(AM106&gt;0,(AR106-AM106)/AM106,(IF(AR106=0,"N/A",100%)))</f>
        <v>-0.44656488549618328</v>
      </c>
    </row>
    <row r="107" spans="1:45" x14ac:dyDescent="0.25">
      <c r="A107" s="1326" t="s">
        <v>1051</v>
      </c>
      <c r="B107" s="1313">
        <f>+'NEW Spring CHP by DISC'!B107/15</f>
        <v>32.93333333333333</v>
      </c>
      <c r="C107" s="1313">
        <f>+'NEW Spring CHP by DISC'!C107/15</f>
        <v>47.6</v>
      </c>
      <c r="D107" s="1313">
        <f>+'NEW Spring CHP by DISC'!D107/12</f>
        <v>0</v>
      </c>
      <c r="E107" s="326">
        <f>SUM(B107:D107)</f>
        <v>80.533333333333331</v>
      </c>
      <c r="F107" s="1313">
        <f>+'NEW Spring CHP by DISC'!F107/15</f>
        <v>32.733333333333334</v>
      </c>
      <c r="G107" s="1313">
        <f>+'NEW Spring CHP by DISC'!G107/15</f>
        <v>54.133333333333333</v>
      </c>
      <c r="H107" s="1313">
        <f>+'NEW Spring CHP by DISC'!H107/12</f>
        <v>0</v>
      </c>
      <c r="I107" s="490">
        <f>SUM(F107:H107)</f>
        <v>86.866666666666674</v>
      </c>
      <c r="J107" s="491">
        <f>IF(E107&gt;0,(I107-E107)/E107,(IF(I107=0,"N/A",100%)))</f>
        <v>7.8642384105960389E-2</v>
      </c>
      <c r="K107" s="772">
        <f>+'NEW Spring CHP by DISC'!K107/15</f>
        <v>37.06666666666667</v>
      </c>
      <c r="L107" s="1313">
        <f>+'NEW Spring CHP by DISC'!L107/15</f>
        <v>61.2</v>
      </c>
      <c r="M107" s="1313">
        <f>+'NEW Spring CHP by DISC'!M107/12</f>
        <v>0</v>
      </c>
      <c r="N107" s="490">
        <f>SUM(K107:M107)</f>
        <v>98.26666666666668</v>
      </c>
      <c r="O107" s="1307">
        <f>IF(I107&gt;0,(N107-I107)/I107,(IF(N107=0,"N/A",100%)))</f>
        <v>0.13123561013046819</v>
      </c>
      <c r="P107" s="772">
        <f>+'NEW Spring CHP by DISC'!P107/15</f>
        <v>41.4</v>
      </c>
      <c r="Q107" s="1313">
        <f>+'NEW Spring CHP by DISC'!Q107/15</f>
        <v>64.533333333333331</v>
      </c>
      <c r="R107" s="1313">
        <f>+'NEW Spring CHP by DISC'!R107/12</f>
        <v>0</v>
      </c>
      <c r="S107" s="490">
        <f>SUM(P107:R107)</f>
        <v>105.93333333333334</v>
      </c>
      <c r="T107" s="1307">
        <f>IF(N107&gt;0,(S107-N107)/N107,(IF(S107=0,"N/A",100%)))</f>
        <v>7.8018995929443585E-2</v>
      </c>
      <c r="U107" s="1313">
        <f>+'NEW Spring CHP by DISC'!U107/15</f>
        <v>42.866666666666667</v>
      </c>
      <c r="V107" s="1313">
        <f>+'NEW Spring CHP by DISC'!V107/15</f>
        <v>73.933333333333337</v>
      </c>
      <c r="W107" s="1313">
        <f>+'NEW Spring CHP by DISC'!W107/12</f>
        <v>0</v>
      </c>
      <c r="X107" s="490">
        <f>SUM(U107:W107)</f>
        <v>116.80000000000001</v>
      </c>
      <c r="Y107" s="1307">
        <f>IF(S107&gt;0,(X107-S107)/S107,(IF(X107=0,"N/A",100%)))</f>
        <v>0.10258023914411586</v>
      </c>
      <c r="Z107" s="1312">
        <f>+'NEW Spring CHP by DISC'!Z107/15</f>
        <v>50.2</v>
      </c>
      <c r="AA107" s="1312">
        <f>+'NEW Spring CHP by DISC'!AA107/15</f>
        <v>82.8</v>
      </c>
      <c r="AB107" s="1312">
        <f>+'NEW Spring CHP by DISC'!AB107/12</f>
        <v>0</v>
      </c>
      <c r="AC107" s="973">
        <f>SUM(Z107:AB107)</f>
        <v>133</v>
      </c>
      <c r="AD107" s="1320">
        <f>IF(X107&gt;0,(AC107-X107)/X107,(IF(AC107=0,"N/A",100%)))</f>
        <v>0.13869863013698619</v>
      </c>
      <c r="AE107" s="1312">
        <f>+'NEW Spring CHP by DISC'!AE107/15</f>
        <v>32.866666666666667</v>
      </c>
      <c r="AF107" s="1312">
        <f>+'NEW Spring CHP by DISC'!AF107/15</f>
        <v>88.4</v>
      </c>
      <c r="AG107" s="1312">
        <f>+'NEW Spring CHP by DISC'!AG107/12</f>
        <v>0</v>
      </c>
      <c r="AH107" s="973">
        <f>SUM(AE107:AG107)</f>
        <v>121.26666666666668</v>
      </c>
      <c r="AI107" s="1320">
        <f>IF(AC107&gt;0,(AH107-AC107)/AC107,(IF(AH107=0,"N/A",100%)))</f>
        <v>-8.8220551378446019E-2</v>
      </c>
      <c r="AJ107" s="1312">
        <f>+'NEW Spring CHP by DISC'!AJ107/15</f>
        <v>28.533333333333335</v>
      </c>
      <c r="AK107" s="1312">
        <f>+'NEW Spring CHP by DISC'!AK107/15</f>
        <v>64.733333333333334</v>
      </c>
      <c r="AL107" s="1312">
        <f>+'NEW Spring CHP by DISC'!AL107/12</f>
        <v>0</v>
      </c>
      <c r="AM107" s="973">
        <f>SUM(AJ107:AL107)</f>
        <v>93.266666666666666</v>
      </c>
      <c r="AN107" s="1320">
        <f>IF(AH107&gt;0,(AM107-AH107)/AH107,(IF(AM107=0,"N/A",100%)))</f>
        <v>-0.2308960967564597</v>
      </c>
      <c r="AO107" s="1312">
        <f>+'NEW Spring CHP by DISC'!AO107/15</f>
        <v>5.7333333333333334</v>
      </c>
      <c r="AP107" s="1312">
        <f>+'NEW Spring CHP by DISC'!AP107/15</f>
        <v>101.86666666666666</v>
      </c>
      <c r="AQ107" s="1312">
        <f>+'NEW Spring CHP by DISC'!AQ107/12</f>
        <v>0</v>
      </c>
      <c r="AR107" s="973">
        <f>SUM(AO107:AQ107)</f>
        <v>107.6</v>
      </c>
      <c r="AS107" s="1320">
        <f>IF(AM107&gt;0,(AR107-AM107)/AM107,(IF(AR107=0,"N/A",100%)))</f>
        <v>0.1536812008577555</v>
      </c>
    </row>
    <row r="108" spans="1:45" s="484" customFormat="1" ht="13.8" x14ac:dyDescent="0.25">
      <c r="A108" s="1327" t="s">
        <v>1015</v>
      </c>
      <c r="B108" s="494">
        <f t="shared" ref="B108:I108" si="113">SUM(B105:B107)</f>
        <v>32.93333333333333</v>
      </c>
      <c r="C108" s="494">
        <f t="shared" si="113"/>
        <v>57.06666666666667</v>
      </c>
      <c r="D108" s="494">
        <f t="shared" si="113"/>
        <v>0</v>
      </c>
      <c r="E108" s="494">
        <f t="shared" si="113"/>
        <v>90</v>
      </c>
      <c r="F108" s="494">
        <f t="shared" si="113"/>
        <v>32.733333333333334</v>
      </c>
      <c r="G108" s="494">
        <f t="shared" si="113"/>
        <v>65.599999999999994</v>
      </c>
      <c r="H108" s="494">
        <f t="shared" si="113"/>
        <v>0</v>
      </c>
      <c r="I108" s="494">
        <f t="shared" si="113"/>
        <v>98.333333333333343</v>
      </c>
      <c r="J108" s="496">
        <f>IF(E108&gt;0,(I108-E108)/E108,(IF(I108=0,"N/A",100%)))</f>
        <v>9.2592592592592698E-2</v>
      </c>
      <c r="K108" s="494">
        <f>SUM(K105:K107)</f>
        <v>37.06666666666667</v>
      </c>
      <c r="L108" s="494">
        <f>SUM(L105:L107)</f>
        <v>69.866666666666674</v>
      </c>
      <c r="M108" s="494">
        <f>SUM(M105:M107)</f>
        <v>0</v>
      </c>
      <c r="N108" s="494">
        <f>SUM(N105:N107)</f>
        <v>106.93333333333335</v>
      </c>
      <c r="O108" s="1323">
        <f>IF(I108&gt;0,(N108-I108)/I108,(IF(N108=0,"N/A",100%)))</f>
        <v>8.7457627118644146E-2</v>
      </c>
      <c r="P108" s="494">
        <f>SUM(P105:P107)</f>
        <v>42.8</v>
      </c>
      <c r="Q108" s="494">
        <f>SUM(Q105:Q107)</f>
        <v>77.933333333333337</v>
      </c>
      <c r="R108" s="494">
        <f>SUM(R105:R107)</f>
        <v>0</v>
      </c>
      <c r="S108" s="494">
        <f>SUM(S105:S107)</f>
        <v>120.73333333333333</v>
      </c>
      <c r="T108" s="1323">
        <f>IF(N108&gt;0,(S108-N108)/N108,(IF(S108=0,"N/A",100%)))</f>
        <v>0.12905236907730655</v>
      </c>
      <c r="U108" s="494">
        <f>SUM(U105:U107)</f>
        <v>46.866666666666667</v>
      </c>
      <c r="V108" s="494">
        <f>SUM(V105:V107)</f>
        <v>96.600000000000009</v>
      </c>
      <c r="W108" s="494">
        <f>SUM(W105:W107)</f>
        <v>0</v>
      </c>
      <c r="X108" s="494">
        <f>SUM(X105:X107)</f>
        <v>143.46666666666667</v>
      </c>
      <c r="Y108" s="1323">
        <f>IF(S108&gt;0,(X108-S108)/S108,(IF(X108=0,"N/A",100%)))</f>
        <v>0.18829376035339593</v>
      </c>
      <c r="Z108" s="494">
        <f>SUM(Z105:Z107)</f>
        <v>54.2</v>
      </c>
      <c r="AA108" s="494">
        <f>SUM(AA105:AA107)</f>
        <v>99.266666666666666</v>
      </c>
      <c r="AB108" s="494">
        <f>SUM(AB105:AB107)</f>
        <v>0</v>
      </c>
      <c r="AC108" s="494">
        <f>SUM(AC105:AC107)</f>
        <v>153.46666666666667</v>
      </c>
      <c r="AD108" s="1324">
        <f>IF(X108&gt;0,(AC108-X108)/X108,(IF(AC108=0,"N/A",100%)))</f>
        <v>6.9702602230483274E-2</v>
      </c>
      <c r="AE108" s="494">
        <f>SUM(AE105:AE107)</f>
        <v>34.466666666666669</v>
      </c>
      <c r="AF108" s="494">
        <f>SUM(AF105:AF107)</f>
        <v>103.73333333333333</v>
      </c>
      <c r="AG108" s="494">
        <f>SUM(AG105:AG107)</f>
        <v>1.5</v>
      </c>
      <c r="AH108" s="494">
        <f>SUM(AH105:AH107)</f>
        <v>139.70000000000002</v>
      </c>
      <c r="AI108" s="1324">
        <f>IF(AC108&gt;0,(AH108-AC108)/AC108,(IF(AH108=0,"N/A",100%)))</f>
        <v>-8.9704604691572445E-2</v>
      </c>
      <c r="AJ108" s="494">
        <f>SUM(AJ105:AJ107)</f>
        <v>30.533333333333335</v>
      </c>
      <c r="AK108" s="494">
        <f>SUM(AK105:AK107)</f>
        <v>80.2</v>
      </c>
      <c r="AL108" s="494">
        <f>SUM(AL105:AL107)</f>
        <v>2</v>
      </c>
      <c r="AM108" s="494">
        <f>SUM(AM105:AM107)</f>
        <v>112.73333333333333</v>
      </c>
      <c r="AN108" s="1324">
        <f>IF(AH108&gt;0,(AM108-AH108)/AH108,(IF(AM108=0,"N/A",100%)))</f>
        <v>-0.1930326890956813</v>
      </c>
      <c r="AO108" s="494">
        <f>SUM(AO105:AO107)</f>
        <v>5.7333333333333334</v>
      </c>
      <c r="AP108" s="494">
        <f>SUM(AP105:AP107)</f>
        <v>111.53333333333333</v>
      </c>
      <c r="AQ108" s="494">
        <f>SUM(AQ105:AQ107)</f>
        <v>0.75</v>
      </c>
      <c r="AR108" s="494">
        <f>SUM(AR105:AR107)</f>
        <v>118.01666666666667</v>
      </c>
      <c r="AS108" s="1324">
        <f>IF(AM108&gt;0,(AR108-AM108)/AM108,(IF(AR108=0,"N/A",100%)))</f>
        <v>4.6865759905381416E-2</v>
      </c>
    </row>
    <row r="109" spans="1:45" s="502" customFormat="1" ht="16.2" thickBot="1" x14ac:dyDescent="0.35">
      <c r="A109" s="1328" t="s">
        <v>437</v>
      </c>
      <c r="B109" s="974">
        <f t="shared" ref="B109:I109" si="114">+B92+B96+B103+B108</f>
        <v>369.86666666666667</v>
      </c>
      <c r="C109" s="974">
        <f t="shared" si="114"/>
        <v>111.73333333333335</v>
      </c>
      <c r="D109" s="974">
        <f t="shared" si="114"/>
        <v>0</v>
      </c>
      <c r="E109" s="989">
        <f t="shared" si="114"/>
        <v>481.6</v>
      </c>
      <c r="F109" s="988">
        <f t="shared" si="114"/>
        <v>393.80000000000007</v>
      </c>
      <c r="G109" s="974">
        <f t="shared" si="114"/>
        <v>121.66666666666666</v>
      </c>
      <c r="H109" s="974">
        <f t="shared" si="114"/>
        <v>0</v>
      </c>
      <c r="I109" s="974">
        <f t="shared" si="114"/>
        <v>515.4666666666667</v>
      </c>
      <c r="J109" s="975">
        <f>IF(E109&gt;0,(I109-E109)/E109,(IF(I109=0,"N/A",100%)))</f>
        <v>7.0321151716500566E-2</v>
      </c>
      <c r="K109" s="1329">
        <f>+K92+K96+K103+K108</f>
        <v>479.2</v>
      </c>
      <c r="L109" s="974">
        <f>+L92+L96+L103+L108</f>
        <v>121.4</v>
      </c>
      <c r="M109" s="974">
        <f>+M92+M96+M103+M108</f>
        <v>0</v>
      </c>
      <c r="N109" s="974">
        <f>+N92+N96+N103+N108</f>
        <v>600.6</v>
      </c>
      <c r="O109" s="1330">
        <f>IF(I109&gt;0,(N109-I109)/I109,(IF(N109=0,"N/A",100%)))</f>
        <v>0.16515778582514223</v>
      </c>
      <c r="P109" s="1329">
        <f>+P92+P96+P103+P108</f>
        <v>514.4666666666667</v>
      </c>
      <c r="Q109" s="974">
        <f>+Q92+Q96+Q103+Q108</f>
        <v>139.06666666666666</v>
      </c>
      <c r="R109" s="974">
        <f>+R92+R96+R103+R108</f>
        <v>0</v>
      </c>
      <c r="S109" s="974">
        <f>+S92+S96+S103+S108</f>
        <v>653.5333333333333</v>
      </c>
      <c r="T109" s="1330">
        <f>IF(N109&gt;0,(S109-N109)/N109,(IF(S109=0,"N/A",100%)))</f>
        <v>8.8134088134088046E-2</v>
      </c>
      <c r="U109" s="988">
        <f>+U92+U96+U103+U108</f>
        <v>525.20000000000005</v>
      </c>
      <c r="V109" s="974">
        <f>+V92+V96+V103+V108</f>
        <v>149</v>
      </c>
      <c r="W109" s="974">
        <f>+W92+W96+W103+W108</f>
        <v>0</v>
      </c>
      <c r="X109" s="974">
        <f>+X92+X96+X103+X108</f>
        <v>674.2</v>
      </c>
      <c r="Y109" s="1330">
        <f>IF(S109&gt;0,(X109-S109)/S109,(IF(X109=0,"N/A",100%)))</f>
        <v>3.1622972559420703E-2</v>
      </c>
      <c r="Z109" s="1331">
        <f>+Z92+Z96+Z103+Z108</f>
        <v>537.86666666666667</v>
      </c>
      <c r="AA109" s="1332">
        <f>+AA92+AA96+AA103+AA108</f>
        <v>157.33333333333331</v>
      </c>
      <c r="AB109" s="1332">
        <f>+AB92+AB96+AB103+AB108</f>
        <v>0</v>
      </c>
      <c r="AC109" s="1332">
        <f>+AC92+AC96+AC103+AC108</f>
        <v>695.2</v>
      </c>
      <c r="AD109" s="1333">
        <f>IF(X109&gt;0,(AC109-X109)/X109,(IF(AC109=0,"N/A",100%)))</f>
        <v>3.1148027291604864E-2</v>
      </c>
      <c r="AE109" s="1331">
        <f>+AE92+AE96+AE103+AE108</f>
        <v>469.06666666666672</v>
      </c>
      <c r="AF109" s="1332">
        <f>+AF92+AF96+AF103+AF108</f>
        <v>163.06666666666666</v>
      </c>
      <c r="AG109" s="1332">
        <f>+AG92+AG96+AG103+AG108</f>
        <v>1.5</v>
      </c>
      <c r="AH109" s="1332">
        <f>+AH92+AH96+AH103+AH108</f>
        <v>633.63333333333333</v>
      </c>
      <c r="AI109" s="1333">
        <f>IF(AC109&gt;0,(AH109-AC109)/AC109,(IF(AH109=0,"N/A",100%)))</f>
        <v>-8.8559647103950978E-2</v>
      </c>
      <c r="AJ109" s="1331">
        <f>+AJ92+AJ96+AJ103+AJ108</f>
        <v>453.33333333333337</v>
      </c>
      <c r="AK109" s="1332">
        <f>+AK92+AK96+AK103+AK108</f>
        <v>147.66666666666669</v>
      </c>
      <c r="AL109" s="1332">
        <f>+AL92+AL96+AL103+AL108</f>
        <v>2</v>
      </c>
      <c r="AM109" s="1332">
        <f>+AM92+AM96+AM103+AM108</f>
        <v>603</v>
      </c>
      <c r="AN109" s="1333">
        <f>IF(AH109&gt;0,(AM109-AH109)/AH109,(IF(AM109=0,"N/A",100%)))</f>
        <v>-4.834552054290072E-2</v>
      </c>
      <c r="AO109" s="1331">
        <f>+AO92+AO96+AO103+AO108</f>
        <v>314.33333333333337</v>
      </c>
      <c r="AP109" s="1332">
        <f>+AP92+AP96+AP103+AP108</f>
        <v>309</v>
      </c>
      <c r="AQ109" s="1332">
        <f>+AQ92+AQ96+AQ103+AQ108</f>
        <v>0.75</v>
      </c>
      <c r="AR109" s="1332">
        <f>+AR92+AR96+AR103+AR108</f>
        <v>624.08333333333326</v>
      </c>
      <c r="AS109" s="1333">
        <f>IF(AM109&gt;0,(AR109-AM109)/AM109,(IF(AR109=0,"N/A",100%)))</f>
        <v>3.4964068546157974E-2</v>
      </c>
    </row>
    <row r="110" spans="1:45" ht="14.25" customHeight="1" x14ac:dyDescent="0.25">
      <c r="A110" s="507"/>
      <c r="B110" s="286"/>
      <c r="C110" s="286"/>
      <c r="D110" s="286"/>
      <c r="E110" s="286"/>
      <c r="F110" s="286"/>
      <c r="G110" s="286"/>
      <c r="H110" s="286"/>
      <c r="I110" s="286"/>
      <c r="J110" s="504"/>
      <c r="K110" s="280"/>
      <c r="L110" s="280"/>
      <c r="M110" s="280"/>
      <c r="N110" s="280"/>
      <c r="O110" s="280"/>
      <c r="P110" s="280"/>
      <c r="Q110" s="280"/>
      <c r="R110" s="280"/>
      <c r="S110" s="280"/>
      <c r="T110" s="280"/>
      <c r="U110" s="280"/>
      <c r="V110" s="280"/>
      <c r="W110" s="280"/>
      <c r="X110" s="280"/>
      <c r="Y110" s="280"/>
      <c r="Z110" s="712"/>
      <c r="AA110" s="712"/>
      <c r="AB110" s="712"/>
      <c r="AC110" s="712"/>
      <c r="AD110" s="712"/>
      <c r="AE110" s="712"/>
      <c r="AF110" s="712"/>
      <c r="AG110" s="712"/>
      <c r="AH110" s="712"/>
      <c r="AI110" s="712"/>
      <c r="AJ110" s="712"/>
      <c r="AK110" s="712"/>
      <c r="AL110" s="712"/>
      <c r="AM110" s="712"/>
      <c r="AN110" s="712"/>
      <c r="AO110" s="712"/>
      <c r="AP110" s="712"/>
      <c r="AQ110" s="712"/>
      <c r="AR110" s="712"/>
      <c r="AS110" s="712"/>
    </row>
    <row r="111" spans="1:45" ht="14.25" customHeight="1" thickBot="1" x14ac:dyDescent="0.3">
      <c r="A111" s="507"/>
      <c r="B111" s="286"/>
      <c r="C111" s="286"/>
      <c r="D111" s="286"/>
      <c r="E111" s="286"/>
      <c r="F111" s="286"/>
      <c r="G111" s="286"/>
      <c r="H111" s="286"/>
      <c r="I111" s="286"/>
      <c r="J111" s="504"/>
      <c r="K111" s="280"/>
      <c r="L111" s="280"/>
      <c r="M111" s="280"/>
      <c r="N111" s="280"/>
      <c r="O111" s="280"/>
      <c r="P111" s="280"/>
      <c r="Q111" s="280"/>
      <c r="R111" s="280"/>
      <c r="S111" s="280"/>
      <c r="T111" s="280"/>
      <c r="U111" s="280"/>
      <c r="V111" s="280"/>
      <c r="W111" s="280"/>
      <c r="X111" s="280"/>
      <c r="Y111" s="280"/>
      <c r="Z111" s="712"/>
      <c r="AA111" s="712"/>
      <c r="AB111" s="712"/>
      <c r="AC111" s="712"/>
      <c r="AD111" s="712"/>
      <c r="AE111" s="712"/>
      <c r="AF111" s="712"/>
      <c r="AG111" s="712"/>
      <c r="AH111" s="712"/>
      <c r="AI111" s="712"/>
      <c r="AJ111" s="712"/>
      <c r="AK111" s="712"/>
      <c r="AL111" s="712"/>
      <c r="AM111" s="712"/>
      <c r="AN111" s="712"/>
      <c r="AO111" s="712"/>
      <c r="AP111" s="712"/>
      <c r="AQ111" s="712"/>
      <c r="AR111" s="712"/>
      <c r="AS111" s="712"/>
    </row>
    <row r="112" spans="1:45" x14ac:dyDescent="0.25">
      <c r="A112" s="1350" t="s">
        <v>984</v>
      </c>
      <c r="B112" s="993"/>
      <c r="C112" s="1351"/>
      <c r="D112" s="1351"/>
      <c r="E112" s="1352"/>
      <c r="F112" s="993"/>
      <c r="G112" s="1351"/>
      <c r="H112" s="1351"/>
      <c r="I112" s="1351"/>
      <c r="J112" s="1352"/>
      <c r="K112" s="993"/>
      <c r="L112" s="1351"/>
      <c r="M112" s="1351"/>
      <c r="N112" s="982"/>
      <c r="O112" s="1351"/>
      <c r="P112" s="993"/>
      <c r="Q112" s="1351"/>
      <c r="R112" s="1351"/>
      <c r="S112" s="982"/>
      <c r="T112" s="1351"/>
      <c r="U112" s="1351"/>
      <c r="V112" s="1351"/>
      <c r="W112" s="1351"/>
      <c r="X112" s="1351"/>
      <c r="Y112" s="983"/>
      <c r="Z112" s="1351"/>
      <c r="AA112" s="1351"/>
      <c r="AB112" s="1351"/>
      <c r="AC112" s="1351"/>
      <c r="AD112" s="983"/>
      <c r="AE112" s="1351"/>
      <c r="AF112" s="1351"/>
      <c r="AG112" s="1351"/>
      <c r="AH112" s="1351"/>
      <c r="AI112" s="983"/>
      <c r="AJ112" s="1351"/>
      <c r="AK112" s="1351"/>
      <c r="AL112" s="1351"/>
      <c r="AM112" s="1351"/>
      <c r="AN112" s="983"/>
      <c r="AO112" s="1351"/>
      <c r="AP112" s="1351"/>
      <c r="AQ112" s="1351"/>
      <c r="AR112" s="1351"/>
      <c r="AS112" s="983"/>
    </row>
    <row r="113" spans="1:45" x14ac:dyDescent="0.25">
      <c r="A113" s="1319" t="s">
        <v>1556</v>
      </c>
      <c r="B113" s="1313">
        <f>+'NEW Spring CHP by DISC'!B113/15</f>
        <v>0</v>
      </c>
      <c r="C113" s="1313">
        <f>+'NEW Spring CHP by DISC'!C113/15</f>
        <v>0</v>
      </c>
      <c r="D113" s="1313">
        <f>+'NEW Spring CHP by DISC'!D113/12</f>
        <v>0</v>
      </c>
      <c r="E113" s="1311">
        <f>SUM(B113:D113)</f>
        <v>0</v>
      </c>
      <c r="F113" s="1313">
        <f>+'NEW Spring CHP by DISC'!F113/15</f>
        <v>0</v>
      </c>
      <c r="G113" s="1313">
        <f>+'NEW Spring CHP by DISC'!G113/15</f>
        <v>0</v>
      </c>
      <c r="H113" s="1313">
        <f>+'NEW Spring CHP by DISC'!H113/12</f>
        <v>0</v>
      </c>
      <c r="I113" s="1313">
        <f>SUM(F113:H113)</f>
        <v>0</v>
      </c>
      <c r="J113" s="1307" t="str">
        <f>IF(E113&gt;0,(I113-E113)/E113,(IF(I113=0,"N/A",100%)))</f>
        <v>N/A</v>
      </c>
      <c r="K113" s="1313">
        <f>+'NEW Spring CHP by DISC'!K113/15</f>
        <v>0</v>
      </c>
      <c r="L113" s="1313">
        <f>+'NEW Spring CHP by DISC'!L113/15</f>
        <v>0</v>
      </c>
      <c r="M113" s="1313">
        <f>+'NEW Spring CHP by DISC'!M113/12</f>
        <v>0</v>
      </c>
      <c r="N113" s="1018">
        <f>SUM(K113:M113)</f>
        <v>0</v>
      </c>
      <c r="O113" s="1307" t="str">
        <f>IF(I113&gt;0,(N113-I113)/I113,(IF(N113=0,"N/A",100%)))</f>
        <v>N/A</v>
      </c>
      <c r="P113" s="1313">
        <f>+'NEW Spring CHP by DISC'!P113/15</f>
        <v>0</v>
      </c>
      <c r="Q113" s="1313">
        <f>+'NEW Spring CHP by DISC'!Q113/15</f>
        <v>0</v>
      </c>
      <c r="R113" s="1313">
        <f>+'NEW Spring CHP by DISC'!R113/12</f>
        <v>0</v>
      </c>
      <c r="S113" s="1018">
        <f>SUM(P113:R113)</f>
        <v>0</v>
      </c>
      <c r="T113" s="1307" t="str">
        <f>IF(N113&gt;0,(S113-N113)/N113,(IF(S113=0,"N/A",100%)))</f>
        <v>N/A</v>
      </c>
      <c r="U113" s="1313">
        <f>+'NEW Spring CHP by DISC'!U113/15</f>
        <v>0</v>
      </c>
      <c r="V113" s="1313">
        <f>+'NEW Spring CHP by DISC'!V113/15</f>
        <v>0</v>
      </c>
      <c r="W113" s="1313">
        <f>+'NEW Spring CHP by DISC'!W113/12</f>
        <v>0</v>
      </c>
      <c r="X113" s="1313">
        <f>SUM(U113:W113)</f>
        <v>0</v>
      </c>
      <c r="Y113" s="505" t="str">
        <f>IF(S113&gt;0,(X113-S113)/S113,(IF(X113=0,"N/A",100%)))</f>
        <v>N/A</v>
      </c>
      <c r="Z113" s="1312">
        <f>+'NEW Spring CHP by DISC'!Z113/15</f>
        <v>0.66666666666666663</v>
      </c>
      <c r="AA113" s="1312">
        <f>+'NEW Spring CHP by DISC'!AA113/15</f>
        <v>0</v>
      </c>
      <c r="AB113" s="1312">
        <f>+'NEW Spring CHP by DISC'!AB113/12</f>
        <v>0</v>
      </c>
      <c r="AC113" s="1312">
        <f>SUM(Z113:AB113)</f>
        <v>0.66666666666666663</v>
      </c>
      <c r="AD113" s="1320">
        <f>IF(X113&gt;0,(AC113-X113)/X113,(IF(AC113=0,"N/A",100%)))</f>
        <v>1</v>
      </c>
      <c r="AE113" s="1312">
        <f>+'NEW Spring CHP by DISC'!AE113/15</f>
        <v>0.53333333333333333</v>
      </c>
      <c r="AF113" s="1312">
        <f>+'NEW Spring CHP by DISC'!AF113/15</f>
        <v>0</v>
      </c>
      <c r="AG113" s="1312">
        <f>+'NEW Spring CHP by DISC'!AG113/12</f>
        <v>0</v>
      </c>
      <c r="AH113" s="1312">
        <f t="shared" ref="AH113:AH121" si="115">SUM(AE113:AG113)</f>
        <v>0.53333333333333333</v>
      </c>
      <c r="AI113" s="1320">
        <f t="shared" ref="AI113:AI123" si="116">IF(AC113&gt;0,(AH113-AC113)/AC113,(IF(AH113=0,"N/A",100%)))</f>
        <v>-0.19999999999999996</v>
      </c>
      <c r="AJ113" s="1312">
        <f>+'NEW Spring CHP by DISC'!AJ113/15</f>
        <v>0.73333333333333328</v>
      </c>
      <c r="AK113" s="1312">
        <f>+'NEW Spring CHP by DISC'!AK113/15</f>
        <v>0</v>
      </c>
      <c r="AL113" s="1312">
        <f>+'NEW Spring CHP by DISC'!AL113/12</f>
        <v>0</v>
      </c>
      <c r="AM113" s="1312">
        <f t="shared" ref="AM113:AM121" si="117">SUM(AJ113:AL113)</f>
        <v>0.73333333333333328</v>
      </c>
      <c r="AN113" s="1320">
        <f t="shared" ref="AN113:AN123" si="118">IF(AH113&gt;0,(AM113-AH113)/AH113,(IF(AM113=0,"N/A",100%)))</f>
        <v>0.37499999999999994</v>
      </c>
      <c r="AO113" s="1312">
        <f>+'NEW Spring CHP by DISC'!AO113/15</f>
        <v>0</v>
      </c>
      <c r="AP113" s="1312">
        <f>+'NEW Spring CHP by DISC'!AP113/15</f>
        <v>1</v>
      </c>
      <c r="AQ113" s="1312">
        <f>+'NEW Spring CHP by DISC'!AQ113/12</f>
        <v>0</v>
      </c>
      <c r="AR113" s="1312">
        <f t="shared" ref="AR113:AR122" si="119">SUM(AO113:AQ113)</f>
        <v>1</v>
      </c>
      <c r="AS113" s="1320">
        <f t="shared" ref="AS113:AS123" si="120">IF(AM113&gt;0,(AR113-AM113)/AM113,(IF(AR113=0,"N/A",100%)))</f>
        <v>0.36363636363636376</v>
      </c>
    </row>
    <row r="114" spans="1:45" x14ac:dyDescent="0.25">
      <c r="A114" s="1319" t="s">
        <v>1052</v>
      </c>
      <c r="B114" s="1313">
        <f>+'NEW Spring CHP by DISC'!B114/15</f>
        <v>6.5333333333333332</v>
      </c>
      <c r="C114" s="1313">
        <f>+'NEW Spring CHP by DISC'!C114/15</f>
        <v>0</v>
      </c>
      <c r="D114" s="1313">
        <f>+'NEW Spring CHP by DISC'!D114/12</f>
        <v>0</v>
      </c>
      <c r="E114" s="1311">
        <f t="shared" ref="E114:E121" si="121">SUM(B114:D114)</f>
        <v>6.5333333333333332</v>
      </c>
      <c r="F114" s="1313">
        <f>+'NEW Spring CHP by DISC'!F114/15</f>
        <v>8</v>
      </c>
      <c r="G114" s="1313">
        <f>+'NEW Spring CHP by DISC'!G114/15</f>
        <v>0</v>
      </c>
      <c r="H114" s="1313">
        <f>+'NEW Spring CHP by DISC'!H114/12</f>
        <v>0</v>
      </c>
      <c r="I114" s="1313">
        <f t="shared" ref="I114:I121" si="122">SUM(F114:H114)</f>
        <v>8</v>
      </c>
      <c r="J114" s="1307">
        <f t="shared" ref="J114:J123" si="123">IF(E114&gt;0,(I114-E114)/E114,(IF(I114=0,"N/A",100%)))</f>
        <v>0.22448979591836737</v>
      </c>
      <c r="K114" s="1313">
        <f>+'NEW Spring CHP by DISC'!K114/15</f>
        <v>11.066666666666666</v>
      </c>
      <c r="L114" s="1313">
        <f>+'NEW Spring CHP by DISC'!L114/15</f>
        <v>0</v>
      </c>
      <c r="M114" s="1313">
        <f>+'NEW Spring CHP by DISC'!M114/12</f>
        <v>0</v>
      </c>
      <c r="N114" s="1018">
        <f t="shared" ref="N114:N121" si="124">SUM(K114:M114)</f>
        <v>11.066666666666666</v>
      </c>
      <c r="O114" s="1307">
        <f t="shared" ref="O114:O123" si="125">IF(I114&gt;0,(N114-I114)/I114,(IF(N114=0,"N/A",100%)))</f>
        <v>0.3833333333333333</v>
      </c>
      <c r="P114" s="1313">
        <f>+'NEW Spring CHP by DISC'!P114/15</f>
        <v>14.933333333333334</v>
      </c>
      <c r="Q114" s="1313">
        <f>+'NEW Spring CHP by DISC'!Q114/15</f>
        <v>0</v>
      </c>
      <c r="R114" s="1313">
        <f>+'NEW Spring CHP by DISC'!R114/12</f>
        <v>0</v>
      </c>
      <c r="S114" s="1018">
        <f t="shared" ref="S114:S121" si="126">SUM(P114:R114)</f>
        <v>14.933333333333334</v>
      </c>
      <c r="T114" s="1307">
        <f t="shared" ref="T114:T123" si="127">IF(N114&gt;0,(S114-N114)/N114,(IF(S114=0,"N/A",100%)))</f>
        <v>0.34939759036144585</v>
      </c>
      <c r="U114" s="1313">
        <f>+'NEW Spring CHP by DISC'!U114/15</f>
        <v>14</v>
      </c>
      <c r="V114" s="1313">
        <f>+'NEW Spring CHP by DISC'!V114/15</f>
        <v>0</v>
      </c>
      <c r="W114" s="1313">
        <f>+'NEW Spring CHP by DISC'!W114/12</f>
        <v>0</v>
      </c>
      <c r="X114" s="1313">
        <f t="shared" ref="X114:X121" si="128">SUM(U114:W114)</f>
        <v>14</v>
      </c>
      <c r="Y114" s="505">
        <f t="shared" ref="Y114:Y123" si="129">IF(S114&gt;0,(X114-S114)/S114,(IF(X114=0,"N/A",100%)))</f>
        <v>-6.2500000000000014E-2</v>
      </c>
      <c r="Z114" s="1312">
        <f>+'NEW Spring CHP by DISC'!Z114/15</f>
        <v>9.8666666666666671</v>
      </c>
      <c r="AA114" s="1312">
        <f>+'NEW Spring CHP by DISC'!AA114/15</f>
        <v>0</v>
      </c>
      <c r="AB114" s="1312">
        <f>+'NEW Spring CHP by DISC'!AB114/12</f>
        <v>0</v>
      </c>
      <c r="AC114" s="1312">
        <f t="shared" ref="AC114:AC121" si="130">SUM(Z114:AB114)</f>
        <v>9.8666666666666671</v>
      </c>
      <c r="AD114" s="1320">
        <f t="shared" ref="AD114:AD123" si="131">IF(X114&gt;0,(AC114-X114)/X114,(IF(AC114=0,"N/A",100%)))</f>
        <v>-0.29523809523809519</v>
      </c>
      <c r="AE114" s="1312">
        <f>+'NEW Spring CHP by DISC'!AE114/15</f>
        <v>10.933333333333334</v>
      </c>
      <c r="AF114" s="1312">
        <f>+'NEW Spring CHP by DISC'!AF114/15</f>
        <v>0</v>
      </c>
      <c r="AG114" s="1312">
        <f>+'NEW Spring CHP by DISC'!AG114/12</f>
        <v>0</v>
      </c>
      <c r="AH114" s="1312">
        <f t="shared" si="115"/>
        <v>10.933333333333334</v>
      </c>
      <c r="AI114" s="1320">
        <f t="shared" si="116"/>
        <v>0.10810810810810807</v>
      </c>
      <c r="AJ114" s="1312">
        <f>+'NEW Spring CHP by DISC'!AJ114/15</f>
        <v>5.6</v>
      </c>
      <c r="AK114" s="1312">
        <f>+'NEW Spring CHP by DISC'!AK114/15</f>
        <v>0</v>
      </c>
      <c r="AL114" s="1312">
        <f>+'NEW Spring CHP by DISC'!AL114/12</f>
        <v>0</v>
      </c>
      <c r="AM114" s="1312">
        <f t="shared" si="117"/>
        <v>5.6</v>
      </c>
      <c r="AN114" s="1320">
        <f t="shared" si="118"/>
        <v>-0.48780487804878053</v>
      </c>
      <c r="AO114" s="1312">
        <f>+'NEW Spring CHP by DISC'!AO114/15</f>
        <v>4.4000000000000004</v>
      </c>
      <c r="AP114" s="1312">
        <f>+'NEW Spring CHP by DISC'!AP114/15</f>
        <v>0</v>
      </c>
      <c r="AQ114" s="1312">
        <f>+'NEW Spring CHP by DISC'!AQ114/12</f>
        <v>0</v>
      </c>
      <c r="AR114" s="1312">
        <f t="shared" si="119"/>
        <v>4.4000000000000004</v>
      </c>
      <c r="AS114" s="1320">
        <f t="shared" si="120"/>
        <v>-0.21428571428571416</v>
      </c>
    </row>
    <row r="115" spans="1:45" x14ac:dyDescent="0.25">
      <c r="A115" s="1319" t="s">
        <v>1625</v>
      </c>
      <c r="B115" s="1313">
        <f>+'NEW Spring CHP by DISC'!B115/15</f>
        <v>0</v>
      </c>
      <c r="C115" s="1313">
        <f>+'NEW Spring CHP by DISC'!C115/15</f>
        <v>0</v>
      </c>
      <c r="D115" s="1313">
        <f>+'NEW Spring CHP by DISC'!D115/12</f>
        <v>0</v>
      </c>
      <c r="E115" s="1311">
        <f>SUM(B115:D115)</f>
        <v>0</v>
      </c>
      <c r="F115" s="1313">
        <f>+'NEW Spring CHP by DISC'!F115/15</f>
        <v>0</v>
      </c>
      <c r="G115" s="1313">
        <f>+'NEW Spring CHP by DISC'!G115/15</f>
        <v>0</v>
      </c>
      <c r="H115" s="1313">
        <f>+'NEW Spring CHP by DISC'!H115/12</f>
        <v>0</v>
      </c>
      <c r="I115" s="1313">
        <f>SUM(F115:H115)</f>
        <v>0</v>
      </c>
      <c r="J115" s="1307" t="str">
        <f>IF(E115&gt;0,(I115-E115)/E115,(IF(I115=0,"N/A",100%)))</f>
        <v>N/A</v>
      </c>
      <c r="K115" s="1313">
        <f>+'NEW Spring CHP by DISC'!K115/15</f>
        <v>0</v>
      </c>
      <c r="L115" s="1313">
        <f>+'NEW Spring CHP by DISC'!L115/15</f>
        <v>0</v>
      </c>
      <c r="M115" s="1313">
        <f>+'NEW Spring CHP by DISC'!M115/12</f>
        <v>0</v>
      </c>
      <c r="N115" s="1018">
        <f>SUM(K115:M115)</f>
        <v>0</v>
      </c>
      <c r="O115" s="1307" t="str">
        <f>IF(I115&gt;0,(N115-I115)/I115,(IF(N115=0,"N/A",100%)))</f>
        <v>N/A</v>
      </c>
      <c r="P115" s="1313">
        <f>+'NEW Spring CHP by DISC'!P115/15</f>
        <v>0</v>
      </c>
      <c r="Q115" s="1313">
        <f>+'NEW Spring CHP by DISC'!Q115/15</f>
        <v>0</v>
      </c>
      <c r="R115" s="1313">
        <f>+'NEW Spring CHP by DISC'!R115/12</f>
        <v>0</v>
      </c>
      <c r="S115" s="1018">
        <f>SUM(P115:R115)</f>
        <v>0</v>
      </c>
      <c r="T115" s="1307" t="str">
        <f>IF(N115&gt;0,(S115-N115)/N115,(IF(S115=0,"N/A",100%)))</f>
        <v>N/A</v>
      </c>
      <c r="U115" s="1313">
        <f>+'NEW Spring CHP by DISC'!U115/15</f>
        <v>0</v>
      </c>
      <c r="V115" s="1313">
        <f>+'NEW Spring CHP by DISC'!V115/15</f>
        <v>0</v>
      </c>
      <c r="W115" s="1313">
        <f>+'NEW Spring CHP by DISC'!W115/12</f>
        <v>0</v>
      </c>
      <c r="X115" s="1313">
        <f>SUM(U115:W115)</f>
        <v>0</v>
      </c>
      <c r="Y115" s="505" t="str">
        <f>IF(S115&gt;0,(X115-S115)/S115,(IF(X115=0,"N/A",100%)))</f>
        <v>N/A</v>
      </c>
      <c r="Z115" s="1312">
        <f>+'NEW Spring CHP by DISC'!Z115/15</f>
        <v>0</v>
      </c>
      <c r="AA115" s="1312">
        <f>+'NEW Spring CHP by DISC'!AA115/15</f>
        <v>0</v>
      </c>
      <c r="AB115" s="1312">
        <f>+'NEW Spring CHP by DISC'!AB115/12</f>
        <v>0</v>
      </c>
      <c r="AC115" s="1312">
        <f>SUM(Z115:AB115)</f>
        <v>0</v>
      </c>
      <c r="AD115" s="1320" t="str">
        <f>IF(X115&gt;0,(AC115-X115)/X115,(IF(AC115=0,"N/A",100%)))</f>
        <v>N/A</v>
      </c>
      <c r="AE115" s="1312">
        <f>+'NEW Spring CHP by DISC'!AE115/15</f>
        <v>5.8</v>
      </c>
      <c r="AF115" s="1312">
        <f>+'NEW Spring CHP by DISC'!AF115/15</f>
        <v>1.8</v>
      </c>
      <c r="AG115" s="1312">
        <f>+'NEW Spring CHP by DISC'!AG115/12</f>
        <v>0</v>
      </c>
      <c r="AH115" s="1312">
        <f>SUM(AE115:AG115)</f>
        <v>7.6</v>
      </c>
      <c r="AI115" s="1320">
        <f>IF(AC115&gt;0,(AH115-AC115)/AC115,(IF(AH115=0,"N/A",100%)))</f>
        <v>1</v>
      </c>
      <c r="AJ115" s="1312">
        <f>+'NEW Spring CHP by DISC'!AJ115/15</f>
        <v>6.6</v>
      </c>
      <c r="AK115" s="1312">
        <f>+'NEW Spring CHP by DISC'!AK115/15</f>
        <v>3.2</v>
      </c>
      <c r="AL115" s="1312">
        <f>+'NEW Spring CHP by DISC'!AL115/12</f>
        <v>0</v>
      </c>
      <c r="AM115" s="1312">
        <f t="shared" si="117"/>
        <v>9.8000000000000007</v>
      </c>
      <c r="AN115" s="1320">
        <f t="shared" si="118"/>
        <v>0.28947368421052649</v>
      </c>
      <c r="AO115" s="1312">
        <f>+'NEW Spring CHP by DISC'!AO115/15</f>
        <v>0</v>
      </c>
      <c r="AP115" s="1312">
        <f>+'NEW Spring CHP by DISC'!AP115/15</f>
        <v>11.6</v>
      </c>
      <c r="AQ115" s="1312">
        <f>+'NEW Spring CHP by DISC'!AQ115/12</f>
        <v>0</v>
      </c>
      <c r="AR115" s="1312">
        <f t="shared" si="119"/>
        <v>11.6</v>
      </c>
      <c r="AS115" s="1320">
        <f t="shared" si="120"/>
        <v>0.18367346938775497</v>
      </c>
    </row>
    <row r="116" spans="1:45" x14ac:dyDescent="0.25">
      <c r="A116" s="1319" t="s">
        <v>1053</v>
      </c>
      <c r="B116" s="1313">
        <f>+'NEW Spring CHP by DISC'!B116/15</f>
        <v>2.2000000000000002</v>
      </c>
      <c r="C116" s="1313">
        <f>+'NEW Spring CHP by DISC'!C116/15</f>
        <v>0</v>
      </c>
      <c r="D116" s="1313">
        <f>+'NEW Spring CHP by DISC'!D116/12</f>
        <v>0</v>
      </c>
      <c r="E116" s="1311">
        <f t="shared" si="121"/>
        <v>2.2000000000000002</v>
      </c>
      <c r="F116" s="1313">
        <f>+'NEW Spring CHP by DISC'!F116/15</f>
        <v>2.2000000000000002</v>
      </c>
      <c r="G116" s="1313">
        <f>+'NEW Spring CHP by DISC'!G116/15</f>
        <v>0</v>
      </c>
      <c r="H116" s="1313">
        <f>+'NEW Spring CHP by DISC'!H116/12</f>
        <v>0</v>
      </c>
      <c r="I116" s="1313">
        <f t="shared" si="122"/>
        <v>2.2000000000000002</v>
      </c>
      <c r="J116" s="1307">
        <f t="shared" si="123"/>
        <v>0</v>
      </c>
      <c r="K116" s="1313">
        <f>+'NEW Spring CHP by DISC'!K116/15</f>
        <v>3</v>
      </c>
      <c r="L116" s="1313">
        <f>+'NEW Spring CHP by DISC'!L116/15</f>
        <v>0</v>
      </c>
      <c r="M116" s="1313">
        <f>+'NEW Spring CHP by DISC'!M116/12</f>
        <v>0</v>
      </c>
      <c r="N116" s="1018">
        <f t="shared" si="124"/>
        <v>3</v>
      </c>
      <c r="O116" s="1307">
        <f t="shared" si="125"/>
        <v>0.36363636363636354</v>
      </c>
      <c r="P116" s="1313">
        <f>+'NEW Spring CHP by DISC'!P116/15</f>
        <v>3.8</v>
      </c>
      <c r="Q116" s="1313">
        <f>+'NEW Spring CHP by DISC'!Q116/15</f>
        <v>0</v>
      </c>
      <c r="R116" s="1313">
        <f>+'NEW Spring CHP by DISC'!R116/12</f>
        <v>0</v>
      </c>
      <c r="S116" s="1018">
        <f t="shared" si="126"/>
        <v>3.8</v>
      </c>
      <c r="T116" s="1307">
        <f t="shared" si="127"/>
        <v>0.26666666666666661</v>
      </c>
      <c r="U116" s="1313">
        <f>+'NEW Spring CHP by DISC'!U116/15</f>
        <v>7.4</v>
      </c>
      <c r="V116" s="1313">
        <f>+'NEW Spring CHP by DISC'!V116/15</f>
        <v>0</v>
      </c>
      <c r="W116" s="1313">
        <f>+'NEW Spring CHP by DISC'!W116/12</f>
        <v>0</v>
      </c>
      <c r="X116" s="1313">
        <f t="shared" si="128"/>
        <v>7.4</v>
      </c>
      <c r="Y116" s="505">
        <f t="shared" si="129"/>
        <v>0.94736842105263175</v>
      </c>
      <c r="Z116" s="1312">
        <f>+'NEW Spring CHP by DISC'!Z116/15</f>
        <v>5.6</v>
      </c>
      <c r="AA116" s="1312">
        <f>+'NEW Spring CHP by DISC'!AA116/15</f>
        <v>0</v>
      </c>
      <c r="AB116" s="1312">
        <f>+'NEW Spring CHP by DISC'!AB116/12</f>
        <v>0</v>
      </c>
      <c r="AC116" s="1312">
        <f t="shared" si="130"/>
        <v>5.6</v>
      </c>
      <c r="AD116" s="1320">
        <f t="shared" si="131"/>
        <v>-0.24324324324324334</v>
      </c>
      <c r="AE116" s="1312">
        <f>+'NEW Spring CHP by DISC'!AE116/15</f>
        <v>0</v>
      </c>
      <c r="AF116" s="1312">
        <f>+'NEW Spring CHP by DISC'!AF116/15</f>
        <v>0</v>
      </c>
      <c r="AG116" s="1312">
        <f>+'NEW Spring CHP by DISC'!AG116/12</f>
        <v>0</v>
      </c>
      <c r="AH116" s="1312">
        <f t="shared" si="115"/>
        <v>0</v>
      </c>
      <c r="AI116" s="1320">
        <f t="shared" si="116"/>
        <v>-1</v>
      </c>
      <c r="AJ116" s="1312">
        <f>+'NEW Spring CHP by DISC'!AJ116/15</f>
        <v>0</v>
      </c>
      <c r="AK116" s="1312">
        <f>+'NEW Spring CHP by DISC'!AK116/15</f>
        <v>0</v>
      </c>
      <c r="AL116" s="1312">
        <f>+'NEW Spring CHP by DISC'!AL116/12</f>
        <v>0</v>
      </c>
      <c r="AM116" s="1312">
        <f t="shared" si="117"/>
        <v>0</v>
      </c>
      <c r="AN116" s="1320" t="str">
        <f t="shared" si="118"/>
        <v>N/A</v>
      </c>
      <c r="AO116" s="1312">
        <f>+'NEW Spring CHP by DISC'!AO116/15</f>
        <v>0</v>
      </c>
      <c r="AP116" s="1312">
        <f>+'NEW Spring CHP by DISC'!AP116/15</f>
        <v>0</v>
      </c>
      <c r="AQ116" s="1312">
        <f>+'NEW Spring CHP by DISC'!AQ116/12</f>
        <v>0</v>
      </c>
      <c r="AR116" s="1312">
        <f t="shared" si="119"/>
        <v>0</v>
      </c>
      <c r="AS116" s="1320" t="str">
        <f t="shared" si="120"/>
        <v>N/A</v>
      </c>
    </row>
    <row r="117" spans="1:45" x14ac:dyDescent="0.25">
      <c r="A117" s="1319" t="s">
        <v>1054</v>
      </c>
      <c r="B117" s="1313">
        <f>+'NEW Spring CHP by DISC'!B117/15</f>
        <v>0</v>
      </c>
      <c r="C117" s="1313">
        <f>+'NEW Spring CHP by DISC'!C117/15</f>
        <v>0</v>
      </c>
      <c r="D117" s="1313">
        <f>+'NEW Spring CHP by DISC'!D117/12</f>
        <v>0</v>
      </c>
      <c r="E117" s="1311">
        <f t="shared" si="121"/>
        <v>0</v>
      </c>
      <c r="F117" s="1313">
        <f>+'NEW Spring CHP by DISC'!F117/15</f>
        <v>0</v>
      </c>
      <c r="G117" s="1313">
        <f>+'NEW Spring CHP by DISC'!G117/15</f>
        <v>0</v>
      </c>
      <c r="H117" s="1313">
        <f>+'NEW Spring CHP by DISC'!H117/12</f>
        <v>0</v>
      </c>
      <c r="I117" s="1313">
        <f t="shared" si="122"/>
        <v>0</v>
      </c>
      <c r="J117" s="1307" t="str">
        <f t="shared" si="123"/>
        <v>N/A</v>
      </c>
      <c r="K117" s="1313">
        <f>+'NEW Spring CHP by DISC'!K117/15</f>
        <v>0</v>
      </c>
      <c r="L117" s="1313">
        <f>+'NEW Spring CHP by DISC'!L117/15</f>
        <v>0</v>
      </c>
      <c r="M117" s="1313">
        <f>+'NEW Spring CHP by DISC'!M117/12</f>
        <v>0</v>
      </c>
      <c r="N117" s="1018">
        <f t="shared" si="124"/>
        <v>0</v>
      </c>
      <c r="O117" s="1307" t="str">
        <f t="shared" si="125"/>
        <v>N/A</v>
      </c>
      <c r="P117" s="1313">
        <f>+'NEW Spring CHP by DISC'!P117/15</f>
        <v>0</v>
      </c>
      <c r="Q117" s="1313">
        <f>+'NEW Spring CHP by DISC'!Q117/15</f>
        <v>0</v>
      </c>
      <c r="R117" s="1313">
        <f>+'NEW Spring CHP by DISC'!R117/12</f>
        <v>0</v>
      </c>
      <c r="S117" s="1018">
        <f t="shared" si="126"/>
        <v>0</v>
      </c>
      <c r="T117" s="1307" t="str">
        <f t="shared" si="127"/>
        <v>N/A</v>
      </c>
      <c r="U117" s="1313">
        <f>+'NEW Spring CHP by DISC'!U117/15</f>
        <v>0</v>
      </c>
      <c r="V117" s="1313">
        <f>+'NEW Spring CHP by DISC'!V117/15</f>
        <v>0</v>
      </c>
      <c r="W117" s="1313">
        <f>+'NEW Spring CHP by DISC'!W117/12</f>
        <v>0</v>
      </c>
      <c r="X117" s="1313">
        <f t="shared" si="128"/>
        <v>0</v>
      </c>
      <c r="Y117" s="505" t="str">
        <f t="shared" si="129"/>
        <v>N/A</v>
      </c>
      <c r="Z117" s="1312">
        <f>+'NEW Spring CHP by DISC'!Z117/15</f>
        <v>0</v>
      </c>
      <c r="AA117" s="1312">
        <f>+'NEW Spring CHP by DISC'!AA117/15</f>
        <v>0</v>
      </c>
      <c r="AB117" s="1312">
        <f>+'NEW Spring CHP by DISC'!AB117/12</f>
        <v>0</v>
      </c>
      <c r="AC117" s="1312">
        <f t="shared" si="130"/>
        <v>0</v>
      </c>
      <c r="AD117" s="1320" t="str">
        <f t="shared" si="131"/>
        <v>N/A</v>
      </c>
      <c r="AE117" s="1312">
        <f>+'NEW Spring CHP by DISC'!AE117/15</f>
        <v>0</v>
      </c>
      <c r="AF117" s="1312">
        <f>+'NEW Spring CHP by DISC'!AF117/15</f>
        <v>0</v>
      </c>
      <c r="AG117" s="1312">
        <f>+'NEW Spring CHP by DISC'!AG117/12</f>
        <v>0</v>
      </c>
      <c r="AH117" s="1312">
        <f t="shared" si="115"/>
        <v>0</v>
      </c>
      <c r="AI117" s="1320" t="str">
        <f t="shared" si="116"/>
        <v>N/A</v>
      </c>
      <c r="AJ117" s="1312">
        <f>+'NEW Spring CHP by DISC'!AJ117/15</f>
        <v>0</v>
      </c>
      <c r="AK117" s="1312">
        <f>+'NEW Spring CHP by DISC'!AK117/15</f>
        <v>1.6</v>
      </c>
      <c r="AL117" s="1312">
        <f>+'NEW Spring CHP by DISC'!AL117/12</f>
        <v>0</v>
      </c>
      <c r="AM117" s="1312">
        <f t="shared" si="117"/>
        <v>1.6</v>
      </c>
      <c r="AN117" s="1320">
        <f t="shared" si="118"/>
        <v>1</v>
      </c>
      <c r="AO117" s="1312">
        <f>+'NEW Spring CHP by DISC'!AO117/15</f>
        <v>0</v>
      </c>
      <c r="AP117" s="1312">
        <f>+'NEW Spring CHP by DISC'!AP117/15</f>
        <v>4.5999999999999996</v>
      </c>
      <c r="AQ117" s="1312">
        <f>+'NEW Spring CHP by DISC'!AQ117/12</f>
        <v>0</v>
      </c>
      <c r="AR117" s="1312">
        <f t="shared" si="119"/>
        <v>4.5999999999999996</v>
      </c>
      <c r="AS117" s="1320">
        <f t="shared" si="120"/>
        <v>1.8749999999999996</v>
      </c>
    </row>
    <row r="118" spans="1:45" x14ac:dyDescent="0.25">
      <c r="A118" s="1319" t="s">
        <v>1055</v>
      </c>
      <c r="B118" s="1313">
        <f>+'NEW Spring CHP by DISC'!B118/15</f>
        <v>0</v>
      </c>
      <c r="C118" s="1313">
        <f>+'NEW Spring CHP by DISC'!C118/15</f>
        <v>2.4</v>
      </c>
      <c r="D118" s="1313">
        <f>+'NEW Spring CHP by DISC'!D118/12</f>
        <v>0</v>
      </c>
      <c r="E118" s="1311">
        <f t="shared" si="121"/>
        <v>2.4</v>
      </c>
      <c r="F118" s="1313">
        <f>+'NEW Spring CHP by DISC'!F118/15</f>
        <v>0</v>
      </c>
      <c r="G118" s="1313">
        <f>+'NEW Spring CHP by DISC'!G118/15</f>
        <v>1.6</v>
      </c>
      <c r="H118" s="1313">
        <f>+'NEW Spring CHP by DISC'!H118/12</f>
        <v>0</v>
      </c>
      <c r="I118" s="1313">
        <f t="shared" si="122"/>
        <v>1.6</v>
      </c>
      <c r="J118" s="1307">
        <f t="shared" si="123"/>
        <v>-0.33333333333333326</v>
      </c>
      <c r="K118" s="1313">
        <f>+'NEW Spring CHP by DISC'!K118/15</f>
        <v>0</v>
      </c>
      <c r="L118" s="1313">
        <f>+'NEW Spring CHP by DISC'!L118/15</f>
        <v>4.5999999999999996</v>
      </c>
      <c r="M118" s="1313">
        <f>+'NEW Spring CHP by DISC'!M118/12</f>
        <v>0</v>
      </c>
      <c r="N118" s="1018">
        <f t="shared" si="124"/>
        <v>4.5999999999999996</v>
      </c>
      <c r="O118" s="1307">
        <f t="shared" si="125"/>
        <v>1.8749999999999996</v>
      </c>
      <c r="P118" s="1313">
        <f>+'NEW Spring CHP by DISC'!P118/15</f>
        <v>0</v>
      </c>
      <c r="Q118" s="1313">
        <f>+'NEW Spring CHP by DISC'!Q118/15</f>
        <v>1.6</v>
      </c>
      <c r="R118" s="1313">
        <f>+'NEW Spring CHP by DISC'!R118/12</f>
        <v>0</v>
      </c>
      <c r="S118" s="1018">
        <f t="shared" si="126"/>
        <v>1.6</v>
      </c>
      <c r="T118" s="1307">
        <f t="shared" si="127"/>
        <v>-0.65217391304347816</v>
      </c>
      <c r="U118" s="1313">
        <f>+'NEW Spring CHP by DISC'!U118/15</f>
        <v>0</v>
      </c>
      <c r="V118" s="1313">
        <f>+'NEW Spring CHP by DISC'!V118/15</f>
        <v>0</v>
      </c>
      <c r="W118" s="1313">
        <f>+'NEW Spring CHP by DISC'!W118/12</f>
        <v>0</v>
      </c>
      <c r="X118" s="1313">
        <f t="shared" si="128"/>
        <v>0</v>
      </c>
      <c r="Y118" s="505">
        <f t="shared" si="129"/>
        <v>-1</v>
      </c>
      <c r="Z118" s="1312">
        <f>+'NEW Spring CHP by DISC'!Z118/15</f>
        <v>0</v>
      </c>
      <c r="AA118" s="1312">
        <f>+'NEW Spring CHP by DISC'!AA118/15</f>
        <v>6.4</v>
      </c>
      <c r="AB118" s="1312">
        <f>+'NEW Spring CHP by DISC'!AB118/12</f>
        <v>0</v>
      </c>
      <c r="AC118" s="1312">
        <f t="shared" si="130"/>
        <v>6.4</v>
      </c>
      <c r="AD118" s="1320">
        <f t="shared" si="131"/>
        <v>1</v>
      </c>
      <c r="AE118" s="1312">
        <f>+'NEW Spring CHP by DISC'!AE118/15</f>
        <v>0</v>
      </c>
      <c r="AF118" s="1312">
        <f>+'NEW Spring CHP by DISC'!AF118/15</f>
        <v>4.8</v>
      </c>
      <c r="AG118" s="1312">
        <f>+'NEW Spring CHP by DISC'!AG118/12</f>
        <v>0</v>
      </c>
      <c r="AH118" s="1312">
        <f t="shared" si="115"/>
        <v>4.8</v>
      </c>
      <c r="AI118" s="1320">
        <f t="shared" si="116"/>
        <v>-0.25000000000000006</v>
      </c>
      <c r="AJ118" s="1312">
        <f>+'NEW Spring CHP by DISC'!AJ118/15</f>
        <v>0</v>
      </c>
      <c r="AK118" s="1312">
        <f>+'NEW Spring CHP by DISC'!AK118/15</f>
        <v>6.4</v>
      </c>
      <c r="AL118" s="1312">
        <f>+'NEW Spring CHP by DISC'!AL118/12</f>
        <v>0</v>
      </c>
      <c r="AM118" s="1312">
        <f t="shared" si="117"/>
        <v>6.4</v>
      </c>
      <c r="AN118" s="1320">
        <f t="shared" si="118"/>
        <v>0.33333333333333348</v>
      </c>
      <c r="AO118" s="1312">
        <f>+'NEW Spring CHP by DISC'!AO118/15</f>
        <v>0</v>
      </c>
      <c r="AP118" s="1312">
        <f>+'NEW Spring CHP by DISC'!AP118/15</f>
        <v>8.8000000000000007</v>
      </c>
      <c r="AQ118" s="1312">
        <f>+'NEW Spring CHP by DISC'!AQ118/12</f>
        <v>0</v>
      </c>
      <c r="AR118" s="1312">
        <f t="shared" si="119"/>
        <v>8.8000000000000007</v>
      </c>
      <c r="AS118" s="1320">
        <f t="shared" si="120"/>
        <v>0.37500000000000006</v>
      </c>
    </row>
    <row r="119" spans="1:45" x14ac:dyDescent="0.25">
      <c r="A119" s="1319" t="s">
        <v>1056</v>
      </c>
      <c r="B119" s="1313">
        <f>+'NEW Spring CHP by DISC'!B119/15</f>
        <v>0</v>
      </c>
      <c r="C119" s="1313">
        <f>+'NEW Spring CHP by DISC'!C119/15</f>
        <v>0</v>
      </c>
      <c r="D119" s="1313">
        <f>+'NEW Spring CHP by DISC'!D119/12</f>
        <v>0</v>
      </c>
      <c r="E119" s="1311">
        <f t="shared" si="121"/>
        <v>0</v>
      </c>
      <c r="F119" s="1313">
        <f>+'NEW Spring CHP by DISC'!F119/15</f>
        <v>0</v>
      </c>
      <c r="G119" s="1313">
        <f>+'NEW Spring CHP by DISC'!G119/15</f>
        <v>0</v>
      </c>
      <c r="H119" s="1313">
        <f>+'NEW Spring CHP by DISC'!H119/12</f>
        <v>0</v>
      </c>
      <c r="I119" s="1313">
        <f t="shared" si="122"/>
        <v>0</v>
      </c>
      <c r="J119" s="1307" t="str">
        <f t="shared" si="123"/>
        <v>N/A</v>
      </c>
      <c r="K119" s="1313">
        <f>+'NEW Spring CHP by DISC'!K119/15</f>
        <v>0</v>
      </c>
      <c r="L119" s="1313">
        <f>+'NEW Spring CHP by DISC'!L119/15</f>
        <v>0</v>
      </c>
      <c r="M119" s="1313">
        <f>+'NEW Spring CHP by DISC'!M119/12</f>
        <v>0</v>
      </c>
      <c r="N119" s="1018">
        <f t="shared" si="124"/>
        <v>0</v>
      </c>
      <c r="O119" s="1307" t="str">
        <f t="shared" si="125"/>
        <v>N/A</v>
      </c>
      <c r="P119" s="1313">
        <f>+'NEW Spring CHP by DISC'!P119/15</f>
        <v>0</v>
      </c>
      <c r="Q119" s="1313">
        <f>+'NEW Spring CHP by DISC'!Q119/15</f>
        <v>0</v>
      </c>
      <c r="R119" s="1313">
        <f>+'NEW Spring CHP by DISC'!R119/12</f>
        <v>0</v>
      </c>
      <c r="S119" s="1018">
        <f t="shared" si="126"/>
        <v>0</v>
      </c>
      <c r="T119" s="1307" t="str">
        <f t="shared" si="127"/>
        <v>N/A</v>
      </c>
      <c r="U119" s="1313">
        <f>+'NEW Spring CHP by DISC'!U119/15</f>
        <v>0.93333333333333335</v>
      </c>
      <c r="V119" s="1313">
        <f>+'NEW Spring CHP by DISC'!V119/15</f>
        <v>0</v>
      </c>
      <c r="W119" s="1313">
        <f>+'NEW Spring CHP by DISC'!W119/12</f>
        <v>0</v>
      </c>
      <c r="X119" s="1313">
        <f t="shared" si="128"/>
        <v>0.93333333333333335</v>
      </c>
      <c r="Y119" s="505">
        <f t="shared" si="129"/>
        <v>1</v>
      </c>
      <c r="Z119" s="1312">
        <f>+'NEW Spring CHP by DISC'!Z119/15</f>
        <v>0.8666666666666667</v>
      </c>
      <c r="AA119" s="1312">
        <f>+'NEW Spring CHP by DISC'!AA119/15</f>
        <v>0</v>
      </c>
      <c r="AB119" s="1312">
        <f>+'NEW Spring CHP by DISC'!AB119/12</f>
        <v>0</v>
      </c>
      <c r="AC119" s="1312">
        <f t="shared" si="130"/>
        <v>0.8666666666666667</v>
      </c>
      <c r="AD119" s="1320">
        <f t="shared" si="131"/>
        <v>-7.1428571428571411E-2</v>
      </c>
      <c r="AE119" s="1312">
        <f>+'NEW Spring CHP by DISC'!AE119/15</f>
        <v>1.0666666666666667</v>
      </c>
      <c r="AF119" s="1312">
        <f>+'NEW Spring CHP by DISC'!AF119/15</f>
        <v>0</v>
      </c>
      <c r="AG119" s="1312">
        <f>+'NEW Spring CHP by DISC'!AG119/12</f>
        <v>0</v>
      </c>
      <c r="AH119" s="1312">
        <f t="shared" si="115"/>
        <v>1.0666666666666667</v>
      </c>
      <c r="AI119" s="1320">
        <f t="shared" si="116"/>
        <v>0.2307692307692307</v>
      </c>
      <c r="AJ119" s="1312">
        <f>+'NEW Spring CHP by DISC'!AJ119/15</f>
        <v>0</v>
      </c>
      <c r="AK119" s="1312">
        <f>+'NEW Spring CHP by DISC'!AK119/15</f>
        <v>0</v>
      </c>
      <c r="AL119" s="1312">
        <f>+'NEW Spring CHP by DISC'!AL119/12</f>
        <v>0</v>
      </c>
      <c r="AM119" s="1312">
        <f t="shared" si="117"/>
        <v>0</v>
      </c>
      <c r="AN119" s="1320">
        <f t="shared" si="118"/>
        <v>-1</v>
      </c>
      <c r="AO119" s="1312">
        <f>+'NEW Spring CHP by DISC'!AO119/15</f>
        <v>1.2</v>
      </c>
      <c r="AP119" s="1312">
        <f>+'NEW Spring CHP by DISC'!AP119/15</f>
        <v>0</v>
      </c>
      <c r="AQ119" s="1312">
        <f>+'NEW Spring CHP by DISC'!AQ119/12</f>
        <v>0</v>
      </c>
      <c r="AR119" s="1312">
        <f t="shared" si="119"/>
        <v>1.2</v>
      </c>
      <c r="AS119" s="1320">
        <f t="shared" si="120"/>
        <v>1</v>
      </c>
    </row>
    <row r="120" spans="1:45" x14ac:dyDescent="0.25">
      <c r="A120" s="1319" t="s">
        <v>1195</v>
      </c>
      <c r="B120" s="1313">
        <f>+'NEW Spring CHP by DISC'!B120/15</f>
        <v>0</v>
      </c>
      <c r="C120" s="1313">
        <f>+'NEW Spring CHP by DISC'!C120/15</f>
        <v>0</v>
      </c>
      <c r="D120" s="1313">
        <f>+'NEW Spring CHP by DISC'!D120/12</f>
        <v>0</v>
      </c>
      <c r="E120" s="1311">
        <f t="shared" si="121"/>
        <v>0</v>
      </c>
      <c r="F120" s="1313">
        <f>+'NEW Spring CHP by DISC'!F120/15</f>
        <v>0</v>
      </c>
      <c r="G120" s="1313">
        <f>+'NEW Spring CHP by DISC'!G120/15</f>
        <v>0</v>
      </c>
      <c r="H120" s="1313">
        <f>+'NEW Spring CHP by DISC'!H120/12</f>
        <v>0</v>
      </c>
      <c r="I120" s="1313">
        <f t="shared" si="122"/>
        <v>0</v>
      </c>
      <c r="J120" s="1307" t="str">
        <f t="shared" si="123"/>
        <v>N/A</v>
      </c>
      <c r="K120" s="1313">
        <f>+'NEW Spring CHP by DISC'!K120/15</f>
        <v>0</v>
      </c>
      <c r="L120" s="1313">
        <f>+'NEW Spring CHP by DISC'!L120/15</f>
        <v>0</v>
      </c>
      <c r="M120" s="1313">
        <f>+'NEW Spring CHP by DISC'!M120/12</f>
        <v>0</v>
      </c>
      <c r="N120" s="1018">
        <f t="shared" si="124"/>
        <v>0</v>
      </c>
      <c r="O120" s="1307" t="str">
        <f t="shared" si="125"/>
        <v>N/A</v>
      </c>
      <c r="P120" s="1313">
        <f>+'NEW Spring CHP by DISC'!P120/15</f>
        <v>0</v>
      </c>
      <c r="Q120" s="1313">
        <f>+'NEW Spring CHP by DISC'!Q120/15</f>
        <v>0</v>
      </c>
      <c r="R120" s="1313">
        <f>+'NEW Spring CHP by DISC'!R120/12</f>
        <v>0</v>
      </c>
      <c r="S120" s="1018">
        <f t="shared" si="126"/>
        <v>0</v>
      </c>
      <c r="T120" s="1307" t="str">
        <f t="shared" si="127"/>
        <v>N/A</v>
      </c>
      <c r="U120" s="1313">
        <f>+'NEW Spring CHP by DISC'!U120/15</f>
        <v>0</v>
      </c>
      <c r="V120" s="1313">
        <f>+'NEW Spring CHP by DISC'!V120/15</f>
        <v>0</v>
      </c>
      <c r="W120" s="1313">
        <f>+'NEW Spring CHP by DISC'!W120/12</f>
        <v>0</v>
      </c>
      <c r="X120" s="1313">
        <f t="shared" si="128"/>
        <v>0</v>
      </c>
      <c r="Y120" s="505" t="str">
        <f t="shared" si="129"/>
        <v>N/A</v>
      </c>
      <c r="Z120" s="1312">
        <f>+'NEW Spring CHP by DISC'!Z120/15</f>
        <v>0</v>
      </c>
      <c r="AA120" s="1312">
        <f>+'NEW Spring CHP by DISC'!AA120/15</f>
        <v>0</v>
      </c>
      <c r="AB120" s="1312">
        <f>+'NEW Spring CHP by DISC'!AB120/12</f>
        <v>0</v>
      </c>
      <c r="AC120" s="1312">
        <f t="shared" si="130"/>
        <v>0</v>
      </c>
      <c r="AD120" s="1320" t="str">
        <f t="shared" si="131"/>
        <v>N/A</v>
      </c>
      <c r="AE120" s="1312">
        <f>+'NEW Spring CHP by DISC'!AE120/15</f>
        <v>0</v>
      </c>
      <c r="AF120" s="1312">
        <f>+'NEW Spring CHP by DISC'!AF120/15</f>
        <v>0</v>
      </c>
      <c r="AG120" s="1312">
        <f>+'NEW Spring CHP by DISC'!AG120/12</f>
        <v>0</v>
      </c>
      <c r="AH120" s="1312">
        <f t="shared" si="115"/>
        <v>0</v>
      </c>
      <c r="AI120" s="1320" t="str">
        <f t="shared" si="116"/>
        <v>N/A</v>
      </c>
      <c r="AJ120" s="1312">
        <f>+'NEW Spring CHP by DISC'!AJ120/15</f>
        <v>0</v>
      </c>
      <c r="AK120" s="1312">
        <f>+'NEW Spring CHP by DISC'!AK120/15</f>
        <v>0</v>
      </c>
      <c r="AL120" s="1312">
        <f>+'NEW Spring CHP by DISC'!AL120/12</f>
        <v>0</v>
      </c>
      <c r="AM120" s="1312">
        <f t="shared" si="117"/>
        <v>0</v>
      </c>
      <c r="AN120" s="1320" t="str">
        <f t="shared" si="118"/>
        <v>N/A</v>
      </c>
      <c r="AO120" s="1312">
        <f>+'NEW Spring CHP by DISC'!AO120/15</f>
        <v>0</v>
      </c>
      <c r="AP120" s="1312">
        <f>+'NEW Spring CHP by DISC'!AP120/15</f>
        <v>0</v>
      </c>
      <c r="AQ120" s="1312">
        <f>+'NEW Spring CHP by DISC'!AQ120/12</f>
        <v>0</v>
      </c>
      <c r="AR120" s="1312">
        <f t="shared" si="119"/>
        <v>0</v>
      </c>
      <c r="AS120" s="1320" t="str">
        <f t="shared" si="120"/>
        <v>N/A</v>
      </c>
    </row>
    <row r="121" spans="1:45" x14ac:dyDescent="0.25">
      <c r="A121" s="1326" t="s">
        <v>1057</v>
      </c>
      <c r="B121" s="1313">
        <f>+'NEW Spring CHP by DISC'!B121/15</f>
        <v>3.3333333333333335</v>
      </c>
      <c r="C121" s="1313">
        <f>+'NEW Spring CHP by DISC'!C121/15</f>
        <v>3.2</v>
      </c>
      <c r="D121" s="1313">
        <f>+'NEW Spring CHP by DISC'!D121/12</f>
        <v>0</v>
      </c>
      <c r="E121" s="592">
        <f t="shared" si="121"/>
        <v>6.5333333333333332</v>
      </c>
      <c r="F121" s="1313">
        <f>+'NEW Spring CHP by DISC'!F121/15</f>
        <v>1.8666666666666667</v>
      </c>
      <c r="G121" s="1313">
        <f>+'NEW Spring CHP by DISC'!G121/15</f>
        <v>2.4</v>
      </c>
      <c r="H121" s="1313">
        <f>+'NEW Spring CHP by DISC'!H121/12</f>
        <v>0</v>
      </c>
      <c r="I121" s="489">
        <f t="shared" si="122"/>
        <v>4.2666666666666666</v>
      </c>
      <c r="J121" s="514">
        <f t="shared" si="123"/>
        <v>-0.34693877551020408</v>
      </c>
      <c r="K121" s="1313">
        <f>+'NEW Spring CHP by DISC'!K121/15</f>
        <v>5.2666666666666666</v>
      </c>
      <c r="L121" s="1313">
        <f>+'NEW Spring CHP by DISC'!L121/15</f>
        <v>2</v>
      </c>
      <c r="M121" s="1313">
        <f>+'NEW Spring CHP by DISC'!M121/12</f>
        <v>0</v>
      </c>
      <c r="N121" s="490">
        <f t="shared" si="124"/>
        <v>7.2666666666666666</v>
      </c>
      <c r="O121" s="1307">
        <f t="shared" si="125"/>
        <v>0.703125</v>
      </c>
      <c r="P121" s="1313">
        <f>+'NEW Spring CHP by DISC'!P121/15</f>
        <v>3.2</v>
      </c>
      <c r="Q121" s="1313">
        <f>+'NEW Spring CHP by DISC'!Q121/15</f>
        <v>3.4</v>
      </c>
      <c r="R121" s="1313">
        <f>+'NEW Spring CHP by DISC'!R121/12</f>
        <v>0</v>
      </c>
      <c r="S121" s="490">
        <f t="shared" si="126"/>
        <v>6.6</v>
      </c>
      <c r="T121" s="1307">
        <f t="shared" si="127"/>
        <v>-9.1743119266055093E-2</v>
      </c>
      <c r="U121" s="1313">
        <f>+'NEW Spring CHP by DISC'!U121/15</f>
        <v>3.1333333333333333</v>
      </c>
      <c r="V121" s="1313">
        <f>+'NEW Spring CHP by DISC'!V121/15</f>
        <v>2.4666666666666668</v>
      </c>
      <c r="W121" s="1313">
        <f>+'NEW Spring CHP by DISC'!W121/12</f>
        <v>0</v>
      </c>
      <c r="X121" s="489">
        <f t="shared" si="128"/>
        <v>5.6</v>
      </c>
      <c r="Y121" s="505">
        <f t="shared" si="129"/>
        <v>-0.15151515151515152</v>
      </c>
      <c r="Z121" s="1312">
        <f>+'NEW Spring CHP by DISC'!Z121/15</f>
        <v>4.2</v>
      </c>
      <c r="AA121" s="1312">
        <f>+'NEW Spring CHP by DISC'!AA121/15</f>
        <v>2.1333333333333333</v>
      </c>
      <c r="AB121" s="1312">
        <f>+'NEW Spring CHP by DISC'!AB121/12</f>
        <v>0</v>
      </c>
      <c r="AC121" s="987">
        <f t="shared" si="130"/>
        <v>6.3333333333333339</v>
      </c>
      <c r="AD121" s="1320">
        <f t="shared" si="131"/>
        <v>0.13095238095238113</v>
      </c>
      <c r="AE121" s="1312">
        <f>+'NEW Spring CHP by DISC'!AE121/15</f>
        <v>2.8</v>
      </c>
      <c r="AF121" s="1312">
        <f>+'NEW Spring CHP by DISC'!AF121/15</f>
        <v>4.0666666666666664</v>
      </c>
      <c r="AG121" s="1312">
        <f>+'NEW Spring CHP by DISC'!AG121/12</f>
        <v>0</v>
      </c>
      <c r="AH121" s="987">
        <f t="shared" si="115"/>
        <v>6.8666666666666663</v>
      </c>
      <c r="AI121" s="1320">
        <f t="shared" si="116"/>
        <v>8.4210526315789305E-2</v>
      </c>
      <c r="AJ121" s="1312">
        <f>+'NEW Spring CHP by DISC'!AJ121/15</f>
        <v>3.2666666666666666</v>
      </c>
      <c r="AK121" s="1312">
        <f>+'NEW Spring CHP by DISC'!AK121/15</f>
        <v>4.4666666666666668</v>
      </c>
      <c r="AL121" s="1312">
        <f>+'NEW Spring CHP by DISC'!AL121/12</f>
        <v>0</v>
      </c>
      <c r="AM121" s="987">
        <f t="shared" si="117"/>
        <v>7.7333333333333334</v>
      </c>
      <c r="AN121" s="1320">
        <f t="shared" si="118"/>
        <v>0.12621359223300979</v>
      </c>
      <c r="AO121" s="1312">
        <f>+'NEW Spring CHP by DISC'!AO121/15</f>
        <v>2.2000000000000002</v>
      </c>
      <c r="AP121" s="1312">
        <f>+'NEW Spring CHP by DISC'!AP121/15</f>
        <v>5.1333333333333337</v>
      </c>
      <c r="AQ121" s="1312">
        <f>+'NEW Spring CHP by DISC'!AQ121/12</f>
        <v>0</v>
      </c>
      <c r="AR121" s="987">
        <f t="shared" si="119"/>
        <v>7.3333333333333339</v>
      </c>
      <c r="AS121" s="1320">
        <f t="shared" si="120"/>
        <v>-5.1724137931034413E-2</v>
      </c>
    </row>
    <row r="122" spans="1:45" x14ac:dyDescent="0.25">
      <c r="A122" s="1326" t="s">
        <v>1653</v>
      </c>
      <c r="B122" s="1313">
        <f>+'NEW Spring CHP by DISC'!B122/15</f>
        <v>0</v>
      </c>
      <c r="C122" s="1313">
        <f>+'NEW Spring CHP by DISC'!C122/15</f>
        <v>0</v>
      </c>
      <c r="D122" s="1313">
        <f>+'NEW Spring CHP by DISC'!D122/12</f>
        <v>0</v>
      </c>
      <c r="E122" s="592">
        <f>SUM(B122:D122)</f>
        <v>0</v>
      </c>
      <c r="F122" s="1313">
        <f>+'NEW Spring CHP by DISC'!F122/15</f>
        <v>0</v>
      </c>
      <c r="G122" s="1313">
        <f>+'NEW Spring CHP by DISC'!G122/15</f>
        <v>0</v>
      </c>
      <c r="H122" s="1313">
        <f>+'NEW Spring CHP by DISC'!H122/12</f>
        <v>0</v>
      </c>
      <c r="I122" s="489">
        <f>SUM(F122:H122)</f>
        <v>0</v>
      </c>
      <c r="J122" s="514" t="str">
        <f>IF(E122&gt;0,(I122-E122)/E122,(IF(I122=0,"N/A",100%)))</f>
        <v>N/A</v>
      </c>
      <c r="K122" s="1313">
        <f>+'NEW Spring CHP by DISC'!K122/15</f>
        <v>0</v>
      </c>
      <c r="L122" s="1313">
        <f>+'NEW Spring CHP by DISC'!L122/15</f>
        <v>0</v>
      </c>
      <c r="M122" s="1313">
        <f>+'NEW Spring CHP by DISC'!M122/12</f>
        <v>0</v>
      </c>
      <c r="N122" s="490">
        <f>SUM(K122:M122)</f>
        <v>0</v>
      </c>
      <c r="O122" s="1307" t="str">
        <f>IF(I122&gt;0,(N122-I122)/I122,(IF(N122=0,"N/A",100%)))</f>
        <v>N/A</v>
      </c>
      <c r="P122" s="1313">
        <f>+'NEW Spring CHP by DISC'!P122/15</f>
        <v>0</v>
      </c>
      <c r="Q122" s="1313">
        <f>+'NEW Spring CHP by DISC'!Q122/15</f>
        <v>0</v>
      </c>
      <c r="R122" s="1313">
        <f>+'NEW Spring CHP by DISC'!R122/12</f>
        <v>0</v>
      </c>
      <c r="S122" s="490">
        <f>SUM(P122:R122)</f>
        <v>0</v>
      </c>
      <c r="T122" s="1307" t="str">
        <f>IF(N122&gt;0,(S122-N122)/N122,(IF(S122=0,"N/A",100%)))</f>
        <v>N/A</v>
      </c>
      <c r="U122" s="1313">
        <f>+'NEW Spring CHP by DISC'!U122/15</f>
        <v>0</v>
      </c>
      <c r="V122" s="1313">
        <f>+'NEW Spring CHP by DISC'!V122/15</f>
        <v>0</v>
      </c>
      <c r="W122" s="1313">
        <f>+'NEW Spring CHP by DISC'!W122/12</f>
        <v>0</v>
      </c>
      <c r="X122" s="489">
        <f>SUM(U122:W122)</f>
        <v>0</v>
      </c>
      <c r="Y122" s="505" t="str">
        <f>IF(S122&gt;0,(X122-S122)/S122,(IF(X122=0,"N/A",100%)))</f>
        <v>N/A</v>
      </c>
      <c r="Z122" s="1312">
        <f>+'NEW Spring CHP by DISC'!Z122/15</f>
        <v>0</v>
      </c>
      <c r="AA122" s="1312">
        <f>+'NEW Spring CHP by DISC'!AA122/15</f>
        <v>0</v>
      </c>
      <c r="AB122" s="1312">
        <f>+'NEW Spring CHP by DISC'!AB122/12</f>
        <v>0</v>
      </c>
      <c r="AC122" s="987">
        <f>SUM(Z122:AB122)</f>
        <v>0</v>
      </c>
      <c r="AD122" s="1320" t="str">
        <f>IF(X122&gt;0,(AC122-X122)/X122,(IF(AC122=0,"N/A",100%)))</f>
        <v>N/A</v>
      </c>
      <c r="AE122" s="1312">
        <f>+'NEW Spring CHP by DISC'!AE122/15</f>
        <v>0</v>
      </c>
      <c r="AF122" s="1312">
        <f>+'NEW Spring CHP by DISC'!AF122/15</f>
        <v>0</v>
      </c>
      <c r="AG122" s="1312">
        <f>+'NEW Spring CHP by DISC'!AG122/12</f>
        <v>0</v>
      </c>
      <c r="AH122" s="987">
        <f>SUM(AE122:AG122)</f>
        <v>0</v>
      </c>
      <c r="AI122" s="1320" t="str">
        <f>IF(AC122&gt;0,(AH122-AC122)/AC122,(IF(AH122=0,"N/A",100%)))</f>
        <v>N/A</v>
      </c>
      <c r="AJ122" s="1312">
        <f>+'NEW Spring CHP by DISC'!AJ122/15</f>
        <v>1.2</v>
      </c>
      <c r="AK122" s="1312">
        <f>+'NEW Spring CHP by DISC'!AK122/15</f>
        <v>0</v>
      </c>
      <c r="AL122" s="1312">
        <f>+'NEW Spring CHP by DISC'!AL122/12</f>
        <v>0</v>
      </c>
      <c r="AM122" s="987">
        <f>SUM(AJ122:AL122)</f>
        <v>1.2</v>
      </c>
      <c r="AN122" s="1320">
        <f>IF(AH122&gt;0,(AM122-AH122)/AH122,(IF(AM122=0,"N/A",100%)))</f>
        <v>1</v>
      </c>
      <c r="AO122" s="1312">
        <f>+'NEW Spring CHP by DISC'!AO122/15</f>
        <v>2.6</v>
      </c>
      <c r="AP122" s="1312">
        <f>+'NEW Spring CHP by DISC'!AP122/15</f>
        <v>0</v>
      </c>
      <c r="AQ122" s="1312">
        <f>+'NEW Spring CHP by DISC'!AQ122/12</f>
        <v>0</v>
      </c>
      <c r="AR122" s="987">
        <f t="shared" si="119"/>
        <v>2.6</v>
      </c>
      <c r="AS122" s="1320">
        <f t="shared" si="120"/>
        <v>1.1666666666666667</v>
      </c>
    </row>
    <row r="123" spans="1:45" s="484" customFormat="1" ht="14.4" thickBot="1" x14ac:dyDescent="0.3">
      <c r="A123" s="1353" t="s">
        <v>1015</v>
      </c>
      <c r="B123" s="1354">
        <f t="shared" ref="B123:I123" si="132">SUM(B113:B122)</f>
        <v>12.066666666666668</v>
      </c>
      <c r="C123" s="1354">
        <f t="shared" si="132"/>
        <v>5.6</v>
      </c>
      <c r="D123" s="1354">
        <f t="shared" si="132"/>
        <v>0</v>
      </c>
      <c r="E123" s="1024">
        <f t="shared" si="132"/>
        <v>17.666666666666668</v>
      </c>
      <c r="F123" s="1354">
        <f t="shared" si="132"/>
        <v>12.066666666666666</v>
      </c>
      <c r="G123" s="1354">
        <f t="shared" si="132"/>
        <v>4</v>
      </c>
      <c r="H123" s="1354">
        <f t="shared" si="132"/>
        <v>0</v>
      </c>
      <c r="I123" s="1354">
        <f t="shared" si="132"/>
        <v>16.066666666666666</v>
      </c>
      <c r="J123" s="1355">
        <f t="shared" si="123"/>
        <v>-9.0566037735849134E-2</v>
      </c>
      <c r="K123" s="1354">
        <f>SUM(K113:K122)</f>
        <v>19.333333333333332</v>
      </c>
      <c r="L123" s="1354">
        <f>SUM(L113:L122)</f>
        <v>6.6</v>
      </c>
      <c r="M123" s="1354">
        <f>SUM(M113:M122)</f>
        <v>0</v>
      </c>
      <c r="N123" s="1354">
        <f>SUM(N113:N122)</f>
        <v>25.93333333333333</v>
      </c>
      <c r="O123" s="1355">
        <f t="shared" si="125"/>
        <v>0.6141078838174272</v>
      </c>
      <c r="P123" s="1354">
        <f>SUM(P113:P122)</f>
        <v>21.933333333333334</v>
      </c>
      <c r="Q123" s="1354">
        <f>SUM(Q113:Q122)</f>
        <v>5</v>
      </c>
      <c r="R123" s="1354">
        <f>SUM(R113:R122)</f>
        <v>0</v>
      </c>
      <c r="S123" s="1354">
        <f>SUM(S113:S122)</f>
        <v>26.933333333333337</v>
      </c>
      <c r="T123" s="1355">
        <f t="shared" si="127"/>
        <v>3.8560411311054262E-2</v>
      </c>
      <c r="U123" s="1354">
        <f>SUM(U113:U122)</f>
        <v>25.466666666666665</v>
      </c>
      <c r="V123" s="1354">
        <f>SUM(V113:V122)</f>
        <v>2.4666666666666668</v>
      </c>
      <c r="W123" s="1354">
        <f>SUM(W113:W122)</f>
        <v>0</v>
      </c>
      <c r="X123" s="1354">
        <f>SUM(X113:X122)</f>
        <v>27.93333333333333</v>
      </c>
      <c r="Y123" s="1356">
        <f t="shared" si="129"/>
        <v>3.7128712871286856E-2</v>
      </c>
      <c r="Z123" s="1354">
        <f>SUM(Z113:Z122)</f>
        <v>21.2</v>
      </c>
      <c r="AA123" s="1354">
        <f>SUM(AA113:AA122)</f>
        <v>8.5333333333333332</v>
      </c>
      <c r="AB123" s="1354">
        <f>SUM(AB113:AB122)</f>
        <v>0</v>
      </c>
      <c r="AC123" s="1354">
        <f>SUM(AC113:AC122)</f>
        <v>29.733333333333334</v>
      </c>
      <c r="AD123" s="1357">
        <f t="shared" si="131"/>
        <v>6.4439140811456005E-2</v>
      </c>
      <c r="AE123" s="1354">
        <f>SUM(AE113:AE122)</f>
        <v>21.133333333333333</v>
      </c>
      <c r="AF123" s="1354">
        <f>SUM(AF113:AF122)</f>
        <v>10.666666666666666</v>
      </c>
      <c r="AG123" s="1354">
        <f>SUM(AG113:AG122)</f>
        <v>0</v>
      </c>
      <c r="AH123" s="1354">
        <f>SUM(AH113:AH122)</f>
        <v>31.8</v>
      </c>
      <c r="AI123" s="1357">
        <f t="shared" si="116"/>
        <v>6.9506726457399096E-2</v>
      </c>
      <c r="AJ123" s="1354">
        <f>SUM(AJ113:AJ122)</f>
        <v>17.399999999999999</v>
      </c>
      <c r="AK123" s="1354">
        <f>SUM(AK113:AK122)</f>
        <v>15.666666666666668</v>
      </c>
      <c r="AL123" s="1354">
        <f>SUM(AL113:AL122)</f>
        <v>0</v>
      </c>
      <c r="AM123" s="1354">
        <f>SUM(AM113:AM122)</f>
        <v>33.06666666666667</v>
      </c>
      <c r="AN123" s="1357">
        <f t="shared" si="118"/>
        <v>3.9832285115304067E-2</v>
      </c>
      <c r="AO123" s="1354">
        <f>SUM(AO113:AO122)</f>
        <v>10.4</v>
      </c>
      <c r="AP123" s="1354">
        <f>SUM(AP113:AP122)</f>
        <v>31.133333333333333</v>
      </c>
      <c r="AQ123" s="1354">
        <f>SUM(AQ113:AQ122)</f>
        <v>0</v>
      </c>
      <c r="AR123" s="1354">
        <f>SUM(AR113:AR122)</f>
        <v>41.533333333333339</v>
      </c>
      <c r="AS123" s="1357">
        <f t="shared" si="120"/>
        <v>0.25604838709677424</v>
      </c>
    </row>
    <row r="124" spans="1:45" s="484" customFormat="1" ht="14.25" customHeight="1" x14ac:dyDescent="0.25">
      <c r="A124" s="518"/>
      <c r="B124" s="519"/>
      <c r="C124" s="519"/>
      <c r="D124" s="519"/>
      <c r="E124" s="519"/>
      <c r="F124" s="519"/>
      <c r="G124" s="519"/>
      <c r="H124" s="519"/>
      <c r="I124" s="519"/>
      <c r="J124" s="52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row>
    <row r="125" spans="1:45" ht="14.25" customHeight="1" thickBot="1" x14ac:dyDescent="0.3">
      <c r="A125" s="507"/>
      <c r="B125" s="286"/>
      <c r="C125" s="286"/>
      <c r="D125" s="286"/>
      <c r="E125" s="286"/>
      <c r="F125" s="286"/>
      <c r="G125" s="286"/>
      <c r="H125" s="286"/>
      <c r="I125" s="286"/>
      <c r="J125" s="504"/>
      <c r="K125" s="280"/>
      <c r="L125" s="280"/>
      <c r="M125" s="280"/>
      <c r="N125" s="280"/>
      <c r="O125" s="280"/>
      <c r="P125" s="280"/>
      <c r="Q125" s="280"/>
      <c r="R125" s="280"/>
      <c r="S125" s="280"/>
      <c r="T125" s="280"/>
      <c r="U125" s="280"/>
      <c r="V125" s="280"/>
      <c r="W125" s="280"/>
      <c r="X125" s="280"/>
      <c r="Y125" s="280"/>
      <c r="Z125" s="712"/>
      <c r="AA125" s="712"/>
      <c r="AB125" s="712"/>
      <c r="AC125" s="712"/>
      <c r="AD125" s="712"/>
      <c r="AE125" s="712"/>
      <c r="AF125" s="712"/>
      <c r="AG125" s="712"/>
      <c r="AH125" s="712"/>
      <c r="AI125" s="712"/>
      <c r="AJ125" s="712"/>
      <c r="AK125" s="712"/>
      <c r="AL125" s="712"/>
      <c r="AM125" s="712"/>
      <c r="AN125" s="712"/>
      <c r="AO125" s="712"/>
      <c r="AP125" s="712"/>
      <c r="AQ125" s="712"/>
      <c r="AR125" s="712"/>
      <c r="AS125" s="712"/>
    </row>
    <row r="126" spans="1:45" s="523" customFormat="1" ht="18" thickTop="1" thickBot="1" x14ac:dyDescent="0.35">
      <c r="A126" s="521" t="s">
        <v>1003</v>
      </c>
      <c r="B126" s="522">
        <f t="shared" ref="B126:I126" si="133">+B123+B109+B85+B45+B24</f>
        <v>1332.5333333333333</v>
      </c>
      <c r="C126" s="522">
        <f t="shared" si="133"/>
        <v>688.76666666666665</v>
      </c>
      <c r="D126" s="522">
        <f t="shared" si="133"/>
        <v>30.25</v>
      </c>
      <c r="E126" s="526">
        <f t="shared" si="133"/>
        <v>2051.5500000000002</v>
      </c>
      <c r="F126" s="522">
        <f t="shared" si="133"/>
        <v>1465.2000000000003</v>
      </c>
      <c r="G126" s="522">
        <f t="shared" si="133"/>
        <v>729.4666666666667</v>
      </c>
      <c r="H126" s="522">
        <f t="shared" si="133"/>
        <v>38.75</v>
      </c>
      <c r="I126" s="522">
        <f t="shared" si="133"/>
        <v>2233.4166666666665</v>
      </c>
      <c r="J126" s="704">
        <f>IF(E126&gt;0,(I126-E126)/E126,(IF(I126=0,"N/A",100%)))</f>
        <v>8.8648420300098132E-2</v>
      </c>
      <c r="K126" s="522">
        <f>+K123+K109+K85+K45+K24</f>
        <v>1709.9</v>
      </c>
      <c r="L126" s="522">
        <f>+L123+L109+L85+L45+L24</f>
        <v>746.4</v>
      </c>
      <c r="M126" s="522">
        <f>+M123+M109+M85+M45+M24</f>
        <v>27</v>
      </c>
      <c r="N126" s="1044">
        <f>+N123+N109+N85+N45+N24</f>
        <v>2483.2999999999997</v>
      </c>
      <c r="O126" s="1045">
        <f>IF(I126&gt;0,(N126-I126)/I126,(IF(N126=0,"N/A",100%)))</f>
        <v>0.11188388492966676</v>
      </c>
      <c r="P126" s="522">
        <f>+P123+P109+P85+P45+P24</f>
        <v>1840.6000000000001</v>
      </c>
      <c r="Q126" s="522">
        <f>+Q123+Q109+Q85+Q45+Q24</f>
        <v>741.13333333333333</v>
      </c>
      <c r="R126" s="522">
        <f>+R123+R109+R85+R45+R24</f>
        <v>34.5</v>
      </c>
      <c r="S126" s="1044">
        <f>+S123+S109+S85+S45+S24</f>
        <v>2616.2333333333336</v>
      </c>
      <c r="T126" s="1045">
        <f>IF(N126&gt;0,(S126-N126)/N126,(IF(S126=0,"N/A",100%)))</f>
        <v>5.3530919878119386E-2</v>
      </c>
      <c r="U126" s="522">
        <f>+U123+U109+U85+U45+U24</f>
        <v>1851.6666666666665</v>
      </c>
      <c r="V126" s="522">
        <f>+V123+V109+V85+V45+V24</f>
        <v>771.06666666666672</v>
      </c>
      <c r="W126" s="522">
        <f>+W123+W109+W85+W45+W24</f>
        <v>30.25</v>
      </c>
      <c r="X126" s="522">
        <f>+X123+X109+X85+X45+X24</f>
        <v>2652.9833333333331</v>
      </c>
      <c r="Y126" s="704">
        <f>IF(S126&gt;0,(X126-S126)/S126,(IF(X126=0,"N/A",100%)))</f>
        <v>1.4046912227502468E-2</v>
      </c>
      <c r="Z126" s="522">
        <f>+Z123+Z109+Z85+Z45+Z24</f>
        <v>1754.0999999999997</v>
      </c>
      <c r="AA126" s="522">
        <f>+AA123+AA109+AA85+AA45+AA24</f>
        <v>799.4666666666667</v>
      </c>
      <c r="AB126" s="522">
        <f>+AB123+AB109+AB85+AB45+AB24</f>
        <v>37.25</v>
      </c>
      <c r="AC126" s="522">
        <f>+AC123+AC109+AC85+AC45+AC24</f>
        <v>2590.8166666666666</v>
      </c>
      <c r="AD126" s="704">
        <f>IF(X126&gt;0,(AC126-X126)/X126,(IF(AC126=0,"N/A",100%)))</f>
        <v>-2.343273924324183E-2</v>
      </c>
      <c r="AE126" s="522">
        <f>+AE123+AE109+AE85+AE45+AE24</f>
        <v>1597.3666666666666</v>
      </c>
      <c r="AF126" s="522">
        <f>+AF123+AF109+AF85+AF45+AF24</f>
        <v>807.63333333333321</v>
      </c>
      <c r="AG126" s="522">
        <f>+AG123+AG109+AG85+AG45+AG24</f>
        <v>43.5</v>
      </c>
      <c r="AH126" s="522">
        <f>+AH123+AH109+AH85+AH45+AH24</f>
        <v>2448.5</v>
      </c>
      <c r="AI126" s="704">
        <f>IF(AC126&gt;0,(AH126-AC126)/AC126,(IF(AH126=0,"N/A",100%)))</f>
        <v>-5.4931199300091972E-2</v>
      </c>
      <c r="AJ126" s="522">
        <f>+AJ123+AJ109+AJ85+AJ45+AJ24</f>
        <v>1551.4333333333334</v>
      </c>
      <c r="AK126" s="522">
        <f>+AK123+AK109+AK85+AK45+AK24</f>
        <v>768.9666666666667</v>
      </c>
      <c r="AL126" s="522">
        <f>+AL123+AL109+AL85+AL45+AL24</f>
        <v>32.5</v>
      </c>
      <c r="AM126" s="522">
        <f>+AM123+AM109+AM85+AM45+AM24</f>
        <v>2352.9</v>
      </c>
      <c r="AN126" s="704">
        <f>IF(AH126&gt;0,(AM126-AH126)/AH126,(IF(AM126=0,"N/A",100%)))</f>
        <v>-3.9044312844598694E-2</v>
      </c>
      <c r="AO126" s="522">
        <f>+AO123+AO109+AO85+AO45+AO24</f>
        <v>963.33333333333337</v>
      </c>
      <c r="AP126" s="522">
        <f>+AP123+AP109+AP85+AP45+AP24</f>
        <v>1315.1</v>
      </c>
      <c r="AQ126" s="522">
        <f>+AQ123+AQ109+AQ85+AQ45+AQ24</f>
        <v>23.75</v>
      </c>
      <c r="AR126" s="522">
        <f>+AR123+AR109+AR85+AR45+AR24</f>
        <v>2302.1833333333334</v>
      </c>
      <c r="AS126" s="704">
        <f>IF(AM126&gt;0,(AR126-AM126)/AM126,(IF(AR126=0,"N/A",100%)))</f>
        <v>-2.1554960545142884E-2</v>
      </c>
    </row>
    <row r="127" spans="1:45" ht="13.8" thickTop="1" x14ac:dyDescent="0.25">
      <c r="A127" s="2144" t="s">
        <v>1066</v>
      </c>
      <c r="B127" s="2144"/>
      <c r="C127" s="2144"/>
      <c r="D127" s="2144"/>
      <c r="E127" s="2144"/>
      <c r="F127" s="2144"/>
      <c r="G127" s="2144"/>
      <c r="H127" s="2144"/>
      <c r="I127" s="2144"/>
      <c r="J127" s="2144"/>
      <c r="K127" s="280"/>
      <c r="L127" s="280"/>
      <c r="M127" s="280"/>
      <c r="N127" s="280"/>
      <c r="O127" s="280"/>
      <c r="P127" s="280"/>
      <c r="Q127" s="280"/>
      <c r="R127" s="280"/>
      <c r="S127" s="280"/>
      <c r="T127" s="280"/>
      <c r="U127" s="280"/>
      <c r="V127" s="280"/>
      <c r="W127" s="280"/>
      <c r="X127" s="280"/>
      <c r="Y127" s="280"/>
      <c r="Z127" s="712"/>
      <c r="AA127" s="712"/>
      <c r="AB127" s="712"/>
      <c r="AC127" s="712"/>
      <c r="AD127" s="712"/>
      <c r="AE127" s="712"/>
      <c r="AF127" s="712"/>
      <c r="AG127" s="712"/>
      <c r="AH127" s="712"/>
      <c r="AI127" s="712"/>
      <c r="AJ127" s="712"/>
      <c r="AK127" s="712"/>
      <c r="AL127" s="712"/>
      <c r="AM127" s="712"/>
      <c r="AN127" s="712"/>
      <c r="AO127" s="712"/>
      <c r="AP127" s="712"/>
      <c r="AQ127" s="712"/>
      <c r="AR127" s="712"/>
      <c r="AS127" s="712"/>
    </row>
    <row r="128" spans="1:45" x14ac:dyDescent="0.25">
      <c r="A128" s="121"/>
      <c r="B128" s="121"/>
      <c r="C128" s="121"/>
      <c r="D128" s="121"/>
      <c r="E128" s="121"/>
      <c r="F128" s="121"/>
      <c r="G128" s="121"/>
      <c r="H128" s="121"/>
      <c r="I128" s="121"/>
      <c r="J128" s="121"/>
      <c r="K128" s="280"/>
      <c r="L128" s="280"/>
      <c r="M128" s="280"/>
      <c r="N128" s="280"/>
      <c r="O128" s="280"/>
      <c r="P128" s="280"/>
      <c r="Q128" s="280"/>
      <c r="R128" s="280"/>
      <c r="S128" s="280"/>
      <c r="T128" s="280"/>
      <c r="U128" s="280"/>
      <c r="V128" s="280"/>
      <c r="W128" s="280"/>
      <c r="X128" s="280"/>
      <c r="Y128" s="280"/>
      <c r="Z128" s="712"/>
      <c r="AA128" s="712"/>
      <c r="AB128" s="712"/>
      <c r="AC128" s="712"/>
      <c r="AD128" s="712"/>
      <c r="AE128" s="712"/>
      <c r="AF128" s="712"/>
      <c r="AG128" s="712"/>
      <c r="AH128" s="712"/>
      <c r="AI128" s="712"/>
      <c r="AJ128" s="1684"/>
      <c r="AK128" s="712"/>
      <c r="AL128" s="712"/>
      <c r="AM128" s="712"/>
      <c r="AN128" s="712"/>
      <c r="AO128" s="1684"/>
      <c r="AP128" s="712"/>
      <c r="AQ128" s="712"/>
      <c r="AR128" s="712"/>
      <c r="AS128" s="712"/>
    </row>
    <row r="129" spans="1:45" x14ac:dyDescent="0.25">
      <c r="A129" s="121"/>
      <c r="B129" s="121"/>
      <c r="C129" s="121"/>
      <c r="D129" s="121"/>
      <c r="E129" s="121"/>
      <c r="F129" s="121"/>
      <c r="G129" s="121"/>
      <c r="H129" s="121"/>
      <c r="I129" s="121"/>
      <c r="J129" s="121"/>
      <c r="K129" s="280"/>
      <c r="L129" s="280"/>
      <c r="M129" s="280"/>
      <c r="N129" s="280"/>
      <c r="O129" s="280"/>
      <c r="P129" s="280"/>
      <c r="Q129" s="280"/>
      <c r="R129" s="280"/>
      <c r="S129" s="280"/>
      <c r="T129" s="280"/>
      <c r="U129" s="280"/>
      <c r="V129" s="280"/>
      <c r="W129" s="280"/>
      <c r="X129" s="280"/>
      <c r="Y129" s="280"/>
      <c r="Z129" s="712"/>
      <c r="AA129" s="712"/>
      <c r="AB129" s="712"/>
      <c r="AC129" s="712"/>
      <c r="AD129" s="712"/>
      <c r="AE129" s="712"/>
      <c r="AF129" s="712"/>
      <c r="AG129" s="712"/>
      <c r="AH129" s="712"/>
      <c r="AI129" s="712"/>
      <c r="AJ129" s="712"/>
      <c r="AK129" s="712"/>
      <c r="AL129" s="712"/>
      <c r="AM129" s="712"/>
      <c r="AN129" s="712"/>
      <c r="AO129" s="712"/>
      <c r="AP129" s="712"/>
      <c r="AQ129" s="712"/>
      <c r="AR129" s="712"/>
      <c r="AS129" s="712"/>
    </row>
    <row r="130" spans="1:45" x14ac:dyDescent="0.25">
      <c r="A130" s="121"/>
      <c r="B130" s="121"/>
      <c r="C130" s="121"/>
      <c r="D130" s="121"/>
      <c r="E130" s="121"/>
      <c r="F130" s="121"/>
      <c r="G130" s="121"/>
      <c r="H130" s="121"/>
      <c r="I130" s="121"/>
      <c r="J130" s="121"/>
      <c r="K130" s="280"/>
      <c r="L130" s="280"/>
      <c r="M130" s="280"/>
      <c r="N130" s="280"/>
      <c r="O130" s="280"/>
      <c r="P130" s="280"/>
      <c r="Q130" s="280"/>
      <c r="R130" s="280"/>
      <c r="S130" s="280"/>
      <c r="T130" s="280"/>
      <c r="U130" s="280"/>
      <c r="V130" s="280"/>
      <c r="W130" s="280"/>
      <c r="X130" s="280"/>
      <c r="Y130" s="280"/>
      <c r="Z130" s="712"/>
      <c r="AA130" s="712"/>
      <c r="AB130" s="712"/>
      <c r="AC130" s="712"/>
      <c r="AD130" s="712"/>
      <c r="AE130" s="712"/>
      <c r="AF130" s="712"/>
      <c r="AG130" s="712"/>
      <c r="AH130" s="712"/>
      <c r="AI130" s="712"/>
      <c r="AJ130" s="712"/>
      <c r="AK130" s="712"/>
      <c r="AL130" s="712"/>
      <c r="AM130" s="712"/>
      <c r="AN130" s="712"/>
      <c r="AO130" s="712"/>
      <c r="AP130" s="712"/>
      <c r="AQ130" s="712"/>
      <c r="AR130" s="712"/>
      <c r="AS130" s="712"/>
    </row>
    <row r="131" spans="1:45" x14ac:dyDescent="0.25">
      <c r="A131" s="121"/>
      <c r="B131" s="121"/>
      <c r="C131" s="121"/>
      <c r="D131" s="121"/>
      <c r="E131" s="121"/>
      <c r="F131" s="121"/>
      <c r="G131" s="121"/>
      <c r="H131" s="121"/>
      <c r="I131" s="286"/>
      <c r="J131" s="121"/>
      <c r="K131" s="121"/>
      <c r="L131" s="121"/>
      <c r="M131" s="121"/>
      <c r="N131" s="280"/>
      <c r="O131" s="280"/>
      <c r="P131" s="121"/>
      <c r="Q131" s="121"/>
      <c r="R131" s="121"/>
      <c r="S131" s="280"/>
      <c r="T131" s="280"/>
      <c r="U131" s="121"/>
      <c r="V131" s="121"/>
      <c r="W131" s="121"/>
      <c r="X131" s="280"/>
      <c r="Y131" s="280"/>
      <c r="Z131" s="569"/>
      <c r="AA131" s="569"/>
      <c r="AB131" s="569"/>
      <c r="AC131" s="712"/>
      <c r="AD131" s="712"/>
      <c r="AE131" s="569"/>
      <c r="AF131" s="569"/>
      <c r="AG131" s="569"/>
      <c r="AH131" s="712"/>
      <c r="AI131" s="712"/>
      <c r="AJ131" s="569"/>
      <c r="AK131" s="569"/>
      <c r="AL131" s="569"/>
      <c r="AM131" s="712"/>
      <c r="AN131" s="712"/>
      <c r="AO131" s="569"/>
      <c r="AP131" s="569"/>
      <c r="AQ131" s="569"/>
      <c r="AR131" s="712"/>
      <c r="AS131" s="712"/>
    </row>
    <row r="132" spans="1:45" x14ac:dyDescent="0.25">
      <c r="A132" s="121"/>
      <c r="B132" s="121"/>
      <c r="C132" s="121"/>
      <c r="D132" s="121"/>
      <c r="E132" s="121"/>
      <c r="F132" s="121"/>
      <c r="G132" s="121"/>
      <c r="H132" s="121"/>
      <c r="I132" s="286"/>
      <c r="J132" s="121"/>
      <c r="K132" s="121"/>
      <c r="L132" s="121"/>
      <c r="M132" s="121"/>
      <c r="N132" s="280"/>
      <c r="O132" s="280"/>
      <c r="P132" s="121"/>
      <c r="Q132" s="121"/>
      <c r="R132" s="121"/>
      <c r="S132" s="280"/>
      <c r="T132" s="280"/>
      <c r="U132" s="121"/>
      <c r="V132" s="121"/>
      <c r="W132" s="121"/>
      <c r="X132" s="280"/>
      <c r="Y132" s="280"/>
      <c r="Z132" s="569"/>
      <c r="AA132" s="569"/>
      <c r="AB132" s="569"/>
      <c r="AC132" s="712"/>
      <c r="AD132" s="712"/>
      <c r="AE132" s="569"/>
      <c r="AF132" s="569"/>
      <c r="AG132" s="569"/>
      <c r="AH132" s="712"/>
      <c r="AI132" s="712"/>
      <c r="AJ132" s="569"/>
      <c r="AK132" s="569"/>
      <c r="AL132" s="569"/>
      <c r="AM132" s="712"/>
      <c r="AN132" s="712"/>
      <c r="AO132" s="569"/>
      <c r="AP132" s="569"/>
      <c r="AQ132" s="569"/>
      <c r="AR132" s="712"/>
      <c r="AS132" s="712"/>
    </row>
    <row r="133" spans="1:45" x14ac:dyDescent="0.25">
      <c r="A133" s="121"/>
      <c r="B133" s="121"/>
      <c r="C133" s="121"/>
      <c r="D133" s="121"/>
      <c r="E133" s="121"/>
      <c r="F133" s="121"/>
      <c r="G133" s="121"/>
      <c r="H133" s="121"/>
      <c r="I133" s="121"/>
      <c r="J133" s="121"/>
      <c r="K133" s="121"/>
      <c r="L133" s="121"/>
      <c r="M133" s="121"/>
      <c r="N133" s="280"/>
      <c r="O133" s="280"/>
      <c r="P133" s="121"/>
      <c r="Q133" s="121"/>
      <c r="R133" s="121"/>
      <c r="S133" s="280"/>
      <c r="T133" s="280"/>
      <c r="U133" s="121"/>
      <c r="V133" s="121"/>
      <c r="W133" s="121"/>
      <c r="X133" s="280"/>
      <c r="Y133" s="280"/>
      <c r="Z133" s="569"/>
      <c r="AA133" s="569"/>
      <c r="AB133" s="569"/>
      <c r="AC133" s="712"/>
      <c r="AD133" s="712"/>
      <c r="AE133" s="569"/>
      <c r="AF133" s="569"/>
      <c r="AG133" s="569"/>
      <c r="AH133" s="712"/>
      <c r="AI133" s="712"/>
      <c r="AJ133" s="569"/>
      <c r="AK133" s="569"/>
      <c r="AL133" s="569"/>
      <c r="AM133" s="712"/>
      <c r="AN133" s="712"/>
      <c r="AO133" s="569"/>
      <c r="AP133" s="569"/>
      <c r="AQ133" s="569"/>
      <c r="AR133" s="712"/>
      <c r="AS133" s="712"/>
    </row>
    <row r="134" spans="1:45" x14ac:dyDescent="0.25">
      <c r="A134" s="121"/>
      <c r="B134" s="121"/>
      <c r="C134" s="121"/>
      <c r="D134" s="121"/>
      <c r="E134" s="121"/>
      <c r="F134" s="121"/>
      <c r="G134" s="121"/>
      <c r="H134" s="121"/>
      <c r="I134" s="121"/>
      <c r="J134" s="121"/>
      <c r="K134" s="121"/>
      <c r="L134" s="121"/>
      <c r="M134" s="121"/>
      <c r="N134" s="280"/>
      <c r="O134" s="280"/>
      <c r="P134" s="121"/>
      <c r="Q134" s="121"/>
      <c r="R134" s="121"/>
      <c r="S134" s="280"/>
      <c r="T134" s="280"/>
      <c r="U134" s="121"/>
      <c r="V134" s="121"/>
      <c r="W134" s="121"/>
      <c r="X134" s="280"/>
      <c r="Y134" s="280"/>
      <c r="Z134" s="569"/>
      <c r="AA134" s="569"/>
      <c r="AB134" s="569"/>
      <c r="AC134" s="712"/>
      <c r="AD134" s="712"/>
      <c r="AE134" s="569"/>
      <c r="AF134" s="569"/>
      <c r="AG134" s="569"/>
      <c r="AH134" s="712"/>
      <c r="AI134" s="712"/>
      <c r="AJ134" s="569"/>
      <c r="AK134" s="569"/>
      <c r="AL134" s="569"/>
      <c r="AM134" s="712"/>
      <c r="AN134" s="712"/>
      <c r="AO134" s="569"/>
      <c r="AP134" s="569"/>
      <c r="AQ134" s="569"/>
      <c r="AR134" s="712"/>
      <c r="AS134" s="712"/>
    </row>
    <row r="135" spans="1:45" x14ac:dyDescent="0.25">
      <c r="A135" s="121"/>
      <c r="B135" s="121"/>
      <c r="C135" s="121"/>
      <c r="D135" s="121"/>
      <c r="E135" s="121"/>
      <c r="F135" s="121"/>
      <c r="G135" s="121"/>
      <c r="H135" s="121"/>
      <c r="I135" s="121"/>
      <c r="J135" s="121"/>
      <c r="K135" s="121"/>
      <c r="L135" s="121"/>
      <c r="M135" s="121"/>
      <c r="N135" s="280"/>
      <c r="O135" s="280"/>
      <c r="P135" s="121"/>
      <c r="Q135" s="121"/>
      <c r="R135" s="121"/>
      <c r="S135" s="280"/>
      <c r="T135" s="280"/>
      <c r="U135" s="121"/>
      <c r="V135" s="121"/>
      <c r="W135" s="121"/>
      <c r="X135" s="280"/>
      <c r="Y135" s="280"/>
      <c r="Z135" s="569"/>
      <c r="AA135" s="569"/>
      <c r="AB135" s="569"/>
      <c r="AC135" s="712"/>
      <c r="AD135" s="712"/>
      <c r="AE135" s="569"/>
      <c r="AF135" s="569"/>
      <c r="AG135" s="569"/>
      <c r="AH135" s="712"/>
      <c r="AI135" s="712"/>
      <c r="AJ135" s="569"/>
      <c r="AK135" s="569"/>
      <c r="AL135" s="569"/>
      <c r="AM135" s="712"/>
      <c r="AN135" s="712"/>
      <c r="AO135" s="569"/>
      <c r="AP135" s="569"/>
      <c r="AQ135" s="569"/>
      <c r="AR135" s="712"/>
      <c r="AS135" s="712"/>
    </row>
    <row r="136" spans="1:45" x14ac:dyDescent="0.25">
      <c r="A136" s="121"/>
      <c r="B136" s="121"/>
      <c r="C136" s="121"/>
      <c r="D136" s="121"/>
      <c r="E136" s="121"/>
      <c r="F136" s="121"/>
      <c r="G136" s="121"/>
      <c r="H136" s="121"/>
      <c r="I136" s="121"/>
      <c r="J136" s="121"/>
      <c r="K136" s="121"/>
      <c r="L136" s="121"/>
      <c r="M136" s="121"/>
      <c r="N136" s="280"/>
      <c r="O136" s="280"/>
      <c r="P136" s="121"/>
      <c r="Q136" s="121"/>
      <c r="R136" s="121"/>
      <c r="S136" s="280"/>
      <c r="T136" s="280"/>
      <c r="U136" s="121"/>
      <c r="V136" s="121"/>
      <c r="W136" s="121"/>
      <c r="X136" s="280"/>
      <c r="Y136" s="280"/>
      <c r="Z136" s="569"/>
      <c r="AA136" s="569"/>
      <c r="AB136" s="569"/>
      <c r="AC136" s="712"/>
      <c r="AD136" s="712"/>
      <c r="AE136" s="569"/>
      <c r="AF136" s="569"/>
      <c r="AG136" s="569"/>
      <c r="AH136" s="712"/>
      <c r="AI136" s="712"/>
      <c r="AJ136" s="569"/>
      <c r="AK136" s="569"/>
      <c r="AL136" s="569"/>
      <c r="AM136" s="712"/>
      <c r="AN136" s="712"/>
      <c r="AO136" s="569"/>
      <c r="AP136" s="569"/>
      <c r="AQ136" s="569"/>
      <c r="AR136" s="712"/>
      <c r="AS136" s="712"/>
    </row>
    <row r="137" spans="1:45" x14ac:dyDescent="0.25">
      <c r="A137" s="121"/>
      <c r="B137" s="121"/>
      <c r="C137" s="121"/>
      <c r="D137" s="121"/>
      <c r="E137" s="121"/>
      <c r="F137" s="121"/>
      <c r="G137" s="121"/>
      <c r="H137" s="121"/>
      <c r="I137" s="121"/>
      <c r="J137" s="121"/>
      <c r="K137" s="121"/>
      <c r="L137" s="121"/>
      <c r="M137" s="121"/>
      <c r="N137" s="280"/>
      <c r="O137" s="280"/>
      <c r="P137" s="121"/>
      <c r="Q137" s="121"/>
      <c r="R137" s="121"/>
      <c r="S137" s="280"/>
      <c r="T137" s="280"/>
      <c r="U137" s="121"/>
      <c r="V137" s="121"/>
      <c r="W137" s="121"/>
      <c r="X137" s="280"/>
      <c r="Y137" s="280"/>
      <c r="Z137" s="569"/>
      <c r="AA137" s="569"/>
      <c r="AB137" s="569"/>
      <c r="AC137" s="712"/>
      <c r="AD137" s="712"/>
      <c r="AE137" s="569"/>
      <c r="AF137" s="569"/>
      <c r="AG137" s="569"/>
      <c r="AH137" s="712"/>
      <c r="AI137" s="712"/>
      <c r="AJ137" s="569"/>
      <c r="AK137" s="569"/>
      <c r="AL137" s="569"/>
      <c r="AM137" s="712"/>
      <c r="AN137" s="712"/>
      <c r="AO137" s="569"/>
      <c r="AP137" s="569"/>
      <c r="AQ137" s="569"/>
      <c r="AR137" s="712"/>
      <c r="AS137" s="712"/>
    </row>
    <row r="138" spans="1:45" x14ac:dyDescent="0.25">
      <c r="A138" s="121"/>
      <c r="B138" s="121"/>
      <c r="C138" s="121"/>
      <c r="D138" s="121"/>
      <c r="E138" s="121"/>
      <c r="F138" s="121"/>
      <c r="G138" s="121"/>
      <c r="H138" s="121"/>
      <c r="I138" s="121"/>
      <c r="J138" s="121"/>
      <c r="K138" s="121"/>
      <c r="L138" s="121"/>
      <c r="M138" s="121"/>
      <c r="N138" s="280"/>
      <c r="O138" s="280"/>
      <c r="P138" s="121"/>
      <c r="Q138" s="121"/>
      <c r="R138" s="121"/>
      <c r="S138" s="280"/>
      <c r="T138" s="280"/>
      <c r="U138" s="121"/>
      <c r="V138" s="121"/>
      <c r="W138" s="121"/>
      <c r="X138" s="280"/>
      <c r="Y138" s="280"/>
      <c r="Z138" s="569"/>
      <c r="AA138" s="569"/>
      <c r="AB138" s="569"/>
      <c r="AC138" s="712"/>
      <c r="AD138" s="712"/>
      <c r="AE138" s="569"/>
      <c r="AF138" s="569"/>
      <c r="AG138" s="569"/>
      <c r="AH138" s="712"/>
      <c r="AI138" s="712"/>
      <c r="AJ138" s="569"/>
      <c r="AK138" s="569"/>
      <c r="AL138" s="569"/>
      <c r="AM138" s="712"/>
      <c r="AN138" s="712"/>
      <c r="AO138" s="569"/>
      <c r="AP138" s="569"/>
      <c r="AQ138" s="569"/>
      <c r="AR138" s="712"/>
      <c r="AS138" s="712"/>
    </row>
    <row r="139" spans="1:45" x14ac:dyDescent="0.25">
      <c r="A139" s="121"/>
      <c r="B139" s="121"/>
      <c r="C139" s="121"/>
      <c r="D139" s="121"/>
      <c r="E139" s="121"/>
      <c r="F139" s="121"/>
      <c r="G139" s="121"/>
      <c r="H139" s="121"/>
      <c r="I139" s="121"/>
      <c r="J139" s="121"/>
      <c r="K139" s="121"/>
      <c r="L139" s="121"/>
      <c r="M139" s="121"/>
      <c r="N139" s="280"/>
      <c r="O139" s="280"/>
      <c r="P139" s="121"/>
      <c r="Q139" s="121"/>
      <c r="R139" s="121"/>
      <c r="S139" s="280"/>
      <c r="T139" s="280"/>
      <c r="U139" s="121"/>
      <c r="V139" s="121"/>
      <c r="W139" s="121"/>
      <c r="X139" s="280"/>
      <c r="Y139" s="280"/>
      <c r="Z139" s="569"/>
      <c r="AA139" s="569"/>
      <c r="AB139" s="569"/>
      <c r="AC139" s="712"/>
      <c r="AD139" s="712"/>
      <c r="AE139" s="569"/>
      <c r="AF139" s="569"/>
      <c r="AG139" s="569"/>
      <c r="AH139" s="712"/>
      <c r="AI139" s="712"/>
      <c r="AJ139" s="569"/>
      <c r="AK139" s="569"/>
      <c r="AL139" s="569"/>
      <c r="AM139" s="712"/>
      <c r="AN139" s="712"/>
      <c r="AO139" s="569"/>
      <c r="AP139" s="569"/>
      <c r="AQ139" s="569"/>
      <c r="AR139" s="712"/>
      <c r="AS139" s="712"/>
    </row>
    <row r="140" spans="1:45" x14ac:dyDescent="0.25">
      <c r="A140" s="121"/>
      <c r="B140" s="121"/>
      <c r="C140" s="121"/>
      <c r="D140" s="121"/>
      <c r="E140" s="121"/>
      <c r="F140" s="121"/>
      <c r="G140" s="121"/>
      <c r="H140" s="121"/>
      <c r="I140" s="121"/>
      <c r="J140" s="121"/>
      <c r="K140" s="121"/>
      <c r="L140" s="121"/>
      <c r="M140" s="121"/>
      <c r="N140" s="280"/>
      <c r="O140" s="280"/>
      <c r="P140" s="121"/>
      <c r="Q140" s="121"/>
      <c r="R140" s="121"/>
      <c r="S140" s="280"/>
      <c r="T140" s="280"/>
      <c r="U140" s="121"/>
      <c r="V140" s="121"/>
      <c r="W140" s="121"/>
      <c r="X140" s="280"/>
      <c r="Y140" s="280"/>
      <c r="Z140" s="569"/>
      <c r="AA140" s="569"/>
      <c r="AB140" s="569"/>
      <c r="AC140" s="712"/>
      <c r="AD140" s="712"/>
      <c r="AE140" s="569"/>
      <c r="AF140" s="569"/>
      <c r="AG140" s="569"/>
      <c r="AH140" s="712"/>
      <c r="AI140" s="712"/>
      <c r="AJ140" s="569"/>
      <c r="AK140" s="569"/>
      <c r="AL140" s="569"/>
      <c r="AM140" s="712"/>
      <c r="AN140" s="712"/>
      <c r="AO140" s="569"/>
      <c r="AP140" s="569"/>
      <c r="AQ140" s="569"/>
      <c r="AR140" s="712"/>
      <c r="AS140" s="712"/>
    </row>
    <row r="141" spans="1:45" x14ac:dyDescent="0.25">
      <c r="A141" s="121"/>
      <c r="B141" s="121"/>
      <c r="C141" s="121"/>
      <c r="D141" s="121"/>
      <c r="E141" s="121"/>
      <c r="F141" s="121"/>
      <c r="G141" s="121"/>
      <c r="H141" s="121"/>
      <c r="I141" s="121"/>
      <c r="J141" s="121"/>
      <c r="K141" s="121"/>
      <c r="L141" s="121"/>
      <c r="M141" s="121"/>
      <c r="N141" s="280"/>
      <c r="O141" s="280"/>
      <c r="P141" s="121"/>
      <c r="Q141" s="121"/>
      <c r="R141" s="121"/>
      <c r="S141" s="280"/>
      <c r="T141" s="280"/>
      <c r="U141" s="121"/>
      <c r="V141" s="121"/>
      <c r="W141" s="121"/>
      <c r="X141" s="280"/>
      <c r="Y141" s="280"/>
      <c r="Z141" s="569"/>
      <c r="AA141" s="569"/>
      <c r="AB141" s="569"/>
      <c r="AC141" s="712"/>
      <c r="AD141" s="712"/>
      <c r="AE141" s="569"/>
      <c r="AF141" s="569"/>
      <c r="AG141" s="569"/>
      <c r="AH141" s="712"/>
      <c r="AI141" s="712"/>
      <c r="AJ141" s="569"/>
      <c r="AK141" s="569"/>
      <c r="AL141" s="569"/>
      <c r="AM141" s="712"/>
      <c r="AN141" s="712"/>
      <c r="AO141" s="569"/>
      <c r="AP141" s="569"/>
      <c r="AQ141" s="569"/>
      <c r="AR141" s="712"/>
      <c r="AS141" s="712"/>
    </row>
  </sheetData>
  <mergeCells count="46">
    <mergeCell ref="A3:AS3"/>
    <mergeCell ref="A1:AS1"/>
    <mergeCell ref="AO5:AS5"/>
    <mergeCell ref="AO29:AS29"/>
    <mergeCell ref="AO50:AS50"/>
    <mergeCell ref="Z5:AD5"/>
    <mergeCell ref="P5:T5"/>
    <mergeCell ref="K5:O5"/>
    <mergeCell ref="A4:A5"/>
    <mergeCell ref="F50:J50"/>
    <mergeCell ref="K29:O29"/>
    <mergeCell ref="P29:T29"/>
    <mergeCell ref="AJ5:AN5"/>
    <mergeCell ref="AJ29:AN29"/>
    <mergeCell ref="AJ50:AN50"/>
    <mergeCell ref="U5:Y5"/>
    <mergeCell ref="AO90:AS90"/>
    <mergeCell ref="A88:AS88"/>
    <mergeCell ref="A48:AS48"/>
    <mergeCell ref="A27:AS27"/>
    <mergeCell ref="A127:J127"/>
    <mergeCell ref="B90:E90"/>
    <mergeCell ref="A28:A29"/>
    <mergeCell ref="B50:E50"/>
    <mergeCell ref="K50:O50"/>
    <mergeCell ref="B29:E29"/>
    <mergeCell ref="F29:J29"/>
    <mergeCell ref="Z29:AD29"/>
    <mergeCell ref="Z50:AD50"/>
    <mergeCell ref="Z90:AD90"/>
    <mergeCell ref="U50:Y50"/>
    <mergeCell ref="U29:Y29"/>
    <mergeCell ref="A49:A50"/>
    <mergeCell ref="A89:A90"/>
    <mergeCell ref="F90:J90"/>
    <mergeCell ref="P50:T50"/>
    <mergeCell ref="K90:O90"/>
    <mergeCell ref="F5:J5"/>
    <mergeCell ref="B5:E5"/>
    <mergeCell ref="AJ90:AN90"/>
    <mergeCell ref="AE5:AI5"/>
    <mergeCell ref="AE29:AI29"/>
    <mergeCell ref="AE50:AI50"/>
    <mergeCell ref="AE90:AI90"/>
    <mergeCell ref="U90:Y90"/>
    <mergeCell ref="P90:T90"/>
  </mergeCells>
  <phoneticPr fontId="16" type="noConversion"/>
  <printOptions horizontalCentered="1" verticalCentered="1"/>
  <pageMargins left="0.25" right="0.49" top="0.2" bottom="0.38" header="0.17" footer="0.25"/>
  <pageSetup scale="32" orientation="landscape" r:id="rId1"/>
  <headerFooter alignWithMargins="0">
    <oddFooter>&amp;RSource: Office of Institutional Research</oddFooter>
  </headerFooter>
  <rowBreaks count="1" manualBreakCount="1">
    <brk id="47" max="34" man="1"/>
  </rowBreaks>
  <webPublishItems count="1">
    <webPublishItem id="12584" divId="2004_2005 FACT BOOK WORKING COPY_12584" sourceType="sheet" destinationFile="C:\Documents and Settings\mkirkpatrick\My Documents\2005-2006 Fact Book\2005-2006 WEB PAGES\05_06springFTEbycollege.htm"/>
  </webPublishItem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B1:V43"/>
  <sheetViews>
    <sheetView workbookViewId="0"/>
  </sheetViews>
  <sheetFormatPr defaultColWidth="6.6640625" defaultRowHeight="13.2" x14ac:dyDescent="0.25"/>
  <cols>
    <col min="1" max="1" width="9.109375" style="125" customWidth="1"/>
    <col min="2" max="2" width="6.33203125" style="125" customWidth="1"/>
    <col min="3" max="8" width="7.88671875" style="125" customWidth="1"/>
    <col min="9" max="21" width="6.6640625" style="125"/>
    <col min="22" max="22" width="6.6640625" style="640"/>
    <col min="23" max="16384" width="6.6640625" style="125"/>
  </cols>
  <sheetData>
    <row r="1" spans="2:18" ht="22.5" customHeight="1" x14ac:dyDescent="0.3">
      <c r="B1" s="2146" t="s">
        <v>1072</v>
      </c>
      <c r="C1" s="2146"/>
      <c r="D1" s="2146"/>
      <c r="E1" s="2146"/>
      <c r="F1" s="2146"/>
      <c r="G1" s="2146"/>
      <c r="H1" s="2146"/>
      <c r="I1" s="2146"/>
      <c r="J1" s="2146"/>
      <c r="K1" s="2146"/>
      <c r="L1" s="2146"/>
      <c r="M1" s="2146"/>
      <c r="N1" s="2146"/>
      <c r="O1" s="2146"/>
      <c r="P1" s="2146"/>
      <c r="Q1" s="2146"/>
    </row>
    <row r="2" spans="2:18" x14ac:dyDescent="0.25">
      <c r="B2" s="126"/>
      <c r="C2" s="126"/>
      <c r="D2" s="126"/>
      <c r="E2" s="126"/>
      <c r="F2" s="126"/>
      <c r="G2" s="126"/>
      <c r="H2" s="126"/>
      <c r="I2" s="126"/>
      <c r="J2" s="126"/>
      <c r="K2" s="126"/>
      <c r="L2" s="126"/>
      <c r="M2" s="126"/>
      <c r="N2" s="126"/>
      <c r="O2" s="126"/>
      <c r="P2" s="126"/>
      <c r="Q2" s="126"/>
      <c r="R2" s="126"/>
    </row>
    <row r="3" spans="2:18" ht="15.9" customHeight="1" x14ac:dyDescent="0.25">
      <c r="B3" s="127"/>
      <c r="C3" s="128" t="s">
        <v>1073</v>
      </c>
      <c r="D3" s="128"/>
      <c r="E3" s="129"/>
      <c r="F3" s="128" t="s">
        <v>1074</v>
      </c>
      <c r="G3" s="128"/>
      <c r="H3" s="129"/>
    </row>
    <row r="4" spans="2:18" ht="15.6" x14ac:dyDescent="0.25">
      <c r="B4" s="130"/>
      <c r="C4" s="131" t="s">
        <v>1075</v>
      </c>
      <c r="D4" s="132" t="s">
        <v>1076</v>
      </c>
      <c r="E4" s="133" t="s">
        <v>835</v>
      </c>
      <c r="F4" s="132" t="s">
        <v>1075</v>
      </c>
      <c r="G4" s="132" t="s">
        <v>1076</v>
      </c>
      <c r="H4" s="133" t="s">
        <v>835</v>
      </c>
    </row>
    <row r="5" spans="2:18" hidden="1" x14ac:dyDescent="0.25">
      <c r="B5" s="364"/>
      <c r="C5" s="365"/>
      <c r="D5" s="365"/>
      <c r="E5" s="366"/>
      <c r="F5" s="365"/>
      <c r="G5" s="365"/>
      <c r="H5" s="366"/>
    </row>
    <row r="6" spans="2:18" hidden="1" x14ac:dyDescent="0.25">
      <c r="B6" s="134">
        <v>2007</v>
      </c>
      <c r="C6" s="135">
        <v>2360</v>
      </c>
      <c r="D6" s="135">
        <v>48</v>
      </c>
      <c r="E6" s="137">
        <f>SUM(C6:D6)</f>
        <v>2408</v>
      </c>
      <c r="F6" s="136">
        <v>2154</v>
      </c>
      <c r="G6" s="136">
        <v>22</v>
      </c>
      <c r="H6" s="137">
        <f>SUM(F6:G6)</f>
        <v>2176</v>
      </c>
    </row>
    <row r="7" spans="2:18" hidden="1" x14ac:dyDescent="0.25">
      <c r="B7" s="364"/>
      <c r="C7" s="365"/>
      <c r="D7" s="365"/>
      <c r="E7" s="366"/>
      <c r="F7" s="365"/>
      <c r="G7" s="365"/>
      <c r="H7" s="366"/>
    </row>
    <row r="8" spans="2:18" hidden="1" x14ac:dyDescent="0.25">
      <c r="B8" s="134">
        <v>2009</v>
      </c>
      <c r="C8" s="135">
        <v>2789</v>
      </c>
      <c r="D8" s="135">
        <v>49</v>
      </c>
      <c r="E8" s="137">
        <f>SUM(C8:D8)</f>
        <v>2838</v>
      </c>
      <c r="F8" s="136">
        <v>2628.4</v>
      </c>
      <c r="G8" s="136">
        <v>17.5</v>
      </c>
      <c r="H8" s="137">
        <f>SUM(F8:G8)</f>
        <v>2645.9</v>
      </c>
    </row>
    <row r="9" spans="2:18" hidden="1" x14ac:dyDescent="0.25">
      <c r="B9" s="364"/>
      <c r="C9" s="365"/>
      <c r="D9" s="365"/>
      <c r="E9" s="366"/>
      <c r="F9" s="365"/>
      <c r="G9" s="365"/>
      <c r="H9" s="366"/>
    </row>
    <row r="10" spans="2:18" hidden="1" x14ac:dyDescent="0.25">
      <c r="B10" s="134">
        <v>2010</v>
      </c>
      <c r="C10" s="135">
        <v>2996</v>
      </c>
      <c r="D10" s="135">
        <v>64</v>
      </c>
      <c r="E10" s="137">
        <f>SUM(C10:D10)</f>
        <v>3060</v>
      </c>
      <c r="F10" s="136">
        <v>2813.3</v>
      </c>
      <c r="G10" s="136">
        <v>33.5</v>
      </c>
      <c r="H10" s="137">
        <f>SUM(F10:G10)</f>
        <v>2846.8</v>
      </c>
    </row>
    <row r="11" spans="2:18" x14ac:dyDescent="0.25">
      <c r="B11" s="364"/>
      <c r="C11" s="365"/>
      <c r="D11" s="365"/>
      <c r="E11" s="366"/>
      <c r="F11" s="365"/>
      <c r="G11" s="365"/>
      <c r="H11" s="366"/>
    </row>
    <row r="12" spans="2:18" x14ac:dyDescent="0.25">
      <c r="B12" s="134">
        <v>2011</v>
      </c>
      <c r="C12" s="135">
        <v>3038</v>
      </c>
      <c r="D12" s="135">
        <v>31</v>
      </c>
      <c r="E12" s="137">
        <f>SUM(C12:D12)</f>
        <v>3069</v>
      </c>
      <c r="F12" s="136">
        <v>2828.9</v>
      </c>
      <c r="G12" s="136">
        <v>13</v>
      </c>
      <c r="H12" s="137">
        <f>SUM(F12:G12)</f>
        <v>2841.9</v>
      </c>
    </row>
    <row r="13" spans="2:18" x14ac:dyDescent="0.25">
      <c r="B13" s="364"/>
      <c r="C13" s="365"/>
      <c r="D13" s="365"/>
      <c r="E13" s="366"/>
      <c r="F13" s="365"/>
      <c r="G13" s="365"/>
      <c r="H13" s="366"/>
    </row>
    <row r="14" spans="2:18" x14ac:dyDescent="0.25">
      <c r="B14" s="134">
        <v>2012</v>
      </c>
      <c r="C14" s="135">
        <v>2969</v>
      </c>
      <c r="D14" s="135">
        <v>80</v>
      </c>
      <c r="E14" s="137">
        <f>SUM(C14:D14)</f>
        <v>3049</v>
      </c>
      <c r="F14" s="136">
        <v>2787</v>
      </c>
      <c r="G14" s="136">
        <v>30.5</v>
      </c>
      <c r="H14" s="137">
        <f>SUM(F14:G14)</f>
        <v>2817.5</v>
      </c>
    </row>
    <row r="15" spans="2:18" x14ac:dyDescent="0.25">
      <c r="B15" s="364"/>
      <c r="C15" s="365"/>
      <c r="D15" s="365"/>
      <c r="E15" s="366"/>
      <c r="F15" s="365"/>
      <c r="G15" s="365"/>
      <c r="H15" s="366"/>
    </row>
    <row r="16" spans="2:18" x14ac:dyDescent="0.25">
      <c r="B16" s="134">
        <v>2013</v>
      </c>
      <c r="C16" s="135">
        <v>2792</v>
      </c>
      <c r="D16" s="135">
        <v>85</v>
      </c>
      <c r="E16" s="1285">
        <f>SUM(C16:D16)</f>
        <v>2877</v>
      </c>
      <c r="F16" s="136">
        <v>2646</v>
      </c>
      <c r="G16" s="136">
        <v>31</v>
      </c>
      <c r="H16" s="1285">
        <f>SUM(F16:G16)</f>
        <v>2677</v>
      </c>
    </row>
    <row r="17" spans="2:18" x14ac:dyDescent="0.25">
      <c r="B17" s="364"/>
      <c r="C17" s="365"/>
      <c r="D17" s="365"/>
      <c r="E17" s="366"/>
      <c r="F17" s="365"/>
      <c r="G17" s="365"/>
      <c r="H17" s="366"/>
    </row>
    <row r="18" spans="2:18" x14ac:dyDescent="0.25">
      <c r="B18" s="134">
        <v>2014</v>
      </c>
      <c r="C18" s="135">
        <v>2717</v>
      </c>
      <c r="D18" s="135">
        <v>70</v>
      </c>
      <c r="E18" s="1285">
        <f>SUM(C18:D18)</f>
        <v>2787</v>
      </c>
      <c r="F18" s="136">
        <v>2575.5</v>
      </c>
      <c r="G18" s="136">
        <v>29.3</v>
      </c>
      <c r="H18" s="1285">
        <f>SUM(F18:G18)</f>
        <v>2604.8000000000002</v>
      </c>
    </row>
    <row r="19" spans="2:18" x14ac:dyDescent="0.25">
      <c r="B19" s="364"/>
      <c r="C19" s="365"/>
      <c r="D19" s="365"/>
      <c r="E19" s="366"/>
      <c r="F19" s="365"/>
      <c r="G19" s="365"/>
      <c r="H19" s="366"/>
    </row>
    <row r="20" spans="2:18" x14ac:dyDescent="0.25">
      <c r="B20" s="134">
        <v>2015</v>
      </c>
      <c r="C20" s="135">
        <v>2659</v>
      </c>
      <c r="D20" s="135">
        <v>42</v>
      </c>
      <c r="E20" s="1285">
        <f>SUM(C20:D20)</f>
        <v>2701</v>
      </c>
      <c r="F20" s="136">
        <v>2531</v>
      </c>
      <c r="G20" s="136">
        <v>14</v>
      </c>
      <c r="H20" s="1285">
        <f>SUM(F20:G20)</f>
        <v>2545</v>
      </c>
    </row>
    <row r="21" spans="2:18" x14ac:dyDescent="0.25">
      <c r="B21" s="589"/>
      <c r="C21" s="126"/>
      <c r="D21" s="126"/>
      <c r="E21" s="411"/>
      <c r="F21" s="411"/>
      <c r="G21" s="411"/>
      <c r="H21" s="411"/>
    </row>
    <row r="22" spans="2:18" x14ac:dyDescent="0.25">
      <c r="B22" s="138" t="s">
        <v>1077</v>
      </c>
      <c r="C22" s="138"/>
      <c r="D22" s="138"/>
      <c r="E22" s="138"/>
      <c r="F22" s="126"/>
      <c r="G22" s="126"/>
      <c r="H22" s="126"/>
      <c r="I22" s="126"/>
    </row>
    <row r="23" spans="2:18" x14ac:dyDescent="0.25">
      <c r="B23" s="138"/>
      <c r="C23" s="138"/>
      <c r="D23" s="138"/>
      <c r="E23" s="138"/>
      <c r="F23" s="126"/>
      <c r="G23" s="126"/>
      <c r="H23" s="126"/>
      <c r="I23" s="126"/>
    </row>
    <row r="24" spans="2:18" x14ac:dyDescent="0.25">
      <c r="B24" s="138"/>
      <c r="C24" s="138"/>
      <c r="D24" s="138"/>
      <c r="E24" s="138"/>
      <c r="F24" s="126"/>
      <c r="G24" s="126"/>
      <c r="H24" s="126"/>
      <c r="I24" s="126"/>
    </row>
    <row r="25" spans="2:18" x14ac:dyDescent="0.25">
      <c r="B25" s="528"/>
      <c r="C25" s="126"/>
      <c r="D25" s="126"/>
      <c r="E25" s="411"/>
      <c r="F25" s="126"/>
      <c r="G25" s="126"/>
      <c r="H25" s="126"/>
      <c r="I25" s="126"/>
      <c r="J25" s="126"/>
      <c r="K25" s="126"/>
      <c r="L25" s="126"/>
      <c r="M25" s="126"/>
      <c r="N25" s="126"/>
      <c r="O25" s="126"/>
      <c r="P25" s="126"/>
      <c r="Q25" s="126"/>
      <c r="R25" s="126"/>
    </row>
    <row r="26" spans="2:18" ht="25.5" customHeight="1" x14ac:dyDescent="0.3">
      <c r="B26" s="2146" t="s">
        <v>1078</v>
      </c>
      <c r="C26" s="2146"/>
      <c r="D26" s="2146"/>
      <c r="E26" s="2146"/>
      <c r="F26" s="2146"/>
      <c r="G26" s="2146"/>
      <c r="H26" s="2146"/>
      <c r="I26" s="2146"/>
      <c r="J26" s="2146"/>
      <c r="K26" s="2146"/>
      <c r="L26" s="2146"/>
      <c r="M26" s="2146"/>
      <c r="N26" s="2146"/>
      <c r="O26" s="2146"/>
      <c r="P26" s="2146"/>
      <c r="Q26" s="2146"/>
    </row>
    <row r="27" spans="2:18" x14ac:dyDescent="0.25">
      <c r="B27" s="126"/>
      <c r="C27" s="126"/>
      <c r="D27" s="126"/>
      <c r="E27" s="126"/>
      <c r="F27" s="126"/>
      <c r="G27" s="126"/>
      <c r="H27" s="126"/>
      <c r="I27" s="126"/>
      <c r="J27" s="126"/>
      <c r="K27" s="126"/>
      <c r="L27" s="126"/>
      <c r="M27" s="126"/>
      <c r="N27" s="126"/>
      <c r="O27" s="126"/>
      <c r="P27" s="126"/>
      <c r="Q27" s="126"/>
      <c r="R27" s="126"/>
    </row>
    <row r="28" spans="2:18" ht="15.9" customHeight="1" x14ac:dyDescent="0.25">
      <c r="B28" s="127"/>
      <c r="C28" s="128" t="s">
        <v>1073</v>
      </c>
      <c r="D28" s="128"/>
      <c r="E28" s="129"/>
      <c r="F28" s="128" t="s">
        <v>1074</v>
      </c>
      <c r="G28" s="128"/>
      <c r="H28" s="129"/>
    </row>
    <row r="29" spans="2:18" ht="15.6" x14ac:dyDescent="0.25">
      <c r="B29" s="130"/>
      <c r="C29" s="139" t="s">
        <v>1075</v>
      </c>
      <c r="D29" s="139" t="s">
        <v>1076</v>
      </c>
      <c r="E29" s="140" t="s">
        <v>835</v>
      </c>
      <c r="F29" s="139" t="s">
        <v>1075</v>
      </c>
      <c r="G29" s="139" t="s">
        <v>1076</v>
      </c>
      <c r="H29" s="140" t="s">
        <v>835</v>
      </c>
    </row>
    <row r="30" spans="2:18" x14ac:dyDescent="0.25">
      <c r="B30" s="364"/>
      <c r="C30" s="365"/>
      <c r="D30" s="365"/>
      <c r="E30" s="366"/>
      <c r="F30" s="365"/>
      <c r="G30" s="365"/>
      <c r="H30" s="366"/>
    </row>
    <row r="31" spans="2:18" x14ac:dyDescent="0.25">
      <c r="B31" s="134">
        <v>2012</v>
      </c>
      <c r="C31" s="135">
        <v>2765</v>
      </c>
      <c r="D31" s="135">
        <v>84</v>
      </c>
      <c r="E31" s="137">
        <f>SUM(C31:D31)</f>
        <v>2849</v>
      </c>
      <c r="F31" s="136">
        <v>2622.7</v>
      </c>
      <c r="G31" s="136">
        <v>30.3</v>
      </c>
      <c r="H31" s="137">
        <f>SUM(F31:G31)</f>
        <v>2653</v>
      </c>
    </row>
    <row r="32" spans="2:18" x14ac:dyDescent="0.25">
      <c r="B32" s="364"/>
      <c r="C32" s="365"/>
      <c r="D32" s="365"/>
      <c r="E32" s="366"/>
      <c r="F32" s="365"/>
      <c r="G32" s="365"/>
      <c r="H32" s="366"/>
    </row>
    <row r="33" spans="2:18" x14ac:dyDescent="0.25">
      <c r="B33" s="134">
        <v>2013</v>
      </c>
      <c r="C33" s="135">
        <v>2685</v>
      </c>
      <c r="D33" s="135">
        <v>95</v>
      </c>
      <c r="E33" s="137">
        <f>SUM(C33:D33)</f>
        <v>2780</v>
      </c>
      <c r="F33" s="136">
        <v>2554</v>
      </c>
      <c r="G33" s="136">
        <v>37</v>
      </c>
      <c r="H33" s="137">
        <f>SUM(F33:G33)</f>
        <v>2591</v>
      </c>
    </row>
    <row r="34" spans="2:18" x14ac:dyDescent="0.25">
      <c r="B34" s="364"/>
      <c r="C34" s="365"/>
      <c r="D34" s="365"/>
      <c r="E34" s="366"/>
      <c r="F34" s="365"/>
      <c r="G34" s="365"/>
      <c r="H34" s="366"/>
    </row>
    <row r="35" spans="2:18" x14ac:dyDescent="0.25">
      <c r="B35" s="134">
        <v>2014</v>
      </c>
      <c r="C35" s="135">
        <v>2541</v>
      </c>
      <c r="D35" s="135">
        <v>120</v>
      </c>
      <c r="E35" s="137">
        <f>SUM(C35:D35)</f>
        <v>2661</v>
      </c>
      <c r="F35" s="136">
        <v>2405</v>
      </c>
      <c r="G35" s="136">
        <v>43.5</v>
      </c>
      <c r="H35" s="137">
        <f>SUM(F35:G35)</f>
        <v>2448.5</v>
      </c>
    </row>
    <row r="36" spans="2:18" x14ac:dyDescent="0.25">
      <c r="B36" s="364"/>
      <c r="C36" s="365"/>
      <c r="D36" s="365"/>
      <c r="E36" s="366"/>
      <c r="F36" s="365"/>
      <c r="G36" s="365"/>
      <c r="H36" s="366"/>
    </row>
    <row r="37" spans="2:18" x14ac:dyDescent="0.25">
      <c r="B37" s="134">
        <v>2015</v>
      </c>
      <c r="C37" s="135">
        <v>2453</v>
      </c>
      <c r="D37" s="135">
        <v>86</v>
      </c>
      <c r="E37" s="137">
        <f>SUM(C37:D37)</f>
        <v>2539</v>
      </c>
      <c r="F37" s="136">
        <v>2320</v>
      </c>
      <c r="G37" s="136">
        <v>33</v>
      </c>
      <c r="H37" s="137">
        <f>SUM(F37:G37)</f>
        <v>2353</v>
      </c>
    </row>
    <row r="38" spans="2:18" x14ac:dyDescent="0.25">
      <c r="B38" s="364"/>
      <c r="C38" s="365"/>
      <c r="D38" s="365"/>
      <c r="E38" s="366"/>
      <c r="F38" s="365"/>
      <c r="G38" s="365"/>
      <c r="H38" s="366"/>
    </row>
    <row r="39" spans="2:18" x14ac:dyDescent="0.25">
      <c r="B39" s="134">
        <v>2016</v>
      </c>
      <c r="C39" s="135">
        <v>2410</v>
      </c>
      <c r="D39" s="135">
        <v>53</v>
      </c>
      <c r="E39" s="137">
        <f>SUM(C39:D39)</f>
        <v>2463</v>
      </c>
      <c r="F39" s="136">
        <v>2278</v>
      </c>
      <c r="G39" s="136">
        <v>24</v>
      </c>
      <c r="H39" s="137">
        <f>SUM(F39:G39)</f>
        <v>2302</v>
      </c>
    </row>
    <row r="40" spans="2:18" x14ac:dyDescent="0.25">
      <c r="B40" s="138" t="s">
        <v>1077</v>
      </c>
      <c r="C40" s="138"/>
      <c r="D40" s="138"/>
      <c r="E40" s="138"/>
      <c r="F40" s="126"/>
      <c r="G40" s="126"/>
      <c r="H40" s="126"/>
      <c r="I40" s="126"/>
    </row>
    <row r="41" spans="2:18" x14ac:dyDescent="0.25">
      <c r="B41" s="126"/>
      <c r="C41" s="126"/>
      <c r="D41" s="126"/>
      <c r="E41" s="126"/>
      <c r="F41" s="126"/>
      <c r="G41" s="126"/>
      <c r="H41" s="126"/>
      <c r="I41" s="126"/>
      <c r="J41" s="126"/>
      <c r="K41" s="126"/>
      <c r="L41" s="126"/>
      <c r="M41" s="126"/>
      <c r="N41" s="126"/>
      <c r="O41" s="126"/>
      <c r="P41" s="126"/>
      <c r="Q41" s="126"/>
      <c r="R41" s="126"/>
    </row>
    <row r="42" spans="2:18" x14ac:dyDescent="0.25">
      <c r="B42" s="126"/>
      <c r="C42" s="126"/>
      <c r="D42" s="126"/>
      <c r="E42" s="126"/>
      <c r="F42" s="126"/>
      <c r="G42" s="126"/>
      <c r="H42" s="126"/>
      <c r="I42" s="126"/>
      <c r="J42" s="126"/>
      <c r="K42" s="126"/>
      <c r="L42" s="126"/>
      <c r="M42" s="126"/>
      <c r="N42" s="126"/>
      <c r="O42" s="126"/>
      <c r="P42" s="126"/>
      <c r="Q42" s="126"/>
      <c r="R42" s="126"/>
    </row>
    <row r="43" spans="2:18" x14ac:dyDescent="0.25">
      <c r="B43" s="126"/>
      <c r="C43" s="126"/>
      <c r="D43" s="126"/>
      <c r="E43" s="126"/>
      <c r="F43" s="141"/>
      <c r="G43" s="126"/>
      <c r="H43" s="126"/>
      <c r="I43" s="126"/>
      <c r="J43" s="126"/>
      <c r="K43" s="126"/>
      <c r="L43" s="126"/>
      <c r="M43" s="126"/>
      <c r="N43" s="126"/>
      <c r="O43" s="126"/>
      <c r="P43" s="126"/>
      <c r="Q43" s="126"/>
      <c r="R43" s="126"/>
    </row>
  </sheetData>
  <mergeCells count="2">
    <mergeCell ref="B1:Q1"/>
    <mergeCell ref="B26:Q26"/>
  </mergeCells>
  <phoneticPr fontId="16" type="noConversion"/>
  <printOptions horizontalCentered="1" verticalCentered="1"/>
  <pageMargins left="0.75" right="0.75" top="1" bottom="1" header="0.5" footer="0.5"/>
  <pageSetup scale="95" orientation="landscape" r:id="rId1"/>
  <headerFooter alignWithMargins="0">
    <oddFooter>&amp;R&amp;8Source: Office of Institutional Research</oddFooter>
  </headerFooter>
  <ignoredErrors>
    <ignoredError sqref="E16 E18 E20 E14 E12 E39 E37 E35 E33 E31" formulaRange="1"/>
  </ignoredErrors>
  <drawing r:id="rId2"/>
  <webPublishItems count="1">
    <webPublishItem id="11145" divId="FINAL COPY 2000_2001 FACT BOOK_11145" sourceType="sheet" destinationFile="C:\Documents and Settings\mkirkpatrick\My Documents\2005-2006 Fact Book\2005-2006 WEB PAGES\05-06fallandspringheadcountandFTEhistory.htm"/>
  </webPublishItem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33"/>
  <sheetViews>
    <sheetView zoomScale="60" zoomScaleNormal="60" workbookViewId="0">
      <selection sqref="A1:AS1"/>
    </sheetView>
  </sheetViews>
  <sheetFormatPr defaultColWidth="6.6640625" defaultRowHeight="13.2" x14ac:dyDescent="0.25"/>
  <cols>
    <col min="1" max="1" width="64" style="280" bestFit="1" customWidth="1"/>
    <col min="2" max="9" width="10.6640625" style="280" hidden="1" customWidth="1"/>
    <col min="10" max="10" width="0.109375" style="280" hidden="1" customWidth="1"/>
    <col min="11" max="20" width="10.6640625" style="280" hidden="1" customWidth="1"/>
    <col min="21" max="81" width="10.6640625" style="280" customWidth="1"/>
    <col min="82" max="16384" width="6.6640625" style="280"/>
  </cols>
  <sheetData>
    <row r="1" spans="1:45" ht="24.75" customHeight="1" x14ac:dyDescent="0.35">
      <c r="A1" s="2137" t="s">
        <v>649</v>
      </c>
      <c r="B1" s="2137"/>
      <c r="C1" s="2137"/>
      <c r="D1" s="2137"/>
      <c r="E1" s="2137"/>
      <c r="F1" s="2137"/>
      <c r="G1" s="2137"/>
      <c r="H1" s="2137"/>
      <c r="I1" s="2137"/>
      <c r="J1" s="2137"/>
      <c r="K1" s="2137"/>
      <c r="L1" s="2137"/>
      <c r="M1" s="2137"/>
      <c r="N1" s="2137"/>
      <c r="O1" s="2137"/>
      <c r="P1" s="2137"/>
      <c r="Q1" s="2137"/>
      <c r="R1" s="2137"/>
      <c r="S1" s="2137"/>
      <c r="T1" s="2137"/>
      <c r="U1" s="2137"/>
      <c r="V1" s="2137"/>
      <c r="W1" s="2137"/>
      <c r="X1" s="2137"/>
      <c r="Y1" s="2137"/>
      <c r="Z1" s="2137"/>
      <c r="AA1" s="2137"/>
      <c r="AB1" s="2137"/>
      <c r="AC1" s="2137"/>
      <c r="AD1" s="2137"/>
      <c r="AE1" s="2137"/>
      <c r="AF1" s="2137"/>
      <c r="AG1" s="2137"/>
      <c r="AH1" s="2137"/>
      <c r="AI1" s="2137"/>
      <c r="AJ1" s="2137"/>
      <c r="AK1" s="2137"/>
      <c r="AL1" s="2137"/>
      <c r="AM1" s="2137"/>
      <c r="AN1" s="2137"/>
      <c r="AO1" s="2137"/>
      <c r="AP1" s="2137"/>
      <c r="AQ1" s="2137"/>
      <c r="AR1" s="2137"/>
      <c r="AS1" s="2137"/>
    </row>
    <row r="2" spans="1:45" ht="12.75" customHeight="1" thickBot="1" x14ac:dyDescent="0.3">
      <c r="A2" s="120"/>
      <c r="B2" s="120"/>
      <c r="C2" s="120"/>
      <c r="D2" s="120"/>
      <c r="E2" s="120"/>
      <c r="F2" s="120"/>
      <c r="G2" s="120"/>
      <c r="H2" s="120"/>
      <c r="I2" s="120"/>
      <c r="J2" s="120"/>
      <c r="K2" s="122"/>
      <c r="L2" s="122"/>
      <c r="M2" s="122"/>
      <c r="N2" s="122"/>
      <c r="O2" s="122"/>
      <c r="P2" s="122"/>
      <c r="Q2" s="122"/>
      <c r="R2" s="122"/>
    </row>
    <row r="3" spans="1:45" s="1546" customFormat="1" ht="18" thickBot="1" x14ac:dyDescent="0.35">
      <c r="A3" s="2161" t="s">
        <v>428</v>
      </c>
      <c r="B3" s="2162"/>
      <c r="C3" s="2162"/>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3"/>
    </row>
    <row r="4" spans="1:45" ht="47.25" customHeight="1" x14ac:dyDescent="0.25">
      <c r="A4" s="2164" t="s">
        <v>1006</v>
      </c>
      <c r="B4" s="1314" t="s">
        <v>1008</v>
      </c>
      <c r="C4" s="2094" t="s">
        <v>1009</v>
      </c>
      <c r="D4" s="2094" t="s">
        <v>1010</v>
      </c>
      <c r="E4" s="680" t="s">
        <v>1011</v>
      </c>
      <c r="F4" s="1314" t="s">
        <v>1008</v>
      </c>
      <c r="G4" s="2094" t="s">
        <v>1009</v>
      </c>
      <c r="H4" s="2094" t="s">
        <v>1010</v>
      </c>
      <c r="I4" s="2095" t="s">
        <v>1011</v>
      </c>
      <c r="J4" s="680" t="s">
        <v>1012</v>
      </c>
      <c r="K4" s="1314" t="s">
        <v>1008</v>
      </c>
      <c r="L4" s="2094" t="s">
        <v>1009</v>
      </c>
      <c r="M4" s="2094" t="s">
        <v>1010</v>
      </c>
      <c r="N4" s="2095" t="s">
        <v>1011</v>
      </c>
      <c r="O4" s="680" t="s">
        <v>1012</v>
      </c>
      <c r="P4" s="1972" t="s">
        <v>1008</v>
      </c>
      <c r="Q4" s="1972" t="s">
        <v>1009</v>
      </c>
      <c r="R4" s="1972" t="s">
        <v>1010</v>
      </c>
      <c r="S4" s="1973" t="s">
        <v>1011</v>
      </c>
      <c r="T4" s="2096" t="s">
        <v>1012</v>
      </c>
      <c r="U4" s="1314" t="s">
        <v>1008</v>
      </c>
      <c r="V4" s="2094" t="s">
        <v>1009</v>
      </c>
      <c r="W4" s="2094" t="s">
        <v>1010</v>
      </c>
      <c r="X4" s="2095" t="s">
        <v>1011</v>
      </c>
      <c r="Y4" s="584" t="s">
        <v>1012</v>
      </c>
      <c r="Z4" s="1314" t="s">
        <v>1008</v>
      </c>
      <c r="AA4" s="2094" t="s">
        <v>1009</v>
      </c>
      <c r="AB4" s="2094" t="s">
        <v>1010</v>
      </c>
      <c r="AC4" s="2095" t="s">
        <v>1011</v>
      </c>
      <c r="AD4" s="584" t="s">
        <v>1012</v>
      </c>
      <c r="AE4" s="1314" t="s">
        <v>1008</v>
      </c>
      <c r="AF4" s="2094" t="s">
        <v>1009</v>
      </c>
      <c r="AG4" s="2094" t="s">
        <v>1010</v>
      </c>
      <c r="AH4" s="2095" t="s">
        <v>1011</v>
      </c>
      <c r="AI4" s="584" t="s">
        <v>1012</v>
      </c>
      <c r="AJ4" s="1314" t="s">
        <v>1008</v>
      </c>
      <c r="AK4" s="2094" t="s">
        <v>1009</v>
      </c>
      <c r="AL4" s="2094" t="s">
        <v>1010</v>
      </c>
      <c r="AM4" s="2095" t="s">
        <v>1011</v>
      </c>
      <c r="AN4" s="584" t="s">
        <v>1012</v>
      </c>
      <c r="AO4" s="1314" t="s">
        <v>1008</v>
      </c>
      <c r="AP4" s="2094" t="s">
        <v>1009</v>
      </c>
      <c r="AQ4" s="2094" t="s">
        <v>1010</v>
      </c>
      <c r="AR4" s="2095" t="s">
        <v>1011</v>
      </c>
      <c r="AS4" s="584" t="s">
        <v>1012</v>
      </c>
    </row>
    <row r="5" spans="1:45" ht="12.75" customHeight="1" x14ac:dyDescent="0.25">
      <c r="A5" s="2157"/>
      <c r="B5" s="2156" t="s">
        <v>1466</v>
      </c>
      <c r="C5" s="2157"/>
      <c r="D5" s="2157"/>
      <c r="E5" s="2158"/>
      <c r="F5" s="2157" t="s">
        <v>1467</v>
      </c>
      <c r="G5" s="2157"/>
      <c r="H5" s="2157"/>
      <c r="I5" s="2157"/>
      <c r="J5" s="2158"/>
      <c r="K5" s="2138" t="s">
        <v>1454</v>
      </c>
      <c r="L5" s="2139"/>
      <c r="M5" s="2139"/>
      <c r="N5" s="2139"/>
      <c r="O5" s="2153"/>
      <c r="P5" s="2139" t="s">
        <v>1455</v>
      </c>
      <c r="Q5" s="2139"/>
      <c r="R5" s="2139"/>
      <c r="S5" s="2139"/>
      <c r="T5" s="2153"/>
      <c r="U5" s="2156" t="s">
        <v>1456</v>
      </c>
      <c r="V5" s="2157"/>
      <c r="W5" s="2157"/>
      <c r="X5" s="2157"/>
      <c r="Y5" s="2158"/>
      <c r="Z5" s="2156" t="s">
        <v>1599</v>
      </c>
      <c r="AA5" s="2157"/>
      <c r="AB5" s="2157"/>
      <c r="AC5" s="2157"/>
      <c r="AD5" s="2158"/>
      <c r="AE5" s="2156" t="s">
        <v>1716</v>
      </c>
      <c r="AF5" s="2157"/>
      <c r="AG5" s="2157"/>
      <c r="AH5" s="2157"/>
      <c r="AI5" s="2158"/>
      <c r="AJ5" s="2156" t="s">
        <v>1717</v>
      </c>
      <c r="AK5" s="2157"/>
      <c r="AL5" s="2157"/>
      <c r="AM5" s="2157"/>
      <c r="AN5" s="2158"/>
      <c r="AO5" s="2156" t="s">
        <v>1779</v>
      </c>
      <c r="AP5" s="2157"/>
      <c r="AQ5" s="2157"/>
      <c r="AR5" s="2157"/>
      <c r="AS5" s="2158"/>
    </row>
    <row r="6" spans="1:45" x14ac:dyDescent="0.25">
      <c r="A6" s="1244" t="s">
        <v>431</v>
      </c>
      <c r="B6" s="1716"/>
      <c r="C6" s="1244"/>
      <c r="D6" s="1244"/>
      <c r="E6" s="972"/>
      <c r="F6" s="1716"/>
      <c r="G6" s="1244"/>
      <c r="H6" s="1244"/>
      <c r="I6" s="1244"/>
      <c r="J6" s="972"/>
      <c r="K6" s="1717"/>
      <c r="L6" s="1718"/>
      <c r="M6" s="1718"/>
      <c r="N6" s="1718"/>
      <c r="O6" s="1719"/>
      <c r="P6" s="1720"/>
      <c r="Q6" s="1721"/>
      <c r="R6" s="1721"/>
      <c r="S6" s="1721"/>
      <c r="T6" s="1722"/>
      <c r="U6" s="1717"/>
      <c r="V6" s="1718"/>
      <c r="W6" s="1718"/>
      <c r="X6" s="1718"/>
      <c r="Y6" s="1719"/>
      <c r="Z6" s="1717"/>
      <c r="AA6" s="1718"/>
      <c r="AB6" s="1718"/>
      <c r="AC6" s="1718"/>
      <c r="AD6" s="1719"/>
      <c r="AE6" s="1717"/>
      <c r="AF6" s="1718"/>
      <c r="AG6" s="1718"/>
      <c r="AH6" s="1718"/>
      <c r="AI6" s="1719"/>
      <c r="AJ6" s="1717"/>
      <c r="AK6" s="1718"/>
      <c r="AL6" s="1718"/>
      <c r="AM6" s="1718"/>
      <c r="AN6" s="1719"/>
      <c r="AO6" s="1717"/>
      <c r="AP6" s="1718"/>
      <c r="AQ6" s="1718"/>
      <c r="AR6" s="1718"/>
      <c r="AS6" s="1719"/>
    </row>
    <row r="7" spans="1:45" x14ac:dyDescent="0.25">
      <c r="A7" s="1828" t="s">
        <v>1016</v>
      </c>
      <c r="B7" s="1730">
        <v>24</v>
      </c>
      <c r="C7" s="1245">
        <v>0</v>
      </c>
      <c r="D7" s="1245">
        <v>0</v>
      </c>
      <c r="E7" s="1723">
        <f t="shared" ref="E7:E14" si="0">SUM(B7:D7)</f>
        <v>24</v>
      </c>
      <c r="F7" s="1245">
        <v>42</v>
      </c>
      <c r="G7" s="1245">
        <v>0</v>
      </c>
      <c r="H7" s="1245">
        <v>0</v>
      </c>
      <c r="I7" s="1724">
        <f t="shared" ref="I7:I14" si="1">SUM(F7:H7)</f>
        <v>42</v>
      </c>
      <c r="J7" s="491">
        <f t="shared" ref="J7:J15" si="2">IF(E7&gt;0,(I7-E7)/E7,(IF(I7=0,"N/A",100%)))</f>
        <v>0.75</v>
      </c>
      <c r="K7" s="1725">
        <v>84</v>
      </c>
      <c r="L7" s="1724">
        <v>39</v>
      </c>
      <c r="M7" s="1726">
        <v>0</v>
      </c>
      <c r="N7" s="1724">
        <f t="shared" ref="N7:N14" si="3">SUM(K7:M7)</f>
        <v>123</v>
      </c>
      <c r="O7" s="491">
        <f t="shared" ref="O7:O15" si="4">IF(I7&gt;0,(N7-I7)/I7,(IF(N7=0,"N/A",100%)))</f>
        <v>1.9285714285714286</v>
      </c>
      <c r="P7" s="1727">
        <v>60</v>
      </c>
      <c r="Q7" s="1727">
        <v>9</v>
      </c>
      <c r="R7" s="1728">
        <v>0</v>
      </c>
      <c r="S7" s="1727">
        <f t="shared" ref="S7:S14" si="5">SUM(P7:R7)</f>
        <v>69</v>
      </c>
      <c r="T7" s="514">
        <f t="shared" ref="T7:T15" si="6">IF(N7&gt;0,(S7-N7)/N7,(IF(S7=0,"N/A",100%)))</f>
        <v>-0.43902439024390244</v>
      </c>
      <c r="U7" s="1725">
        <v>54</v>
      </c>
      <c r="V7" s="1724">
        <v>6</v>
      </c>
      <c r="W7" s="1726">
        <v>0</v>
      </c>
      <c r="X7" s="1724">
        <f t="shared" ref="X7:X14" si="7">SUM(U7:W7)</f>
        <v>60</v>
      </c>
      <c r="Y7" s="491">
        <f>IF(S7&gt;0,(X7-S7)/S7,(IF(X7=0,"N/A",100%)))</f>
        <v>-0.13043478260869565</v>
      </c>
      <c r="Z7" s="1725">
        <v>0</v>
      </c>
      <c r="AA7" s="1724">
        <v>93</v>
      </c>
      <c r="AB7" s="1726">
        <v>0</v>
      </c>
      <c r="AC7" s="1724">
        <f t="shared" ref="AC7:AC14" si="8">SUM(Z7:AB7)</f>
        <v>93</v>
      </c>
      <c r="AD7" s="491">
        <f>IF(X7&gt;0,(AC7-X7)/X7,(IF(AC7=0,"N/A",100%)))</f>
        <v>0.55000000000000004</v>
      </c>
      <c r="AE7" s="1725">
        <v>90</v>
      </c>
      <c r="AF7" s="1724">
        <v>9</v>
      </c>
      <c r="AG7" s="1726">
        <v>0</v>
      </c>
      <c r="AH7" s="1724">
        <f t="shared" ref="AH7:AH14" si="9">SUM(AE7:AG7)</f>
        <v>99</v>
      </c>
      <c r="AI7" s="491">
        <f>IF(AC7&gt;0,(AH7-AC7)/AC7,(IF(AH7=0,"N/A",100%)))</f>
        <v>6.4516129032258063E-2</v>
      </c>
      <c r="AJ7" s="1725">
        <v>75</v>
      </c>
      <c r="AK7" s="1724">
        <v>39</v>
      </c>
      <c r="AL7" s="1726">
        <v>0</v>
      </c>
      <c r="AM7" s="1724">
        <f t="shared" ref="AM7:AM14" si="10">SUM(AJ7:AL7)</f>
        <v>114</v>
      </c>
      <c r="AN7" s="491">
        <f>IF(AH7&gt;0,(AM7-AH7)/AH7,(IF(AM7=0,"N/A",100%)))</f>
        <v>0.15151515151515152</v>
      </c>
      <c r="AO7" s="1725">
        <v>81</v>
      </c>
      <c r="AP7" s="1724">
        <v>33</v>
      </c>
      <c r="AQ7" s="1726">
        <v>0</v>
      </c>
      <c r="AR7" s="1724">
        <f t="shared" ref="AR7:AR14" si="11">SUM(AO7:AQ7)</f>
        <v>114</v>
      </c>
      <c r="AS7" s="491">
        <f>IF(AM7&gt;0,(AR7-AM7)/AM7,(IF(AR7=0,"N/A",100%)))</f>
        <v>0</v>
      </c>
    </row>
    <row r="8" spans="1:45" s="1731" customFormat="1" x14ac:dyDescent="0.25">
      <c r="A8" s="1829" t="s">
        <v>1017</v>
      </c>
      <c r="B8" s="1826">
        <v>21</v>
      </c>
      <c r="C8" s="1729">
        <v>124</v>
      </c>
      <c r="D8" s="1729">
        <v>0</v>
      </c>
      <c r="E8" s="1723">
        <f t="shared" si="0"/>
        <v>145</v>
      </c>
      <c r="F8" s="1730">
        <v>18</v>
      </c>
      <c r="G8" s="1245">
        <v>151</v>
      </c>
      <c r="H8" s="1245">
        <v>0</v>
      </c>
      <c r="I8" s="1724">
        <f t="shared" si="1"/>
        <v>169</v>
      </c>
      <c r="J8" s="491">
        <f t="shared" si="2"/>
        <v>0.16551724137931034</v>
      </c>
      <c r="K8" s="1725">
        <v>75</v>
      </c>
      <c r="L8" s="1724">
        <v>187</v>
      </c>
      <c r="M8" s="1726">
        <v>0</v>
      </c>
      <c r="N8" s="1724">
        <f t="shared" si="3"/>
        <v>262</v>
      </c>
      <c r="O8" s="491">
        <f t="shared" si="4"/>
        <v>0.55029585798816572</v>
      </c>
      <c r="P8" s="1727">
        <v>114</v>
      </c>
      <c r="Q8" s="1727">
        <v>233</v>
      </c>
      <c r="R8" s="1728">
        <v>0</v>
      </c>
      <c r="S8" s="1727">
        <f t="shared" si="5"/>
        <v>347</v>
      </c>
      <c r="T8" s="514">
        <f t="shared" si="6"/>
        <v>0.32442748091603052</v>
      </c>
      <c r="U8" s="1725">
        <v>75</v>
      </c>
      <c r="V8" s="1724">
        <v>314</v>
      </c>
      <c r="W8" s="1726">
        <v>0</v>
      </c>
      <c r="X8" s="1724">
        <f t="shared" si="7"/>
        <v>389</v>
      </c>
      <c r="Y8" s="491">
        <f t="shared" ref="Y8:Y22" si="12">IF(S8&gt;0,(X8-S8)/S8,(IF(X8=0,"N/A",100%)))</f>
        <v>0.12103746397694524</v>
      </c>
      <c r="Z8" s="1725">
        <v>33</v>
      </c>
      <c r="AA8" s="1724">
        <v>244</v>
      </c>
      <c r="AB8" s="1726">
        <v>0</v>
      </c>
      <c r="AC8" s="1724">
        <f t="shared" si="8"/>
        <v>277</v>
      </c>
      <c r="AD8" s="491">
        <f t="shared" ref="AD8:AD15" si="13">IF(X8&gt;0,(AC8-X8)/X8,(IF(AC8=0,"N/A",100%)))</f>
        <v>-0.2879177377892031</v>
      </c>
      <c r="AE8" s="1725">
        <v>93</v>
      </c>
      <c r="AF8" s="1724">
        <v>123</v>
      </c>
      <c r="AG8" s="1726">
        <v>0</v>
      </c>
      <c r="AH8" s="1724">
        <f t="shared" si="9"/>
        <v>216</v>
      </c>
      <c r="AI8" s="491">
        <f t="shared" ref="AI8:AI15" si="14">IF(AC8&gt;0,(AH8-AC8)/AC8,(IF(AH8=0,"N/A",100%)))</f>
        <v>-0.22021660649819494</v>
      </c>
      <c r="AJ8" s="1725">
        <v>87</v>
      </c>
      <c r="AK8" s="1724">
        <v>124</v>
      </c>
      <c r="AL8" s="1726">
        <v>0</v>
      </c>
      <c r="AM8" s="1724">
        <f t="shared" si="10"/>
        <v>211</v>
      </c>
      <c r="AN8" s="491">
        <f t="shared" ref="AN8:AN15" si="15">IF(AH8&gt;0,(AM8-AH8)/AH8,(IF(AM8=0,"N/A",100%)))</f>
        <v>-2.3148148148148147E-2</v>
      </c>
      <c r="AO8" s="1725">
        <v>99</v>
      </c>
      <c r="AP8" s="1724">
        <v>129</v>
      </c>
      <c r="AQ8" s="1726">
        <v>0</v>
      </c>
      <c r="AR8" s="1724">
        <f t="shared" si="11"/>
        <v>228</v>
      </c>
      <c r="AS8" s="491">
        <f t="shared" ref="AS8:AS15" si="16">IF(AM8&gt;0,(AR8-AM8)/AM8,(IF(AR8=0,"N/A",100%)))</f>
        <v>8.0568720379146919E-2</v>
      </c>
    </row>
    <row r="9" spans="1:45" x14ac:dyDescent="0.25">
      <c r="A9" s="1828" t="s">
        <v>1018</v>
      </c>
      <c r="B9" s="1730">
        <v>11</v>
      </c>
      <c r="C9" s="1245">
        <v>0</v>
      </c>
      <c r="D9" s="1245">
        <v>0</v>
      </c>
      <c r="E9" s="1723">
        <f t="shared" si="0"/>
        <v>11</v>
      </c>
      <c r="F9" s="1730">
        <v>6</v>
      </c>
      <c r="G9" s="1245">
        <v>0</v>
      </c>
      <c r="H9" s="1245">
        <v>0</v>
      </c>
      <c r="I9" s="1724">
        <f t="shared" si="1"/>
        <v>6</v>
      </c>
      <c r="J9" s="491">
        <f t="shared" si="2"/>
        <v>-0.45454545454545453</v>
      </c>
      <c r="K9" s="1725">
        <v>1</v>
      </c>
      <c r="L9" s="1724">
        <v>0</v>
      </c>
      <c r="M9" s="1724">
        <v>0</v>
      </c>
      <c r="N9" s="1724">
        <f t="shared" si="3"/>
        <v>1</v>
      </c>
      <c r="O9" s="491">
        <f t="shared" si="4"/>
        <v>-0.83333333333333337</v>
      </c>
      <c r="P9" s="1727">
        <v>3</v>
      </c>
      <c r="Q9" s="1727">
        <v>0</v>
      </c>
      <c r="R9" s="1727">
        <v>0</v>
      </c>
      <c r="S9" s="1727">
        <f t="shared" si="5"/>
        <v>3</v>
      </c>
      <c r="T9" s="514">
        <f t="shared" si="6"/>
        <v>2</v>
      </c>
      <c r="U9" s="1725">
        <v>4</v>
      </c>
      <c r="V9" s="1724">
        <v>0</v>
      </c>
      <c r="W9" s="1724">
        <v>0</v>
      </c>
      <c r="X9" s="1724">
        <f t="shared" si="7"/>
        <v>4</v>
      </c>
      <c r="Y9" s="491">
        <f t="shared" si="12"/>
        <v>0.33333333333333331</v>
      </c>
      <c r="Z9" s="1725">
        <v>0</v>
      </c>
      <c r="AA9" s="1724">
        <v>9</v>
      </c>
      <c r="AB9" s="1726">
        <v>0</v>
      </c>
      <c r="AC9" s="1724">
        <f t="shared" si="8"/>
        <v>9</v>
      </c>
      <c r="AD9" s="491">
        <f t="shared" si="13"/>
        <v>1.25</v>
      </c>
      <c r="AE9" s="1725">
        <v>5</v>
      </c>
      <c r="AF9" s="1724">
        <v>0</v>
      </c>
      <c r="AG9" s="1726">
        <v>0</v>
      </c>
      <c r="AH9" s="1724">
        <f t="shared" si="9"/>
        <v>5</v>
      </c>
      <c r="AI9" s="491">
        <f t="shared" si="14"/>
        <v>-0.44444444444444442</v>
      </c>
      <c r="AJ9" s="1725">
        <v>0</v>
      </c>
      <c r="AK9" s="1724">
        <v>0</v>
      </c>
      <c r="AL9" s="1726">
        <v>0</v>
      </c>
      <c r="AM9" s="1724">
        <f t="shared" si="10"/>
        <v>0</v>
      </c>
      <c r="AN9" s="491">
        <f t="shared" si="15"/>
        <v>-1</v>
      </c>
      <c r="AO9" s="1725">
        <v>0</v>
      </c>
      <c r="AP9" s="1724">
        <v>0</v>
      </c>
      <c r="AQ9" s="1726">
        <v>0</v>
      </c>
      <c r="AR9" s="1724">
        <f t="shared" si="11"/>
        <v>0</v>
      </c>
      <c r="AS9" s="491" t="str">
        <f t="shared" si="16"/>
        <v>N/A</v>
      </c>
    </row>
    <row r="10" spans="1:45" x14ac:dyDescent="0.25">
      <c r="A10" s="1828" t="s">
        <v>1019</v>
      </c>
      <c r="B10" s="1730">
        <v>99</v>
      </c>
      <c r="C10" s="1245">
        <v>51</v>
      </c>
      <c r="D10" s="1245">
        <v>0</v>
      </c>
      <c r="E10" s="1723">
        <f t="shared" si="0"/>
        <v>150</v>
      </c>
      <c r="F10" s="1730">
        <v>21</v>
      </c>
      <c r="G10" s="1245">
        <v>0</v>
      </c>
      <c r="H10" s="1245">
        <v>0</v>
      </c>
      <c r="I10" s="1724">
        <f t="shared" si="1"/>
        <v>21</v>
      </c>
      <c r="J10" s="491">
        <f t="shared" si="2"/>
        <v>-0.86</v>
      </c>
      <c r="K10" s="1725">
        <v>87</v>
      </c>
      <c r="L10" s="1724">
        <v>0</v>
      </c>
      <c r="M10" s="1724">
        <v>0</v>
      </c>
      <c r="N10" s="1724">
        <f t="shared" si="3"/>
        <v>87</v>
      </c>
      <c r="O10" s="491">
        <f t="shared" si="4"/>
        <v>3.1428571428571428</v>
      </c>
      <c r="P10" s="1727">
        <v>108</v>
      </c>
      <c r="Q10" s="1727">
        <v>0</v>
      </c>
      <c r="R10" s="1727">
        <v>0</v>
      </c>
      <c r="S10" s="1727">
        <f t="shared" si="5"/>
        <v>108</v>
      </c>
      <c r="T10" s="514">
        <f t="shared" si="6"/>
        <v>0.2413793103448276</v>
      </c>
      <c r="U10" s="1725">
        <v>111</v>
      </c>
      <c r="V10" s="1724">
        <v>0</v>
      </c>
      <c r="W10" s="1724">
        <v>0</v>
      </c>
      <c r="X10" s="1724">
        <f t="shared" si="7"/>
        <v>111</v>
      </c>
      <c r="Y10" s="491">
        <f t="shared" si="12"/>
        <v>2.7777777777777776E-2</v>
      </c>
      <c r="Z10" s="1725">
        <v>6</v>
      </c>
      <c r="AA10" s="1724">
        <v>33</v>
      </c>
      <c r="AB10" s="1726">
        <v>0</v>
      </c>
      <c r="AC10" s="1724">
        <f t="shared" si="8"/>
        <v>39</v>
      </c>
      <c r="AD10" s="491">
        <f t="shared" si="13"/>
        <v>-0.64864864864864868</v>
      </c>
      <c r="AE10" s="1725">
        <v>54</v>
      </c>
      <c r="AF10" s="1724">
        <v>0</v>
      </c>
      <c r="AG10" s="1726">
        <v>0</v>
      </c>
      <c r="AH10" s="1724">
        <f t="shared" si="9"/>
        <v>54</v>
      </c>
      <c r="AI10" s="491">
        <f t="shared" si="14"/>
        <v>0.38461538461538464</v>
      </c>
      <c r="AJ10" s="1725">
        <v>57</v>
      </c>
      <c r="AK10" s="1724">
        <v>0</v>
      </c>
      <c r="AL10" s="1726">
        <v>0</v>
      </c>
      <c r="AM10" s="1724">
        <f t="shared" si="10"/>
        <v>57</v>
      </c>
      <c r="AN10" s="491">
        <f t="shared" si="15"/>
        <v>5.5555555555555552E-2</v>
      </c>
      <c r="AO10" s="1725">
        <v>84</v>
      </c>
      <c r="AP10" s="1724">
        <v>9</v>
      </c>
      <c r="AQ10" s="1726">
        <v>0</v>
      </c>
      <c r="AR10" s="1724">
        <f t="shared" si="11"/>
        <v>93</v>
      </c>
      <c r="AS10" s="491">
        <f t="shared" si="16"/>
        <v>0.63157894736842102</v>
      </c>
    </row>
    <row r="11" spans="1:45" x14ac:dyDescent="0.25">
      <c r="A11" s="1828" t="s">
        <v>1020</v>
      </c>
      <c r="B11" s="1730">
        <v>0</v>
      </c>
      <c r="C11" s="1245">
        <v>51</v>
      </c>
      <c r="D11" s="1245">
        <v>0</v>
      </c>
      <c r="E11" s="1723">
        <f t="shared" si="0"/>
        <v>51</v>
      </c>
      <c r="F11" s="1730">
        <v>0</v>
      </c>
      <c r="G11" s="1245">
        <v>45</v>
      </c>
      <c r="H11" s="1245">
        <v>0</v>
      </c>
      <c r="I11" s="1724">
        <f t="shared" si="1"/>
        <v>45</v>
      </c>
      <c r="J11" s="491">
        <f t="shared" si="2"/>
        <v>-0.11764705882352941</v>
      </c>
      <c r="K11" s="1725">
        <v>0</v>
      </c>
      <c r="L11" s="1724">
        <v>36</v>
      </c>
      <c r="M11" s="1724">
        <v>0</v>
      </c>
      <c r="N11" s="1724">
        <f t="shared" si="3"/>
        <v>36</v>
      </c>
      <c r="O11" s="491">
        <f t="shared" si="4"/>
        <v>-0.2</v>
      </c>
      <c r="P11" s="1727">
        <v>0</v>
      </c>
      <c r="Q11" s="1727">
        <v>54</v>
      </c>
      <c r="R11" s="1727">
        <v>0</v>
      </c>
      <c r="S11" s="1727">
        <f t="shared" si="5"/>
        <v>54</v>
      </c>
      <c r="T11" s="514">
        <f t="shared" si="6"/>
        <v>0.5</v>
      </c>
      <c r="U11" s="1725">
        <v>9</v>
      </c>
      <c r="V11" s="1724">
        <v>108</v>
      </c>
      <c r="W11" s="1724">
        <v>0</v>
      </c>
      <c r="X11" s="1724">
        <f t="shared" si="7"/>
        <v>117</v>
      </c>
      <c r="Y11" s="491">
        <f t="shared" si="12"/>
        <v>1.1666666666666667</v>
      </c>
      <c r="Z11" s="1725">
        <v>33</v>
      </c>
      <c r="AA11" s="1724">
        <v>54</v>
      </c>
      <c r="AB11" s="1726">
        <v>0</v>
      </c>
      <c r="AC11" s="1724">
        <f t="shared" si="8"/>
        <v>87</v>
      </c>
      <c r="AD11" s="491">
        <f t="shared" si="13"/>
        <v>-0.25641025641025639</v>
      </c>
      <c r="AE11" s="1725">
        <v>27</v>
      </c>
      <c r="AF11" s="1724">
        <v>54</v>
      </c>
      <c r="AG11" s="1726">
        <v>0</v>
      </c>
      <c r="AH11" s="1724">
        <f t="shared" si="9"/>
        <v>81</v>
      </c>
      <c r="AI11" s="491">
        <f t="shared" si="14"/>
        <v>-6.8965517241379309E-2</v>
      </c>
      <c r="AJ11" s="1725">
        <v>18</v>
      </c>
      <c r="AK11" s="1724">
        <v>51</v>
      </c>
      <c r="AL11" s="1726">
        <v>0</v>
      </c>
      <c r="AM11" s="1724">
        <f t="shared" si="10"/>
        <v>69</v>
      </c>
      <c r="AN11" s="491">
        <f t="shared" si="15"/>
        <v>-0.14814814814814814</v>
      </c>
      <c r="AO11" s="1725">
        <v>15</v>
      </c>
      <c r="AP11" s="1724">
        <v>54</v>
      </c>
      <c r="AQ11" s="1726">
        <v>0</v>
      </c>
      <c r="AR11" s="1724">
        <f t="shared" si="11"/>
        <v>69</v>
      </c>
      <c r="AS11" s="491">
        <f t="shared" si="16"/>
        <v>0</v>
      </c>
    </row>
    <row r="12" spans="1:45" x14ac:dyDescent="0.25">
      <c r="A12" s="1828" t="s">
        <v>1021</v>
      </c>
      <c r="B12" s="1730">
        <v>47</v>
      </c>
      <c r="C12" s="1245">
        <v>9</v>
      </c>
      <c r="D12" s="1245">
        <v>0</v>
      </c>
      <c r="E12" s="1723">
        <f t="shared" si="0"/>
        <v>56</v>
      </c>
      <c r="F12" s="1730">
        <v>48</v>
      </c>
      <c r="G12" s="1245">
        <v>15</v>
      </c>
      <c r="H12" s="1245">
        <v>0</v>
      </c>
      <c r="I12" s="1724">
        <f t="shared" si="1"/>
        <v>63</v>
      </c>
      <c r="J12" s="491">
        <f t="shared" si="2"/>
        <v>0.125</v>
      </c>
      <c r="K12" s="1725">
        <v>63</v>
      </c>
      <c r="L12" s="1724">
        <v>6</v>
      </c>
      <c r="M12" s="1724">
        <v>0</v>
      </c>
      <c r="N12" s="1724">
        <f t="shared" si="3"/>
        <v>69</v>
      </c>
      <c r="O12" s="491">
        <f t="shared" si="4"/>
        <v>9.5238095238095233E-2</v>
      </c>
      <c r="P12" s="1727">
        <v>45</v>
      </c>
      <c r="Q12" s="1727">
        <v>36</v>
      </c>
      <c r="R12" s="1727">
        <v>0</v>
      </c>
      <c r="S12" s="1727">
        <f t="shared" si="5"/>
        <v>81</v>
      </c>
      <c r="T12" s="514">
        <f t="shared" si="6"/>
        <v>0.17391304347826086</v>
      </c>
      <c r="U12" s="1725">
        <v>32</v>
      </c>
      <c r="V12" s="1724">
        <v>30</v>
      </c>
      <c r="W12" s="1724">
        <v>0</v>
      </c>
      <c r="X12" s="1724">
        <f t="shared" si="7"/>
        <v>62</v>
      </c>
      <c r="Y12" s="491">
        <f t="shared" si="12"/>
        <v>-0.23456790123456789</v>
      </c>
      <c r="Z12" s="1725">
        <v>9</v>
      </c>
      <c r="AA12" s="1724">
        <v>60</v>
      </c>
      <c r="AB12" s="1726">
        <v>0</v>
      </c>
      <c r="AC12" s="1724">
        <f t="shared" si="8"/>
        <v>69</v>
      </c>
      <c r="AD12" s="491">
        <f t="shared" si="13"/>
        <v>0.11290322580645161</v>
      </c>
      <c r="AE12" s="1725">
        <v>23</v>
      </c>
      <c r="AF12" s="1724">
        <v>24</v>
      </c>
      <c r="AG12" s="1726">
        <v>0</v>
      </c>
      <c r="AH12" s="1724">
        <f t="shared" si="9"/>
        <v>47</v>
      </c>
      <c r="AI12" s="491">
        <f t="shared" si="14"/>
        <v>-0.3188405797101449</v>
      </c>
      <c r="AJ12" s="1725">
        <v>22</v>
      </c>
      <c r="AK12" s="1724">
        <v>30</v>
      </c>
      <c r="AL12" s="1726">
        <v>0</v>
      </c>
      <c r="AM12" s="1724">
        <f t="shared" si="10"/>
        <v>52</v>
      </c>
      <c r="AN12" s="491">
        <f t="shared" si="15"/>
        <v>0.10638297872340426</v>
      </c>
      <c r="AO12" s="1725">
        <v>23</v>
      </c>
      <c r="AP12" s="1724">
        <v>48</v>
      </c>
      <c r="AQ12" s="1726">
        <v>0</v>
      </c>
      <c r="AR12" s="1724">
        <f t="shared" si="11"/>
        <v>71</v>
      </c>
      <c r="AS12" s="491">
        <f t="shared" si="16"/>
        <v>0.36538461538461536</v>
      </c>
    </row>
    <row r="13" spans="1:45" x14ac:dyDescent="0.25">
      <c r="A13" s="1828" t="s">
        <v>1022</v>
      </c>
      <c r="B13" s="1730">
        <v>0</v>
      </c>
      <c r="C13" s="1245">
        <v>156</v>
      </c>
      <c r="D13" s="1245">
        <v>0</v>
      </c>
      <c r="E13" s="1723">
        <f t="shared" si="0"/>
        <v>156</v>
      </c>
      <c r="F13" s="1730">
        <v>0</v>
      </c>
      <c r="G13" s="1245">
        <v>147</v>
      </c>
      <c r="H13" s="1245">
        <v>0</v>
      </c>
      <c r="I13" s="1724">
        <f t="shared" si="1"/>
        <v>147</v>
      </c>
      <c r="J13" s="491">
        <f t="shared" si="2"/>
        <v>-5.7692307692307696E-2</v>
      </c>
      <c r="K13" s="1725">
        <v>0</v>
      </c>
      <c r="L13" s="1724">
        <v>99</v>
      </c>
      <c r="M13" s="1724">
        <v>0</v>
      </c>
      <c r="N13" s="1724">
        <f t="shared" si="3"/>
        <v>99</v>
      </c>
      <c r="O13" s="491">
        <f t="shared" si="4"/>
        <v>-0.32653061224489793</v>
      </c>
      <c r="P13" s="1727">
        <v>0</v>
      </c>
      <c r="Q13" s="1727">
        <v>156</v>
      </c>
      <c r="R13" s="1727">
        <v>0</v>
      </c>
      <c r="S13" s="1727">
        <f t="shared" si="5"/>
        <v>156</v>
      </c>
      <c r="T13" s="514">
        <f t="shared" si="6"/>
        <v>0.5757575757575758</v>
      </c>
      <c r="U13" s="1725">
        <v>0</v>
      </c>
      <c r="V13" s="1724">
        <v>234</v>
      </c>
      <c r="W13" s="1724">
        <v>0</v>
      </c>
      <c r="X13" s="1724">
        <f t="shared" si="7"/>
        <v>234</v>
      </c>
      <c r="Y13" s="491">
        <f t="shared" si="12"/>
        <v>0.5</v>
      </c>
      <c r="Z13" s="1725">
        <v>0</v>
      </c>
      <c r="AA13" s="1724">
        <v>171</v>
      </c>
      <c r="AB13" s="1726">
        <v>0</v>
      </c>
      <c r="AC13" s="1724">
        <f t="shared" si="8"/>
        <v>171</v>
      </c>
      <c r="AD13" s="491">
        <f t="shared" si="13"/>
        <v>-0.26923076923076922</v>
      </c>
      <c r="AE13" s="1725">
        <v>0</v>
      </c>
      <c r="AF13" s="1724">
        <v>165</v>
      </c>
      <c r="AG13" s="1726">
        <v>0</v>
      </c>
      <c r="AH13" s="1724">
        <f t="shared" si="9"/>
        <v>165</v>
      </c>
      <c r="AI13" s="491">
        <f t="shared" si="14"/>
        <v>-3.5087719298245612E-2</v>
      </c>
      <c r="AJ13" s="1725">
        <v>0</v>
      </c>
      <c r="AK13" s="1724">
        <v>189</v>
      </c>
      <c r="AL13" s="1726">
        <v>0</v>
      </c>
      <c r="AM13" s="1724">
        <f t="shared" si="10"/>
        <v>189</v>
      </c>
      <c r="AN13" s="491">
        <f t="shared" si="15"/>
        <v>0.14545454545454545</v>
      </c>
      <c r="AO13" s="1725">
        <v>0</v>
      </c>
      <c r="AP13" s="1724">
        <v>141</v>
      </c>
      <c r="AQ13" s="1726">
        <v>0</v>
      </c>
      <c r="AR13" s="1724">
        <f t="shared" si="11"/>
        <v>141</v>
      </c>
      <c r="AS13" s="491">
        <f t="shared" si="16"/>
        <v>-0.25396825396825395</v>
      </c>
    </row>
    <row r="14" spans="1:45" x14ac:dyDescent="0.25">
      <c r="A14" s="1828" t="s">
        <v>1023</v>
      </c>
      <c r="B14" s="1730">
        <v>0</v>
      </c>
      <c r="C14" s="1245">
        <v>108</v>
      </c>
      <c r="D14" s="1245">
        <v>0</v>
      </c>
      <c r="E14" s="1723">
        <f t="shared" si="0"/>
        <v>108</v>
      </c>
      <c r="F14" s="1730">
        <v>0</v>
      </c>
      <c r="G14" s="1245">
        <v>66</v>
      </c>
      <c r="H14" s="1245">
        <v>0</v>
      </c>
      <c r="I14" s="1724">
        <f t="shared" si="1"/>
        <v>66</v>
      </c>
      <c r="J14" s="491">
        <f t="shared" si="2"/>
        <v>-0.3888888888888889</v>
      </c>
      <c r="K14" s="1725">
        <v>0</v>
      </c>
      <c r="L14" s="1724">
        <v>42</v>
      </c>
      <c r="M14" s="1724">
        <v>0</v>
      </c>
      <c r="N14" s="1724">
        <f t="shared" si="3"/>
        <v>42</v>
      </c>
      <c r="O14" s="491">
        <f t="shared" si="4"/>
        <v>-0.36363636363636365</v>
      </c>
      <c r="P14" s="1727">
        <v>0</v>
      </c>
      <c r="Q14" s="1727">
        <v>33</v>
      </c>
      <c r="R14" s="1727">
        <v>0</v>
      </c>
      <c r="S14" s="1727">
        <f t="shared" si="5"/>
        <v>33</v>
      </c>
      <c r="T14" s="514">
        <f t="shared" si="6"/>
        <v>-0.21428571428571427</v>
      </c>
      <c r="U14" s="1725">
        <v>0</v>
      </c>
      <c r="V14" s="1724">
        <v>69</v>
      </c>
      <c r="W14" s="1724">
        <v>0</v>
      </c>
      <c r="X14" s="1724">
        <f t="shared" si="7"/>
        <v>69</v>
      </c>
      <c r="Y14" s="491">
        <f t="shared" si="12"/>
        <v>1.0909090909090908</v>
      </c>
      <c r="Z14" s="1725">
        <v>0</v>
      </c>
      <c r="AA14" s="1724">
        <v>105</v>
      </c>
      <c r="AB14" s="1726">
        <v>0</v>
      </c>
      <c r="AC14" s="1724">
        <f t="shared" si="8"/>
        <v>105</v>
      </c>
      <c r="AD14" s="491">
        <f t="shared" si="13"/>
        <v>0.52173913043478259</v>
      </c>
      <c r="AE14" s="1725">
        <v>0</v>
      </c>
      <c r="AF14" s="1724">
        <v>96</v>
      </c>
      <c r="AG14" s="1726">
        <v>0</v>
      </c>
      <c r="AH14" s="1724">
        <f t="shared" si="9"/>
        <v>96</v>
      </c>
      <c r="AI14" s="491">
        <f t="shared" si="14"/>
        <v>-8.5714285714285715E-2</v>
      </c>
      <c r="AJ14" s="1725">
        <v>0</v>
      </c>
      <c r="AK14" s="1724">
        <v>99</v>
      </c>
      <c r="AL14" s="1726">
        <v>0</v>
      </c>
      <c r="AM14" s="1724">
        <f t="shared" si="10"/>
        <v>99</v>
      </c>
      <c r="AN14" s="491">
        <f t="shared" si="15"/>
        <v>3.125E-2</v>
      </c>
      <c r="AO14" s="1725">
        <v>0</v>
      </c>
      <c r="AP14" s="1724">
        <v>69</v>
      </c>
      <c r="AQ14" s="1726">
        <v>0</v>
      </c>
      <c r="AR14" s="1724">
        <f t="shared" si="11"/>
        <v>69</v>
      </c>
      <c r="AS14" s="491">
        <f t="shared" si="16"/>
        <v>-0.30303030303030304</v>
      </c>
    </row>
    <row r="15" spans="1:45" s="484" customFormat="1" ht="13.8" x14ac:dyDescent="0.25">
      <c r="A15" s="1830" t="s">
        <v>1015</v>
      </c>
      <c r="B15" s="1732">
        <f t="shared" ref="B15:I15" si="17">SUM(B7:B14)</f>
        <v>202</v>
      </c>
      <c r="C15" s="1732">
        <f t="shared" si="17"/>
        <v>499</v>
      </c>
      <c r="D15" s="1732">
        <f t="shared" si="17"/>
        <v>0</v>
      </c>
      <c r="E15" s="495">
        <f t="shared" si="17"/>
        <v>701</v>
      </c>
      <c r="F15" s="1732">
        <f t="shared" si="17"/>
        <v>135</v>
      </c>
      <c r="G15" s="1732">
        <f t="shared" si="17"/>
        <v>424</v>
      </c>
      <c r="H15" s="1732">
        <f t="shared" si="17"/>
        <v>0</v>
      </c>
      <c r="I15" s="1259">
        <f t="shared" si="17"/>
        <v>559</v>
      </c>
      <c r="J15" s="491">
        <f t="shared" si="2"/>
        <v>-0.20256776034236804</v>
      </c>
      <c r="K15" s="1732">
        <f t="shared" ref="K15:S15" si="18">SUM(K7:K14)</f>
        <v>310</v>
      </c>
      <c r="L15" s="1259">
        <f t="shared" si="18"/>
        <v>409</v>
      </c>
      <c r="M15" s="1259">
        <f t="shared" si="18"/>
        <v>0</v>
      </c>
      <c r="N15" s="1259">
        <f t="shared" si="18"/>
        <v>719</v>
      </c>
      <c r="O15" s="496">
        <f t="shared" si="4"/>
        <v>0.28622540250447226</v>
      </c>
      <c r="P15" s="1048">
        <f t="shared" si="18"/>
        <v>330</v>
      </c>
      <c r="Q15" s="1048">
        <f t="shared" si="18"/>
        <v>521</v>
      </c>
      <c r="R15" s="1048">
        <f t="shared" si="18"/>
        <v>0</v>
      </c>
      <c r="S15" s="1048">
        <f t="shared" si="18"/>
        <v>851</v>
      </c>
      <c r="T15" s="543">
        <f t="shared" si="6"/>
        <v>0.1835883171070932</v>
      </c>
      <c r="U15" s="1732">
        <f>SUM(U7:U14)</f>
        <v>285</v>
      </c>
      <c r="V15" s="1259">
        <f>SUM(V7:V14)</f>
        <v>761</v>
      </c>
      <c r="W15" s="1259">
        <f>SUM(W7:W14)</f>
        <v>0</v>
      </c>
      <c r="X15" s="1259">
        <f>SUM(X7:X14)</f>
        <v>1046</v>
      </c>
      <c r="Y15" s="496">
        <f t="shared" si="12"/>
        <v>0.2291421856639248</v>
      </c>
      <c r="Z15" s="1732">
        <f>SUM(Z7:Z14)</f>
        <v>81</v>
      </c>
      <c r="AA15" s="1259">
        <f>SUM(AA7:AA14)</f>
        <v>769</v>
      </c>
      <c r="AB15" s="1259">
        <f>SUM(AB7:AB14)</f>
        <v>0</v>
      </c>
      <c r="AC15" s="1259">
        <f>SUM(AC7:AC14)</f>
        <v>850</v>
      </c>
      <c r="AD15" s="496">
        <f t="shared" si="13"/>
        <v>-0.18738049713193117</v>
      </c>
      <c r="AE15" s="1732">
        <f>SUM(AE7:AE14)</f>
        <v>292</v>
      </c>
      <c r="AF15" s="1259">
        <f>SUM(AF7:AF14)</f>
        <v>471</v>
      </c>
      <c r="AG15" s="1259">
        <f>SUM(AG7:AG14)</f>
        <v>0</v>
      </c>
      <c r="AH15" s="1259">
        <f>SUM(AH7:AH14)</f>
        <v>763</v>
      </c>
      <c r="AI15" s="496">
        <f t="shared" si="14"/>
        <v>-0.10235294117647059</v>
      </c>
      <c r="AJ15" s="1732">
        <f>SUM(AJ7:AJ14)</f>
        <v>259</v>
      </c>
      <c r="AK15" s="1259">
        <f>SUM(AK7:AK14)</f>
        <v>532</v>
      </c>
      <c r="AL15" s="1259">
        <f>SUM(AL7:AL14)</f>
        <v>0</v>
      </c>
      <c r="AM15" s="1259">
        <f>SUM(AM7:AM14)</f>
        <v>791</v>
      </c>
      <c r="AN15" s="496">
        <f t="shared" si="15"/>
        <v>3.669724770642202E-2</v>
      </c>
      <c r="AO15" s="1732">
        <f>SUM(AO7:AO14)</f>
        <v>302</v>
      </c>
      <c r="AP15" s="1259">
        <f>SUM(AP7:AP14)</f>
        <v>483</v>
      </c>
      <c r="AQ15" s="1259">
        <f>SUM(AQ7:AQ14)</f>
        <v>0</v>
      </c>
      <c r="AR15" s="1259">
        <f>SUM(AR7:AR14)</f>
        <v>785</v>
      </c>
      <c r="AS15" s="496">
        <f t="shared" si="16"/>
        <v>-7.5853350189633373E-3</v>
      </c>
    </row>
    <row r="16" spans="1:45" x14ac:dyDescent="0.25">
      <c r="A16" s="1244" t="s">
        <v>432</v>
      </c>
      <c r="B16" s="1827"/>
      <c r="C16" s="1733"/>
      <c r="D16" s="1733"/>
      <c r="E16" s="1719"/>
      <c r="F16" s="1716"/>
      <c r="G16" s="1244"/>
      <c r="H16" s="1244"/>
      <c r="I16" s="1718"/>
      <c r="J16" s="1719"/>
      <c r="K16" s="1717"/>
      <c r="L16" s="1718"/>
      <c r="M16" s="1718"/>
      <c r="N16" s="1718"/>
      <c r="O16" s="1719"/>
      <c r="P16" s="1720"/>
      <c r="Q16" s="1721"/>
      <c r="R16" s="1721"/>
      <c r="S16" s="1721"/>
      <c r="T16" s="1722"/>
      <c r="U16" s="1717"/>
      <c r="V16" s="1718"/>
      <c r="W16" s="1718"/>
      <c r="X16" s="1718"/>
      <c r="Y16" s="1719"/>
      <c r="Z16" s="1717"/>
      <c r="AA16" s="1718"/>
      <c r="AB16" s="1718"/>
      <c r="AC16" s="1718"/>
      <c r="AD16" s="1719"/>
      <c r="AE16" s="1717"/>
      <c r="AF16" s="1718"/>
      <c r="AG16" s="1718"/>
      <c r="AH16" s="1718"/>
      <c r="AI16" s="1719"/>
      <c r="AJ16" s="1717"/>
      <c r="AK16" s="1718"/>
      <c r="AL16" s="1718"/>
      <c r="AM16" s="1718"/>
      <c r="AN16" s="1719"/>
      <c r="AO16" s="1717"/>
      <c r="AP16" s="1718"/>
      <c r="AQ16" s="1718"/>
      <c r="AR16" s="1718"/>
      <c r="AS16" s="1719"/>
    </row>
    <row r="17" spans="1:45" s="712" customFormat="1" x14ac:dyDescent="0.25">
      <c r="A17" s="1831" t="s">
        <v>514</v>
      </c>
      <c r="B17" s="1734">
        <v>0</v>
      </c>
      <c r="C17" s="1726">
        <v>18</v>
      </c>
      <c r="D17" s="1726">
        <v>0</v>
      </c>
      <c r="E17" s="1723">
        <f>SUM(B17:D17)</f>
        <v>18</v>
      </c>
      <c r="F17" s="1730">
        <v>0</v>
      </c>
      <c r="G17" s="1245">
        <v>33</v>
      </c>
      <c r="H17" s="1245">
        <v>0</v>
      </c>
      <c r="I17" s="1724">
        <f>SUM(F17:H17)</f>
        <v>33</v>
      </c>
      <c r="J17" s="491">
        <f>IF(E17&gt;0,(I17-E17)/E17,(IF(I17=0,"N/A",100%)))</f>
        <v>0.83333333333333337</v>
      </c>
      <c r="K17" s="1734">
        <v>0</v>
      </c>
      <c r="L17" s="1724">
        <v>18</v>
      </c>
      <c r="M17" s="1724">
        <v>0</v>
      </c>
      <c r="N17" s="1724">
        <f>SUM(K17:M17)</f>
        <v>18</v>
      </c>
      <c r="O17" s="491">
        <f t="shared" ref="O17:O22" si="19">IF(I17&gt;0,(N17-I17)/I17,(IF(N17=0,"N/A",100%)))</f>
        <v>-0.45454545454545453</v>
      </c>
      <c r="P17" s="1735">
        <v>0</v>
      </c>
      <c r="Q17" s="1735">
        <v>0</v>
      </c>
      <c r="R17" s="1735">
        <v>0</v>
      </c>
      <c r="S17" s="1727">
        <f>SUM(P17:R17)</f>
        <v>0</v>
      </c>
      <c r="T17" s="514">
        <f t="shared" ref="T17:T22" si="20">IF(N17&gt;0,(S17-N17)/N17,(IF(S17=0,"N/A",100%)))</f>
        <v>-1</v>
      </c>
      <c r="U17" s="1736">
        <v>0</v>
      </c>
      <c r="V17" s="1737">
        <v>0</v>
      </c>
      <c r="W17" s="1724">
        <v>0</v>
      </c>
      <c r="X17" s="1724">
        <f>SUM(U17:W17)</f>
        <v>0</v>
      </c>
      <c r="Y17" s="491" t="str">
        <f>IF(S17&gt;0,(X17-S17)/S17,(IF(X17=0,"N/A",100%)))</f>
        <v>N/A</v>
      </c>
      <c r="Z17" s="1736">
        <v>0</v>
      </c>
      <c r="AA17" s="1737">
        <v>0</v>
      </c>
      <c r="AB17" s="1724">
        <v>0</v>
      </c>
      <c r="AC17" s="1724">
        <f>SUM(Z17:AB17)</f>
        <v>0</v>
      </c>
      <c r="AD17" s="491" t="str">
        <f t="shared" ref="AD17:AD22" si="21">IF(X17&gt;0,(AC17-X17)/X17,(IF(AC17=0,"N/A",100%)))</f>
        <v>N/A</v>
      </c>
      <c r="AE17" s="1736">
        <v>0</v>
      </c>
      <c r="AF17" s="1737">
        <v>0</v>
      </c>
      <c r="AG17" s="1724">
        <v>0</v>
      </c>
      <c r="AH17" s="1724">
        <f>SUM(AE17:AG17)</f>
        <v>0</v>
      </c>
      <c r="AI17" s="491" t="str">
        <f t="shared" ref="AI17:AI22" si="22">IF(AC17&gt;0,(AH17-AC17)/AC17,(IF(AH17=0,"N/A",100%)))</f>
        <v>N/A</v>
      </c>
      <c r="AJ17" s="1736">
        <v>0</v>
      </c>
      <c r="AK17" s="1737">
        <v>0</v>
      </c>
      <c r="AL17" s="1724">
        <v>0</v>
      </c>
      <c r="AM17" s="1724">
        <f>SUM(AJ17:AL17)</f>
        <v>0</v>
      </c>
      <c r="AN17" s="491" t="str">
        <f t="shared" ref="AN17:AN22" si="23">IF(AH17&gt;0,(AM17-AH17)/AH17,(IF(AM17=0,"N/A",100%)))</f>
        <v>N/A</v>
      </c>
      <c r="AO17" s="1736">
        <v>0</v>
      </c>
      <c r="AP17" s="1737">
        <v>0</v>
      </c>
      <c r="AQ17" s="1724">
        <v>0</v>
      </c>
      <c r="AR17" s="1724">
        <f>SUM(AO17:AQ17)</f>
        <v>0</v>
      </c>
      <c r="AS17" s="491" t="str">
        <f t="shared" ref="AS17:AS22" si="24">IF(AM17&gt;0,(AR17-AM17)/AM17,(IF(AR17=0,"N/A",100%)))</f>
        <v>N/A</v>
      </c>
    </row>
    <row r="18" spans="1:45" s="712" customFormat="1" x14ac:dyDescent="0.25">
      <c r="A18" s="1831" t="s">
        <v>1652</v>
      </c>
      <c r="B18" s="1734">
        <v>0</v>
      </c>
      <c r="C18" s="1726">
        <v>0</v>
      </c>
      <c r="D18" s="1726">
        <v>0</v>
      </c>
      <c r="E18" s="1723">
        <f>SUM(B18:D18)</f>
        <v>0</v>
      </c>
      <c r="F18" s="1730">
        <v>0</v>
      </c>
      <c r="G18" s="1245">
        <v>0</v>
      </c>
      <c r="H18" s="1245">
        <v>0</v>
      </c>
      <c r="I18" s="1724">
        <f>SUM(F18:H18)</f>
        <v>0</v>
      </c>
      <c r="J18" s="491"/>
      <c r="K18" s="1734">
        <v>0</v>
      </c>
      <c r="L18" s="1724">
        <v>0</v>
      </c>
      <c r="M18" s="1724">
        <v>0</v>
      </c>
      <c r="N18" s="1724">
        <f>SUM(K18:M18)</f>
        <v>0</v>
      </c>
      <c r="O18" s="491" t="str">
        <f t="shared" si="19"/>
        <v>N/A</v>
      </c>
      <c r="P18" s="1735">
        <v>0</v>
      </c>
      <c r="Q18" s="1735">
        <v>0</v>
      </c>
      <c r="R18" s="1735">
        <v>0</v>
      </c>
      <c r="S18" s="1727">
        <f>SUM(P18:R18)</f>
        <v>0</v>
      </c>
      <c r="T18" s="514" t="str">
        <f t="shared" si="20"/>
        <v>N/A</v>
      </c>
      <c r="U18" s="1736">
        <v>0</v>
      </c>
      <c r="V18" s="1737">
        <v>0</v>
      </c>
      <c r="W18" s="1724">
        <v>0</v>
      </c>
      <c r="X18" s="1724">
        <f>SUM(U18:W18)</f>
        <v>0</v>
      </c>
      <c r="Y18" s="491" t="str">
        <f>IF(S18&gt;0,(X18-S18)/S18,(IF(X18=0,"N/A",100%)))</f>
        <v>N/A</v>
      </c>
      <c r="Z18" s="1736">
        <v>0</v>
      </c>
      <c r="AA18" s="1737">
        <v>0</v>
      </c>
      <c r="AB18" s="1724">
        <v>0</v>
      </c>
      <c r="AC18" s="1724">
        <f>SUM(Z18:AB18)</f>
        <v>0</v>
      </c>
      <c r="AD18" s="491" t="str">
        <f t="shared" si="21"/>
        <v>N/A</v>
      </c>
      <c r="AE18" s="1736">
        <v>0</v>
      </c>
      <c r="AF18" s="1737">
        <v>0</v>
      </c>
      <c r="AG18" s="1724">
        <v>0</v>
      </c>
      <c r="AH18" s="1724">
        <f>SUM(AE18:AG18)</f>
        <v>0</v>
      </c>
      <c r="AI18" s="491" t="str">
        <f t="shared" si="22"/>
        <v>N/A</v>
      </c>
      <c r="AJ18" s="1736">
        <v>0</v>
      </c>
      <c r="AK18" s="1737">
        <v>0</v>
      </c>
      <c r="AL18" s="1724">
        <v>48</v>
      </c>
      <c r="AM18" s="1724">
        <f>SUM(AJ18:AL18)</f>
        <v>48</v>
      </c>
      <c r="AN18" s="491">
        <f t="shared" si="23"/>
        <v>1</v>
      </c>
      <c r="AO18" s="1736">
        <v>0</v>
      </c>
      <c r="AP18" s="1737">
        <v>0</v>
      </c>
      <c r="AQ18" s="1724">
        <v>22</v>
      </c>
      <c r="AR18" s="1724">
        <f>SUM(AO18:AQ18)</f>
        <v>22</v>
      </c>
      <c r="AS18" s="491">
        <f t="shared" si="24"/>
        <v>-0.54166666666666663</v>
      </c>
    </row>
    <row r="19" spans="1:45" x14ac:dyDescent="0.25">
      <c r="A19" s="1828" t="s">
        <v>1042</v>
      </c>
      <c r="B19" s="1730">
        <v>0</v>
      </c>
      <c r="C19" s="1245">
        <v>111</v>
      </c>
      <c r="D19" s="1245">
        <v>0</v>
      </c>
      <c r="E19" s="1723">
        <f>SUM(B19:D19)</f>
        <v>111</v>
      </c>
      <c r="F19" s="1730">
        <v>57</v>
      </c>
      <c r="G19" s="1245">
        <v>96</v>
      </c>
      <c r="H19" s="1245">
        <v>0</v>
      </c>
      <c r="I19" s="1725">
        <f>SUM(F19:H19)</f>
        <v>153</v>
      </c>
      <c r="J19" s="491">
        <f>IF(E19&gt;0,(I19-E19)/E19,(IF(I19=0,"N/A",100%)))</f>
        <v>0.3783783783783784</v>
      </c>
      <c r="K19" s="1725">
        <v>33</v>
      </c>
      <c r="L19" s="1724">
        <v>54</v>
      </c>
      <c r="M19" s="1724">
        <v>0</v>
      </c>
      <c r="N19" s="1724">
        <f>SUM(K19:M19)</f>
        <v>87</v>
      </c>
      <c r="O19" s="491">
        <f t="shared" si="19"/>
        <v>-0.43137254901960786</v>
      </c>
      <c r="P19" s="1727">
        <v>42</v>
      </c>
      <c r="Q19" s="1727">
        <v>51</v>
      </c>
      <c r="R19" s="1727">
        <v>0</v>
      </c>
      <c r="S19" s="1727">
        <f>SUM(P19:R19)</f>
        <v>93</v>
      </c>
      <c r="T19" s="514">
        <f t="shared" si="20"/>
        <v>6.8965517241379309E-2</v>
      </c>
      <c r="U19" s="1725">
        <v>45</v>
      </c>
      <c r="V19" s="1724">
        <v>54</v>
      </c>
      <c r="W19" s="1724">
        <v>0</v>
      </c>
      <c r="X19" s="1724">
        <f>SUM(U19:W19)</f>
        <v>99</v>
      </c>
      <c r="Y19" s="491">
        <f t="shared" si="12"/>
        <v>6.4516129032258063E-2</v>
      </c>
      <c r="Z19" s="1725">
        <v>54</v>
      </c>
      <c r="AA19" s="1724">
        <v>24</v>
      </c>
      <c r="AB19" s="1724">
        <v>0</v>
      </c>
      <c r="AC19" s="1724">
        <f>SUM(Z19:AB19)</f>
        <v>78</v>
      </c>
      <c r="AD19" s="491">
        <f t="shared" si="21"/>
        <v>-0.21212121212121213</v>
      </c>
      <c r="AE19" s="1725">
        <v>27</v>
      </c>
      <c r="AF19" s="1724">
        <v>6</v>
      </c>
      <c r="AG19" s="1724">
        <v>0</v>
      </c>
      <c r="AH19" s="1724">
        <f>SUM(AE19:AG19)</f>
        <v>33</v>
      </c>
      <c r="AI19" s="491">
        <f t="shared" si="22"/>
        <v>-0.57692307692307687</v>
      </c>
      <c r="AJ19" s="1725">
        <v>30</v>
      </c>
      <c r="AK19" s="1724">
        <v>33</v>
      </c>
      <c r="AL19" s="1724">
        <v>0</v>
      </c>
      <c r="AM19" s="1724">
        <f>SUM(AJ19:AL19)</f>
        <v>63</v>
      </c>
      <c r="AN19" s="491">
        <f t="shared" si="23"/>
        <v>0.90909090909090906</v>
      </c>
      <c r="AO19" s="1725">
        <v>21</v>
      </c>
      <c r="AP19" s="1724">
        <v>66</v>
      </c>
      <c r="AQ19" s="1724">
        <v>0</v>
      </c>
      <c r="AR19" s="1724">
        <f>SUM(AO19:AQ19)</f>
        <v>87</v>
      </c>
      <c r="AS19" s="491">
        <f t="shared" si="24"/>
        <v>0.38095238095238093</v>
      </c>
    </row>
    <row r="20" spans="1:45" x14ac:dyDescent="0.25">
      <c r="A20" s="1828" t="s">
        <v>1014</v>
      </c>
      <c r="B20" s="1730">
        <v>51</v>
      </c>
      <c r="C20" s="1245">
        <v>216</v>
      </c>
      <c r="D20" s="1245">
        <v>0</v>
      </c>
      <c r="E20" s="1723">
        <f>SUM(B20:D20)</f>
        <v>267</v>
      </c>
      <c r="F20" s="1730">
        <v>57</v>
      </c>
      <c r="G20" s="1245">
        <v>117</v>
      </c>
      <c r="H20" s="1245">
        <v>0</v>
      </c>
      <c r="I20" s="1725">
        <f>SUM(F20:H20)</f>
        <v>174</v>
      </c>
      <c r="J20" s="491">
        <f>IF(E20&gt;0,(I20-E20)/E20,(IF(I20=0,"N/A",100%)))</f>
        <v>-0.34831460674157305</v>
      </c>
      <c r="K20" s="1725">
        <v>150</v>
      </c>
      <c r="L20" s="1724">
        <v>42</v>
      </c>
      <c r="M20" s="1724">
        <v>0</v>
      </c>
      <c r="N20" s="1724">
        <f>SUM(K20:M20)</f>
        <v>192</v>
      </c>
      <c r="O20" s="491">
        <f t="shared" si="19"/>
        <v>0.10344827586206896</v>
      </c>
      <c r="P20" s="1727">
        <v>123</v>
      </c>
      <c r="Q20" s="1727">
        <v>72</v>
      </c>
      <c r="R20" s="1727">
        <v>0</v>
      </c>
      <c r="S20" s="1727">
        <f>SUM(P20:R20)</f>
        <v>195</v>
      </c>
      <c r="T20" s="514">
        <f t="shared" si="20"/>
        <v>1.5625E-2</v>
      </c>
      <c r="U20" s="1725">
        <v>102</v>
      </c>
      <c r="V20" s="1724">
        <v>144</v>
      </c>
      <c r="W20" s="1724">
        <v>0</v>
      </c>
      <c r="X20" s="1724">
        <f>SUM(U20:W20)</f>
        <v>246</v>
      </c>
      <c r="Y20" s="491">
        <f t="shared" si="12"/>
        <v>0.26153846153846155</v>
      </c>
      <c r="Z20" s="1725">
        <v>42</v>
      </c>
      <c r="AA20" s="1724">
        <v>198</v>
      </c>
      <c r="AB20" s="1724">
        <v>0</v>
      </c>
      <c r="AC20" s="1724">
        <f>SUM(Z20:AB20)</f>
        <v>240</v>
      </c>
      <c r="AD20" s="491">
        <f t="shared" si="21"/>
        <v>-2.4390243902439025E-2</v>
      </c>
      <c r="AE20" s="1725">
        <v>51</v>
      </c>
      <c r="AF20" s="1724">
        <v>129</v>
      </c>
      <c r="AG20" s="1724">
        <v>0</v>
      </c>
      <c r="AH20" s="1724">
        <f>SUM(AE20:AG20)</f>
        <v>180</v>
      </c>
      <c r="AI20" s="491">
        <f t="shared" si="22"/>
        <v>-0.25</v>
      </c>
      <c r="AJ20" s="1725">
        <v>81</v>
      </c>
      <c r="AK20" s="1724">
        <v>69</v>
      </c>
      <c r="AL20" s="1724">
        <v>0</v>
      </c>
      <c r="AM20" s="1724">
        <f>SUM(AJ20:AL20)</f>
        <v>150</v>
      </c>
      <c r="AN20" s="491">
        <f t="shared" si="23"/>
        <v>-0.16666666666666666</v>
      </c>
      <c r="AO20" s="1725">
        <v>66</v>
      </c>
      <c r="AP20" s="1724">
        <v>54</v>
      </c>
      <c r="AQ20" s="1724">
        <v>0</v>
      </c>
      <c r="AR20" s="1724">
        <f>SUM(AO20:AQ20)</f>
        <v>120</v>
      </c>
      <c r="AS20" s="491">
        <f t="shared" si="24"/>
        <v>-0.2</v>
      </c>
    </row>
    <row r="21" spans="1:45" s="484" customFormat="1" ht="13.8" x14ac:dyDescent="0.25">
      <c r="A21" s="1830" t="s">
        <v>1015</v>
      </c>
      <c r="B21" s="1732">
        <f t="shared" ref="B21:I21" si="25">SUM(B17:B20)</f>
        <v>51</v>
      </c>
      <c r="C21" s="1259">
        <f t="shared" si="25"/>
        <v>345</v>
      </c>
      <c r="D21" s="1259">
        <f t="shared" si="25"/>
        <v>0</v>
      </c>
      <c r="E21" s="495">
        <f t="shared" si="25"/>
        <v>396</v>
      </c>
      <c r="F21" s="1732">
        <f t="shared" si="25"/>
        <v>114</v>
      </c>
      <c r="G21" s="1259">
        <f t="shared" si="25"/>
        <v>246</v>
      </c>
      <c r="H21" s="1259">
        <f t="shared" si="25"/>
        <v>0</v>
      </c>
      <c r="I21" s="1732">
        <f t="shared" si="25"/>
        <v>360</v>
      </c>
      <c r="J21" s="496">
        <f>IF(E21&gt;0,(I21-E21)/E21,(IF(I21=0,"N/A",100%)))</f>
        <v>-9.0909090909090912E-2</v>
      </c>
      <c r="K21" s="1732">
        <f t="shared" ref="K21:S21" si="26">SUM(K17:K20)</f>
        <v>183</v>
      </c>
      <c r="L21" s="1259">
        <f t="shared" si="26"/>
        <v>114</v>
      </c>
      <c r="M21" s="1259">
        <f t="shared" si="26"/>
        <v>0</v>
      </c>
      <c r="N21" s="1259">
        <f t="shared" si="26"/>
        <v>297</v>
      </c>
      <c r="O21" s="496">
        <f t="shared" si="19"/>
        <v>-0.17499999999999999</v>
      </c>
      <c r="P21" s="1048">
        <f t="shared" si="26"/>
        <v>165</v>
      </c>
      <c r="Q21" s="1048">
        <f t="shared" si="26"/>
        <v>123</v>
      </c>
      <c r="R21" s="1048">
        <f t="shared" si="26"/>
        <v>0</v>
      </c>
      <c r="S21" s="1048">
        <f t="shared" si="26"/>
        <v>288</v>
      </c>
      <c r="T21" s="543">
        <f t="shared" si="20"/>
        <v>-3.0303030303030304E-2</v>
      </c>
      <c r="U21" s="1732">
        <f>SUM(U17:U20)</f>
        <v>147</v>
      </c>
      <c r="V21" s="1259">
        <f>SUM(V17:V20)</f>
        <v>198</v>
      </c>
      <c r="W21" s="1259">
        <f>SUM(W17:W20)</f>
        <v>0</v>
      </c>
      <c r="X21" s="1259">
        <f>SUM(X17:X20)</f>
        <v>345</v>
      </c>
      <c r="Y21" s="496">
        <f t="shared" si="12"/>
        <v>0.19791666666666666</v>
      </c>
      <c r="Z21" s="1732">
        <f>SUM(Z17:Z20)</f>
        <v>96</v>
      </c>
      <c r="AA21" s="1259">
        <f>SUM(AA17:AA20)</f>
        <v>222</v>
      </c>
      <c r="AB21" s="1259">
        <f>SUM(AB17:AB20)</f>
        <v>0</v>
      </c>
      <c r="AC21" s="1259">
        <f>SUM(AC17:AC20)</f>
        <v>318</v>
      </c>
      <c r="AD21" s="496">
        <f t="shared" si="21"/>
        <v>-7.8260869565217397E-2</v>
      </c>
      <c r="AE21" s="1732">
        <f>SUM(AE17:AE20)</f>
        <v>78</v>
      </c>
      <c r="AF21" s="1259">
        <f>SUM(AF17:AF20)</f>
        <v>135</v>
      </c>
      <c r="AG21" s="1259">
        <f>SUM(AG17:AG20)</f>
        <v>0</v>
      </c>
      <c r="AH21" s="1259">
        <f>SUM(AH17:AH20)</f>
        <v>213</v>
      </c>
      <c r="AI21" s="496">
        <f t="shared" si="22"/>
        <v>-0.330188679245283</v>
      </c>
      <c r="AJ21" s="1732">
        <f>SUM(AJ17:AJ20)</f>
        <v>111</v>
      </c>
      <c r="AK21" s="1259">
        <f>SUM(AK17:AK20)</f>
        <v>102</v>
      </c>
      <c r="AL21" s="1259">
        <f>SUM(AL17:AL20)</f>
        <v>48</v>
      </c>
      <c r="AM21" s="1259">
        <f>SUM(AM17:AM20)</f>
        <v>261</v>
      </c>
      <c r="AN21" s="496">
        <f t="shared" si="23"/>
        <v>0.22535211267605634</v>
      </c>
      <c r="AO21" s="1732">
        <f>SUM(AO17:AO20)</f>
        <v>87</v>
      </c>
      <c r="AP21" s="1259">
        <f>SUM(AP17:AP20)</f>
        <v>120</v>
      </c>
      <c r="AQ21" s="1259">
        <f>SUM(AQ17:AQ20)</f>
        <v>22</v>
      </c>
      <c r="AR21" s="1259">
        <f>SUM(AR17:AR20)</f>
        <v>229</v>
      </c>
      <c r="AS21" s="496">
        <f t="shared" si="24"/>
        <v>-0.12260536398467432</v>
      </c>
    </row>
    <row r="22" spans="1:45" s="502" customFormat="1" ht="16.2" thickBot="1" x14ac:dyDescent="0.35">
      <c r="A22" s="971" t="s">
        <v>433</v>
      </c>
      <c r="B22" s="988">
        <f t="shared" ref="B22:I22" si="27">+B21+B15</f>
        <v>253</v>
      </c>
      <c r="C22" s="988">
        <f t="shared" si="27"/>
        <v>844</v>
      </c>
      <c r="D22" s="988">
        <f t="shared" si="27"/>
        <v>0</v>
      </c>
      <c r="E22" s="989">
        <f t="shared" si="27"/>
        <v>1097</v>
      </c>
      <c r="F22" s="988">
        <f t="shared" si="27"/>
        <v>249</v>
      </c>
      <c r="G22" s="974">
        <f t="shared" si="27"/>
        <v>670</v>
      </c>
      <c r="H22" s="974">
        <f t="shared" si="27"/>
        <v>0</v>
      </c>
      <c r="I22" s="988">
        <f t="shared" si="27"/>
        <v>919</v>
      </c>
      <c r="J22" s="975">
        <f>IF(E22&gt;0,(I22-E22)/E22,(IF(I22=0,"N/A",100%)))</f>
        <v>-0.16226071103008205</v>
      </c>
      <c r="K22" s="988">
        <f t="shared" ref="K22:S22" si="28">+K21+K15</f>
        <v>493</v>
      </c>
      <c r="L22" s="974">
        <f t="shared" si="28"/>
        <v>523</v>
      </c>
      <c r="M22" s="974">
        <f t="shared" si="28"/>
        <v>0</v>
      </c>
      <c r="N22" s="974">
        <f t="shared" si="28"/>
        <v>1016</v>
      </c>
      <c r="O22" s="975">
        <f t="shared" si="19"/>
        <v>0.10554951033732318</v>
      </c>
      <c r="P22" s="1049">
        <f t="shared" si="28"/>
        <v>495</v>
      </c>
      <c r="Q22" s="1049">
        <f t="shared" si="28"/>
        <v>644</v>
      </c>
      <c r="R22" s="1049">
        <f t="shared" si="28"/>
        <v>0</v>
      </c>
      <c r="S22" s="1049">
        <f t="shared" si="28"/>
        <v>1139</v>
      </c>
      <c r="T22" s="1050">
        <f t="shared" si="20"/>
        <v>0.12106299212598425</v>
      </c>
      <c r="U22" s="988">
        <f>+U21+U15</f>
        <v>432</v>
      </c>
      <c r="V22" s="974">
        <f>+V21+V15</f>
        <v>959</v>
      </c>
      <c r="W22" s="974">
        <f>+W21+W15</f>
        <v>0</v>
      </c>
      <c r="X22" s="974">
        <f>+X21+X15</f>
        <v>1391</v>
      </c>
      <c r="Y22" s="975">
        <f t="shared" si="12"/>
        <v>0.22124670763827919</v>
      </c>
      <c r="Z22" s="988">
        <f>+Z21+Z15</f>
        <v>177</v>
      </c>
      <c r="AA22" s="974">
        <f>+AA21+AA15</f>
        <v>991</v>
      </c>
      <c r="AB22" s="974">
        <f>+AB21+AB15</f>
        <v>0</v>
      </c>
      <c r="AC22" s="974">
        <f>+AC21+AC15</f>
        <v>1168</v>
      </c>
      <c r="AD22" s="975">
        <f t="shared" si="21"/>
        <v>-0.16031631919482386</v>
      </c>
      <c r="AE22" s="988">
        <f>+AE21+AE15</f>
        <v>370</v>
      </c>
      <c r="AF22" s="974">
        <f>+AF21+AF15</f>
        <v>606</v>
      </c>
      <c r="AG22" s="974">
        <f>+AG21+AG15</f>
        <v>0</v>
      </c>
      <c r="AH22" s="974">
        <f>+AH21+AH15</f>
        <v>976</v>
      </c>
      <c r="AI22" s="975">
        <f t="shared" si="22"/>
        <v>-0.16438356164383561</v>
      </c>
      <c r="AJ22" s="988">
        <f>+AJ21+AJ15</f>
        <v>370</v>
      </c>
      <c r="AK22" s="974">
        <f>+AK21+AK15</f>
        <v>634</v>
      </c>
      <c r="AL22" s="974">
        <f>+AL21+AL15</f>
        <v>48</v>
      </c>
      <c r="AM22" s="974">
        <f>+AM21+AM15</f>
        <v>1052</v>
      </c>
      <c r="AN22" s="975">
        <f t="shared" si="23"/>
        <v>7.7868852459016397E-2</v>
      </c>
      <c r="AO22" s="988">
        <f>+AO21+AO15</f>
        <v>389</v>
      </c>
      <c r="AP22" s="974">
        <f>+AP21+AP15</f>
        <v>603</v>
      </c>
      <c r="AQ22" s="974">
        <f>+AQ21+AQ15</f>
        <v>22</v>
      </c>
      <c r="AR22" s="974">
        <f>+AR21+AR15</f>
        <v>1014</v>
      </c>
      <c r="AS22" s="975">
        <f t="shared" si="24"/>
        <v>-3.6121673003802278E-2</v>
      </c>
    </row>
    <row r="23" spans="1:45" x14ac:dyDescent="0.25">
      <c r="A23" s="503"/>
      <c r="B23" s="503"/>
      <c r="C23" s="503"/>
      <c r="D23" s="503"/>
      <c r="E23" s="503"/>
      <c r="F23" s="503"/>
      <c r="G23" s="503"/>
      <c r="H23" s="503"/>
      <c r="I23" s="503"/>
      <c r="J23" s="503"/>
      <c r="K23" s="1738"/>
      <c r="L23" s="1738"/>
      <c r="M23" s="1738"/>
      <c r="N23" s="1738"/>
      <c r="O23" s="1738"/>
    </row>
    <row r="24" spans="1:45" ht="13.8" thickBot="1" x14ac:dyDescent="0.3">
      <c r="A24" s="503"/>
      <c r="B24" s="503"/>
      <c r="C24" s="503"/>
      <c r="D24" s="503"/>
      <c r="E24" s="503"/>
      <c r="F24" s="503"/>
      <c r="G24" s="503"/>
      <c r="H24" s="503"/>
      <c r="I24" s="503"/>
      <c r="J24" s="503"/>
      <c r="K24" s="1738"/>
      <c r="L24" s="1738"/>
      <c r="M24" s="1738"/>
      <c r="N24" s="1738"/>
      <c r="O24" s="1738"/>
    </row>
    <row r="25" spans="1:45" s="1546" customFormat="1" ht="18" thickBot="1" x14ac:dyDescent="0.35">
      <c r="A25" s="2161" t="s">
        <v>424</v>
      </c>
      <c r="B25" s="2162"/>
      <c r="C25" s="2162"/>
      <c r="D25" s="2162"/>
      <c r="E25" s="2162"/>
      <c r="F25" s="2162"/>
      <c r="G25" s="2162"/>
      <c r="H25" s="2162"/>
      <c r="I25" s="2162"/>
      <c r="J25" s="2162"/>
      <c r="K25" s="2162"/>
      <c r="L25" s="2162"/>
      <c r="M25" s="2162"/>
      <c r="N25" s="2162"/>
      <c r="O25" s="2162"/>
      <c r="P25" s="2162"/>
      <c r="Q25" s="2162"/>
      <c r="R25" s="2162"/>
      <c r="S25" s="2162"/>
      <c r="T25" s="2162"/>
      <c r="U25" s="2162"/>
      <c r="V25" s="2162"/>
      <c r="W25" s="2162"/>
      <c r="X25" s="2162"/>
      <c r="Y25" s="2162"/>
      <c r="Z25" s="2162"/>
      <c r="AA25" s="2162"/>
      <c r="AB25" s="2162"/>
      <c r="AC25" s="2162"/>
      <c r="AD25" s="2162"/>
      <c r="AE25" s="2162"/>
      <c r="AF25" s="2162"/>
      <c r="AG25" s="2162"/>
      <c r="AH25" s="2162"/>
      <c r="AI25" s="2162"/>
      <c r="AJ25" s="2162"/>
      <c r="AK25" s="2162"/>
      <c r="AL25" s="2162"/>
      <c r="AM25" s="2162"/>
      <c r="AN25" s="2162"/>
      <c r="AO25" s="2162"/>
      <c r="AP25" s="2162"/>
      <c r="AQ25" s="2162"/>
      <c r="AR25" s="2162"/>
      <c r="AS25" s="2163"/>
    </row>
    <row r="26" spans="1:45" ht="47.25" customHeight="1" x14ac:dyDescent="0.25">
      <c r="A26" s="2159" t="s">
        <v>1006</v>
      </c>
      <c r="B26" s="1710" t="s">
        <v>1008</v>
      </c>
      <c r="C26" s="1710" t="s">
        <v>1009</v>
      </c>
      <c r="D26" s="1710" t="s">
        <v>1010</v>
      </c>
      <c r="E26" s="680" t="s">
        <v>1011</v>
      </c>
      <c r="F26" s="1711" t="s">
        <v>1008</v>
      </c>
      <c r="G26" s="1710" t="s">
        <v>1009</v>
      </c>
      <c r="H26" s="1710" t="s">
        <v>1010</v>
      </c>
      <c r="I26" s="1247" t="s">
        <v>1011</v>
      </c>
      <c r="J26" s="584" t="s">
        <v>1012</v>
      </c>
      <c r="K26" s="1711" t="s">
        <v>1008</v>
      </c>
      <c r="L26" s="1710" t="s">
        <v>1009</v>
      </c>
      <c r="M26" s="1710" t="s">
        <v>1010</v>
      </c>
      <c r="N26" s="1712" t="s">
        <v>1011</v>
      </c>
      <c r="O26" s="584" t="s">
        <v>1012</v>
      </c>
      <c r="P26" s="1713" t="s">
        <v>1008</v>
      </c>
      <c r="Q26" s="1713" t="s">
        <v>1009</v>
      </c>
      <c r="R26" s="1713" t="s">
        <v>1010</v>
      </c>
      <c r="S26" s="1714" t="s">
        <v>1011</v>
      </c>
      <c r="T26" s="1715" t="s">
        <v>1012</v>
      </c>
      <c r="U26" s="1711" t="s">
        <v>1008</v>
      </c>
      <c r="V26" s="1710" t="s">
        <v>1009</v>
      </c>
      <c r="W26" s="1710" t="s">
        <v>1010</v>
      </c>
      <c r="X26" s="1712" t="s">
        <v>1011</v>
      </c>
      <c r="Y26" s="584" t="s">
        <v>1012</v>
      </c>
      <c r="Z26" s="1711" t="s">
        <v>1008</v>
      </c>
      <c r="AA26" s="1710" t="s">
        <v>1009</v>
      </c>
      <c r="AB26" s="1710" t="s">
        <v>1010</v>
      </c>
      <c r="AC26" s="1712" t="s">
        <v>1011</v>
      </c>
      <c r="AD26" s="584" t="s">
        <v>1012</v>
      </c>
      <c r="AE26" s="1711" t="s">
        <v>1008</v>
      </c>
      <c r="AF26" s="1710" t="s">
        <v>1009</v>
      </c>
      <c r="AG26" s="1710" t="s">
        <v>1010</v>
      </c>
      <c r="AH26" s="1712" t="s">
        <v>1011</v>
      </c>
      <c r="AI26" s="584" t="s">
        <v>1012</v>
      </c>
      <c r="AJ26" s="1711" t="s">
        <v>1008</v>
      </c>
      <c r="AK26" s="1710" t="s">
        <v>1009</v>
      </c>
      <c r="AL26" s="1710" t="s">
        <v>1010</v>
      </c>
      <c r="AM26" s="1712" t="s">
        <v>1011</v>
      </c>
      <c r="AN26" s="584" t="s">
        <v>1012</v>
      </c>
      <c r="AO26" s="1711" t="s">
        <v>1008</v>
      </c>
      <c r="AP26" s="1710" t="s">
        <v>1009</v>
      </c>
      <c r="AQ26" s="1710" t="s">
        <v>1010</v>
      </c>
      <c r="AR26" s="1712" t="s">
        <v>1011</v>
      </c>
      <c r="AS26" s="584" t="s">
        <v>1012</v>
      </c>
    </row>
    <row r="27" spans="1:45" ht="12.75" customHeight="1" x14ac:dyDescent="0.25">
      <c r="A27" s="2160"/>
      <c r="B27" s="2165" t="s">
        <v>1466</v>
      </c>
      <c r="C27" s="2139"/>
      <c r="D27" s="2139"/>
      <c r="E27" s="2153"/>
      <c r="F27" s="2156" t="s">
        <v>1467</v>
      </c>
      <c r="G27" s="2157"/>
      <c r="H27" s="2157"/>
      <c r="I27" s="2157"/>
      <c r="J27" s="2158"/>
      <c r="K27" s="2138" t="s">
        <v>1454</v>
      </c>
      <c r="L27" s="2139"/>
      <c r="M27" s="2139"/>
      <c r="N27" s="2139"/>
      <c r="O27" s="2153"/>
      <c r="P27" s="2139" t="s">
        <v>1455</v>
      </c>
      <c r="Q27" s="2139"/>
      <c r="R27" s="2139"/>
      <c r="S27" s="2139"/>
      <c r="T27" s="2153"/>
      <c r="U27" s="2156" t="s">
        <v>1456</v>
      </c>
      <c r="V27" s="2157"/>
      <c r="W27" s="2157"/>
      <c r="X27" s="2157"/>
      <c r="Y27" s="2158"/>
      <c r="Z27" s="2156" t="s">
        <v>1599</v>
      </c>
      <c r="AA27" s="2157"/>
      <c r="AB27" s="2157"/>
      <c r="AC27" s="2157"/>
      <c r="AD27" s="2158"/>
      <c r="AE27" s="2156" t="s">
        <v>1716</v>
      </c>
      <c r="AF27" s="2157"/>
      <c r="AG27" s="2157"/>
      <c r="AH27" s="2157"/>
      <c r="AI27" s="2158"/>
      <c r="AJ27" s="2156" t="str">
        <f>+AJ5</f>
        <v>Summer 2015</v>
      </c>
      <c r="AK27" s="2157"/>
      <c r="AL27" s="2157"/>
      <c r="AM27" s="2157"/>
      <c r="AN27" s="2158"/>
      <c r="AO27" s="2156" t="str">
        <f>+AO5</f>
        <v>Summer 2016</v>
      </c>
      <c r="AP27" s="2157"/>
      <c r="AQ27" s="2157"/>
      <c r="AR27" s="2157"/>
      <c r="AS27" s="2158"/>
    </row>
    <row r="28" spans="1:45" x14ac:dyDescent="0.25">
      <c r="A28" s="968" t="s">
        <v>434</v>
      </c>
      <c r="B28" s="1739"/>
      <c r="C28" s="1739"/>
      <c r="D28" s="1739"/>
      <c r="E28" s="999"/>
      <c r="F28" s="1716"/>
      <c r="G28" s="1244"/>
      <c r="H28" s="1244"/>
      <c r="I28" s="1740"/>
      <c r="J28" s="972"/>
      <c r="K28" s="1717"/>
      <c r="L28" s="1718"/>
      <c r="M28" s="1718"/>
      <c r="N28" s="1718"/>
      <c r="O28" s="1719"/>
      <c r="P28" s="1720"/>
      <c r="Q28" s="1721"/>
      <c r="R28" s="1721"/>
      <c r="S28" s="1721"/>
      <c r="T28" s="1722"/>
      <c r="U28" s="1717"/>
      <c r="V28" s="1718"/>
      <c r="W28" s="1718"/>
      <c r="X28" s="1718"/>
      <c r="Y28" s="1719"/>
      <c r="Z28" s="1717"/>
      <c r="AA28" s="1718"/>
      <c r="AB28" s="1718"/>
      <c r="AC28" s="1718"/>
      <c r="AD28" s="1719"/>
      <c r="AE28" s="1717"/>
      <c r="AF28" s="1718"/>
      <c r="AG28" s="1718"/>
      <c r="AH28" s="1718"/>
      <c r="AI28" s="1719"/>
      <c r="AJ28" s="1717"/>
      <c r="AK28" s="1718"/>
      <c r="AL28" s="1718"/>
      <c r="AM28" s="1718"/>
      <c r="AN28" s="1719"/>
      <c r="AO28" s="1717"/>
      <c r="AP28" s="1718"/>
      <c r="AQ28" s="1718"/>
      <c r="AR28" s="1718"/>
      <c r="AS28" s="1719"/>
    </row>
    <row r="29" spans="1:45" x14ac:dyDescent="0.25">
      <c r="A29" s="969" t="s">
        <v>1025</v>
      </c>
      <c r="B29" s="1245">
        <v>6</v>
      </c>
      <c r="C29" s="1245">
        <v>28</v>
      </c>
      <c r="D29" s="1245">
        <v>0</v>
      </c>
      <c r="E29" s="1723">
        <f>SUM(B29:D29)</f>
        <v>34</v>
      </c>
      <c r="F29" s="1730">
        <v>9</v>
      </c>
      <c r="G29" s="1245">
        <v>3</v>
      </c>
      <c r="H29" s="1245">
        <v>0</v>
      </c>
      <c r="I29" s="1741">
        <f>SUM(F29:H29)</f>
        <v>12</v>
      </c>
      <c r="J29" s="491">
        <f t="shared" ref="J29:J34" si="29">IF(E29&gt;0,(I29-E29)/E29,(IF(I29=0,"N/A",100%)))</f>
        <v>-0.6470588235294118</v>
      </c>
      <c r="K29" s="1725">
        <v>15</v>
      </c>
      <c r="L29" s="1724">
        <v>0</v>
      </c>
      <c r="M29" s="1724">
        <v>0</v>
      </c>
      <c r="N29" s="1724">
        <f>SUM(K29:M29)</f>
        <v>15</v>
      </c>
      <c r="O29" s="491">
        <f t="shared" ref="O29:O34" si="30">IF(I29&gt;0,(N29-I29)/I29,(IF(N29=0,"N/A",100%)))</f>
        <v>0.25</v>
      </c>
      <c r="P29" s="1727">
        <v>0</v>
      </c>
      <c r="Q29" s="1727">
        <v>0</v>
      </c>
      <c r="R29" s="1727">
        <v>0</v>
      </c>
      <c r="S29" s="1727">
        <f>SUM(P29:R29)</f>
        <v>0</v>
      </c>
      <c r="T29" s="514">
        <f t="shared" ref="T29:T34" si="31">IF(N29&gt;0,(S29-N29)/N29,(IF(S29=0,"N/A",100%)))</f>
        <v>-1</v>
      </c>
      <c r="U29" s="1725">
        <v>15</v>
      </c>
      <c r="V29" s="1724">
        <v>0</v>
      </c>
      <c r="W29" s="1724">
        <v>0</v>
      </c>
      <c r="X29" s="1724">
        <f>SUM(U29:W29)</f>
        <v>15</v>
      </c>
      <c r="Y29" s="491">
        <f t="shared" ref="Y29:Y39" si="32">IF(S29&gt;0,(X29-S29)/S29,(IF(X29=0,"N/A",100%)))</f>
        <v>1</v>
      </c>
      <c r="Z29" s="1725">
        <v>0</v>
      </c>
      <c r="AA29" s="1724">
        <v>15</v>
      </c>
      <c r="AB29" s="1724">
        <v>0</v>
      </c>
      <c r="AC29" s="1724">
        <f>SUM(Z29:AB29)</f>
        <v>15</v>
      </c>
      <c r="AD29" s="491">
        <f t="shared" ref="AD29:AD34" si="33">IF(X29&gt;0,(AC29-X29)/X29,(IF(AC29=0,"N/A",100%)))</f>
        <v>0</v>
      </c>
      <c r="AE29" s="1725">
        <v>27</v>
      </c>
      <c r="AF29" s="1724">
        <v>0</v>
      </c>
      <c r="AG29" s="1724">
        <v>0</v>
      </c>
      <c r="AH29" s="1724">
        <f>SUM(AE29:AG29)</f>
        <v>27</v>
      </c>
      <c r="AI29" s="491">
        <f t="shared" ref="AI29:AI34" si="34">IF(AC29&gt;0,(AH29-AC29)/AC29,(IF(AH29=0,"N/A",100%)))</f>
        <v>0.8</v>
      </c>
      <c r="AJ29" s="1725">
        <v>3</v>
      </c>
      <c r="AK29" s="1724">
        <v>0</v>
      </c>
      <c r="AL29" s="1724">
        <v>0</v>
      </c>
      <c r="AM29" s="1724">
        <f>SUM(AJ29:AL29)</f>
        <v>3</v>
      </c>
      <c r="AN29" s="491">
        <f t="shared" ref="AN29:AN34" si="35">IF(AH29&gt;0,(AM29-AH29)/AH29,(IF(AM29=0,"N/A",100%)))</f>
        <v>-0.88888888888888884</v>
      </c>
      <c r="AO29" s="1725">
        <v>0</v>
      </c>
      <c r="AP29" s="1724">
        <v>0</v>
      </c>
      <c r="AQ29" s="1724">
        <v>0</v>
      </c>
      <c r="AR29" s="1724">
        <f>SUM(AO29:AQ29)</f>
        <v>0</v>
      </c>
      <c r="AS29" s="491">
        <f t="shared" ref="AS29:AS34" si="36">IF(AM29&gt;0,(AR29-AM29)/AM29,(IF(AR29=0,"N/A",100%)))</f>
        <v>-1</v>
      </c>
    </row>
    <row r="30" spans="1:45" x14ac:dyDescent="0.25">
      <c r="A30" s="969" t="s">
        <v>1026</v>
      </c>
      <c r="B30" s="1245">
        <v>66</v>
      </c>
      <c r="C30" s="1245">
        <v>183</v>
      </c>
      <c r="D30" s="1245">
        <v>267</v>
      </c>
      <c r="E30" s="1723">
        <f>SUM(B30:D30)</f>
        <v>516</v>
      </c>
      <c r="F30" s="1730">
        <v>51</v>
      </c>
      <c r="G30" s="1245">
        <v>129</v>
      </c>
      <c r="H30" s="1245">
        <v>273</v>
      </c>
      <c r="I30" s="1741">
        <f>SUM(F30:H30)</f>
        <v>453</v>
      </c>
      <c r="J30" s="491">
        <f t="shared" si="29"/>
        <v>-0.12209302325581395</v>
      </c>
      <c r="K30" s="1725">
        <v>78</v>
      </c>
      <c r="L30" s="1724">
        <v>132</v>
      </c>
      <c r="M30" s="1724">
        <v>417</v>
      </c>
      <c r="N30" s="1724">
        <f>SUM(K30:M30)</f>
        <v>627</v>
      </c>
      <c r="O30" s="491">
        <f t="shared" si="30"/>
        <v>0.38410596026490068</v>
      </c>
      <c r="P30" s="1727">
        <v>99</v>
      </c>
      <c r="Q30" s="1727">
        <v>147</v>
      </c>
      <c r="R30" s="1727">
        <v>297</v>
      </c>
      <c r="S30" s="1727">
        <f>SUM(P30:R30)</f>
        <v>543</v>
      </c>
      <c r="T30" s="514">
        <f t="shared" si="31"/>
        <v>-0.13397129186602871</v>
      </c>
      <c r="U30" s="1725">
        <v>99</v>
      </c>
      <c r="V30" s="1724">
        <v>225</v>
      </c>
      <c r="W30" s="1724">
        <v>399</v>
      </c>
      <c r="X30" s="1724">
        <f>SUM(U30:W30)</f>
        <v>723</v>
      </c>
      <c r="Y30" s="491">
        <f t="shared" si="32"/>
        <v>0.33149171270718231</v>
      </c>
      <c r="Z30" s="1725">
        <v>0</v>
      </c>
      <c r="AA30" s="1724">
        <v>223</v>
      </c>
      <c r="AB30" s="1724">
        <v>369</v>
      </c>
      <c r="AC30" s="1724">
        <f>SUM(Z30:AB30)</f>
        <v>592</v>
      </c>
      <c r="AD30" s="491">
        <f t="shared" si="33"/>
        <v>-0.18118948824343015</v>
      </c>
      <c r="AE30" s="1725">
        <v>51</v>
      </c>
      <c r="AF30" s="1724">
        <v>123</v>
      </c>
      <c r="AG30" s="1724">
        <v>261</v>
      </c>
      <c r="AH30" s="1724">
        <f>SUM(AE30:AG30)</f>
        <v>435</v>
      </c>
      <c r="AI30" s="491">
        <f t="shared" si="34"/>
        <v>-0.26520270270270269</v>
      </c>
      <c r="AJ30" s="1725">
        <v>63</v>
      </c>
      <c r="AK30" s="1724">
        <v>121</v>
      </c>
      <c r="AL30" s="1724">
        <v>219</v>
      </c>
      <c r="AM30" s="1724">
        <f>SUM(AJ30:AL30)</f>
        <v>403</v>
      </c>
      <c r="AN30" s="491">
        <f t="shared" si="35"/>
        <v>-7.3563218390804597E-2</v>
      </c>
      <c r="AO30" s="1725">
        <v>48</v>
      </c>
      <c r="AP30" s="1724">
        <v>57</v>
      </c>
      <c r="AQ30" s="1724">
        <v>192</v>
      </c>
      <c r="AR30" s="1724">
        <f>SUM(AO30:AQ30)</f>
        <v>297</v>
      </c>
      <c r="AS30" s="491">
        <f t="shared" si="36"/>
        <v>-0.26302729528535979</v>
      </c>
    </row>
    <row r="31" spans="1:45" x14ac:dyDescent="0.25">
      <c r="A31" s="969" t="s">
        <v>1027</v>
      </c>
      <c r="B31" s="1245">
        <v>0</v>
      </c>
      <c r="C31" s="1245">
        <v>0</v>
      </c>
      <c r="D31" s="1245">
        <v>0</v>
      </c>
      <c r="E31" s="1723">
        <f>SUM(B31:D31)</f>
        <v>0</v>
      </c>
      <c r="F31" s="1730">
        <v>0</v>
      </c>
      <c r="G31" s="1245">
        <v>0</v>
      </c>
      <c r="H31" s="1245">
        <v>0</v>
      </c>
      <c r="I31" s="1741">
        <f>SUM(F31:H31)</f>
        <v>0</v>
      </c>
      <c r="J31" s="491" t="str">
        <f t="shared" si="29"/>
        <v>N/A</v>
      </c>
      <c r="K31" s="1725">
        <v>0</v>
      </c>
      <c r="L31" s="1724">
        <v>0</v>
      </c>
      <c r="M31" s="1724">
        <v>33</v>
      </c>
      <c r="N31" s="1724">
        <f>SUM(K31:M31)</f>
        <v>33</v>
      </c>
      <c r="O31" s="491">
        <f t="shared" si="30"/>
        <v>1</v>
      </c>
      <c r="P31" s="1727">
        <v>0</v>
      </c>
      <c r="Q31" s="1727">
        <v>0</v>
      </c>
      <c r="R31" s="1727">
        <v>0</v>
      </c>
      <c r="S31" s="1727">
        <f>SUM(P31:R31)</f>
        <v>0</v>
      </c>
      <c r="T31" s="514">
        <f t="shared" si="31"/>
        <v>-1</v>
      </c>
      <c r="U31" s="1725">
        <v>0</v>
      </c>
      <c r="V31" s="1724">
        <v>0</v>
      </c>
      <c r="W31" s="1724">
        <v>0</v>
      </c>
      <c r="X31" s="1724">
        <f>SUM(U31:W31)</f>
        <v>0</v>
      </c>
      <c r="Y31" s="491" t="str">
        <f t="shared" si="32"/>
        <v>N/A</v>
      </c>
      <c r="Z31" s="1725">
        <v>0</v>
      </c>
      <c r="AA31" s="1724">
        <v>0</v>
      </c>
      <c r="AB31" s="1724">
        <v>0</v>
      </c>
      <c r="AC31" s="1724">
        <f>SUM(Z31:AB31)</f>
        <v>0</v>
      </c>
      <c r="AD31" s="491" t="str">
        <f t="shared" si="33"/>
        <v>N/A</v>
      </c>
      <c r="AE31" s="1725">
        <v>0</v>
      </c>
      <c r="AF31" s="1724">
        <v>0</v>
      </c>
      <c r="AG31" s="1724">
        <v>0</v>
      </c>
      <c r="AH31" s="1724">
        <f>SUM(AE31:AG31)</f>
        <v>0</v>
      </c>
      <c r="AI31" s="491" t="str">
        <f t="shared" si="34"/>
        <v>N/A</v>
      </c>
      <c r="AJ31" s="1725">
        <v>0</v>
      </c>
      <c r="AK31" s="1724">
        <v>0</v>
      </c>
      <c r="AL31" s="1724">
        <v>0</v>
      </c>
      <c r="AM31" s="1724">
        <f>SUM(AJ31:AL31)</f>
        <v>0</v>
      </c>
      <c r="AN31" s="491" t="str">
        <f t="shared" si="35"/>
        <v>N/A</v>
      </c>
      <c r="AO31" s="1725">
        <v>0</v>
      </c>
      <c r="AP31" s="1724">
        <v>0</v>
      </c>
      <c r="AQ31" s="1724">
        <v>0</v>
      </c>
      <c r="AR31" s="1724">
        <f>SUM(AO31:AQ31)</f>
        <v>0</v>
      </c>
      <c r="AS31" s="491" t="str">
        <f t="shared" si="36"/>
        <v>N/A</v>
      </c>
    </row>
    <row r="32" spans="1:45" x14ac:dyDescent="0.25">
      <c r="A32" s="969" t="s">
        <v>1149</v>
      </c>
      <c r="B32" s="1245">
        <v>0</v>
      </c>
      <c r="C32" s="1245">
        <v>15</v>
      </c>
      <c r="D32" s="1245">
        <v>420</v>
      </c>
      <c r="E32" s="1723">
        <f>SUM(B32:D32)</f>
        <v>435</v>
      </c>
      <c r="F32" s="1730">
        <v>0</v>
      </c>
      <c r="G32" s="1245">
        <v>54</v>
      </c>
      <c r="H32" s="1245">
        <v>321</v>
      </c>
      <c r="I32" s="1741">
        <f>SUM(F32:H32)</f>
        <v>375</v>
      </c>
      <c r="J32" s="491">
        <f t="shared" si="29"/>
        <v>-0.13793103448275862</v>
      </c>
      <c r="K32" s="1725">
        <v>0</v>
      </c>
      <c r="L32" s="1724">
        <v>12</v>
      </c>
      <c r="M32" s="1724">
        <v>495</v>
      </c>
      <c r="N32" s="1724">
        <f>SUM(K32:M32)</f>
        <v>507</v>
      </c>
      <c r="O32" s="491">
        <f t="shared" si="30"/>
        <v>0.35199999999999998</v>
      </c>
      <c r="P32" s="1727">
        <v>0</v>
      </c>
      <c r="Q32" s="1727">
        <v>0</v>
      </c>
      <c r="R32" s="1727">
        <v>435</v>
      </c>
      <c r="S32" s="1727">
        <f>SUM(P32:R32)</f>
        <v>435</v>
      </c>
      <c r="T32" s="514">
        <f t="shared" si="31"/>
        <v>-0.14201183431952663</v>
      </c>
      <c r="U32" s="1725">
        <v>0</v>
      </c>
      <c r="V32" s="1724">
        <v>36</v>
      </c>
      <c r="W32" s="1724">
        <v>423</v>
      </c>
      <c r="X32" s="1724">
        <f>SUM(U32:W32)</f>
        <v>459</v>
      </c>
      <c r="Y32" s="491">
        <f>IF(S32&gt;0,(X32-S32)/S32,(IF(X32=0,"N/A",100%)))</f>
        <v>5.5172413793103448E-2</v>
      </c>
      <c r="Z32" s="1725">
        <v>0</v>
      </c>
      <c r="AA32" s="1724">
        <v>30</v>
      </c>
      <c r="AB32" s="1724">
        <v>315</v>
      </c>
      <c r="AC32" s="1724">
        <f>SUM(Z32:AB32)</f>
        <v>345</v>
      </c>
      <c r="AD32" s="491">
        <f t="shared" si="33"/>
        <v>-0.24836601307189543</v>
      </c>
      <c r="AE32" s="1725">
        <v>0</v>
      </c>
      <c r="AF32" s="1724">
        <v>39</v>
      </c>
      <c r="AG32" s="1724">
        <v>285</v>
      </c>
      <c r="AH32" s="1724">
        <f>SUM(AE32:AG32)</f>
        <v>324</v>
      </c>
      <c r="AI32" s="491">
        <f t="shared" si="34"/>
        <v>-6.0869565217391307E-2</v>
      </c>
      <c r="AJ32" s="1725">
        <v>0</v>
      </c>
      <c r="AK32" s="1724">
        <v>36</v>
      </c>
      <c r="AL32" s="1724">
        <v>189</v>
      </c>
      <c r="AM32" s="1724">
        <f>SUM(AJ32:AL32)</f>
        <v>225</v>
      </c>
      <c r="AN32" s="491">
        <f t="shared" si="35"/>
        <v>-0.30555555555555558</v>
      </c>
      <c r="AO32" s="1725">
        <v>0</v>
      </c>
      <c r="AP32" s="1724">
        <v>48</v>
      </c>
      <c r="AQ32" s="1724">
        <v>186</v>
      </c>
      <c r="AR32" s="1724">
        <f>SUM(AO32:AQ32)</f>
        <v>234</v>
      </c>
      <c r="AS32" s="491">
        <f t="shared" si="36"/>
        <v>0.04</v>
      </c>
    </row>
    <row r="33" spans="1:249" x14ac:dyDescent="0.25">
      <c r="A33" s="969" t="s">
        <v>1028</v>
      </c>
      <c r="B33" s="1245">
        <v>36</v>
      </c>
      <c r="C33" s="1245">
        <v>48</v>
      </c>
      <c r="D33" s="1245">
        <v>0</v>
      </c>
      <c r="E33" s="1723">
        <f>SUM(B33:D33)</f>
        <v>84</v>
      </c>
      <c r="F33" s="1730">
        <v>39</v>
      </c>
      <c r="G33" s="1245">
        <v>0</v>
      </c>
      <c r="H33" s="1245">
        <v>0</v>
      </c>
      <c r="I33" s="1741">
        <f>SUM(F33:H33)</f>
        <v>39</v>
      </c>
      <c r="J33" s="491">
        <f t="shared" si="29"/>
        <v>-0.5357142857142857</v>
      </c>
      <c r="K33" s="1725">
        <v>42</v>
      </c>
      <c r="L33" s="1724">
        <v>33</v>
      </c>
      <c r="M33" s="1724">
        <v>0</v>
      </c>
      <c r="N33" s="1724">
        <f>SUM(K33:M33)</f>
        <v>75</v>
      </c>
      <c r="O33" s="491">
        <f t="shared" si="30"/>
        <v>0.92307692307692313</v>
      </c>
      <c r="P33" s="1727">
        <v>51</v>
      </c>
      <c r="Q33" s="1727">
        <v>3</v>
      </c>
      <c r="R33" s="1727">
        <v>0</v>
      </c>
      <c r="S33" s="1727">
        <f>SUM(P33:R33)</f>
        <v>54</v>
      </c>
      <c r="T33" s="514">
        <f t="shared" si="31"/>
        <v>-0.28000000000000003</v>
      </c>
      <c r="U33" s="1725">
        <v>18</v>
      </c>
      <c r="V33" s="1724">
        <v>27</v>
      </c>
      <c r="W33" s="1724">
        <v>0</v>
      </c>
      <c r="X33" s="1724">
        <f>SUM(U33:W33)</f>
        <v>45</v>
      </c>
      <c r="Y33" s="491">
        <f t="shared" si="32"/>
        <v>-0.16666666666666666</v>
      </c>
      <c r="Z33" s="1725">
        <v>0</v>
      </c>
      <c r="AA33" s="1724">
        <v>39</v>
      </c>
      <c r="AB33" s="1724">
        <v>0</v>
      </c>
      <c r="AC33" s="1724">
        <f>SUM(Z33:AB33)</f>
        <v>39</v>
      </c>
      <c r="AD33" s="491">
        <f t="shared" si="33"/>
        <v>-0.13333333333333333</v>
      </c>
      <c r="AE33" s="1725">
        <v>36</v>
      </c>
      <c r="AF33" s="1724">
        <v>9</v>
      </c>
      <c r="AG33" s="1724">
        <v>0</v>
      </c>
      <c r="AH33" s="1724">
        <f>SUM(AE33:AG33)</f>
        <v>45</v>
      </c>
      <c r="AI33" s="491">
        <f t="shared" si="34"/>
        <v>0.15384615384615385</v>
      </c>
      <c r="AJ33" s="1725">
        <v>45</v>
      </c>
      <c r="AK33" s="1724">
        <v>21</v>
      </c>
      <c r="AL33" s="1724">
        <v>0</v>
      </c>
      <c r="AM33" s="1724">
        <f>SUM(AJ33:AL33)</f>
        <v>66</v>
      </c>
      <c r="AN33" s="491">
        <f t="shared" si="35"/>
        <v>0.46666666666666667</v>
      </c>
      <c r="AO33" s="1725">
        <v>39</v>
      </c>
      <c r="AP33" s="1724">
        <v>51</v>
      </c>
      <c r="AQ33" s="1724">
        <v>0</v>
      </c>
      <c r="AR33" s="1724">
        <f>SUM(AO33:AQ33)</f>
        <v>90</v>
      </c>
      <c r="AS33" s="491">
        <f t="shared" si="36"/>
        <v>0.36363636363636365</v>
      </c>
    </row>
    <row r="34" spans="1:249" s="484" customFormat="1" ht="13.8" x14ac:dyDescent="0.25">
      <c r="A34" s="970" t="s">
        <v>1015</v>
      </c>
      <c r="B34" s="1742">
        <f t="shared" ref="B34:I34" si="37">SUM(B29:B33)</f>
        <v>108</v>
      </c>
      <c r="C34" s="1742">
        <f t="shared" si="37"/>
        <v>274</v>
      </c>
      <c r="D34" s="1742">
        <f t="shared" si="37"/>
        <v>687</v>
      </c>
      <c r="E34" s="495">
        <f>SUM(E29:E33)</f>
        <v>1069</v>
      </c>
      <c r="F34" s="1742">
        <f t="shared" si="37"/>
        <v>99</v>
      </c>
      <c r="G34" s="1742">
        <f t="shared" si="37"/>
        <v>186</v>
      </c>
      <c r="H34" s="1742">
        <f t="shared" si="37"/>
        <v>594</v>
      </c>
      <c r="I34" s="1742">
        <f t="shared" si="37"/>
        <v>879</v>
      </c>
      <c r="J34" s="496">
        <f t="shared" si="29"/>
        <v>-0.17773620205799812</v>
      </c>
      <c r="K34" s="1732">
        <f t="shared" ref="K34:S34" si="38">SUM(K29:K33)</f>
        <v>135</v>
      </c>
      <c r="L34" s="1259">
        <f t="shared" si="38"/>
        <v>177</v>
      </c>
      <c r="M34" s="1259">
        <f t="shared" si="38"/>
        <v>945</v>
      </c>
      <c r="N34" s="1259">
        <f t="shared" si="38"/>
        <v>1257</v>
      </c>
      <c r="O34" s="496">
        <f t="shared" si="30"/>
        <v>0.43003412969283278</v>
      </c>
      <c r="P34" s="1048">
        <f t="shared" si="38"/>
        <v>150</v>
      </c>
      <c r="Q34" s="1048">
        <f t="shared" si="38"/>
        <v>150</v>
      </c>
      <c r="R34" s="1048">
        <f t="shared" si="38"/>
        <v>732</v>
      </c>
      <c r="S34" s="1048">
        <f t="shared" si="38"/>
        <v>1032</v>
      </c>
      <c r="T34" s="543">
        <f t="shared" si="31"/>
        <v>-0.17899761336515513</v>
      </c>
      <c r="U34" s="1732">
        <f>SUM(U29:U33)</f>
        <v>132</v>
      </c>
      <c r="V34" s="1259">
        <f>SUM(V29:V33)</f>
        <v>288</v>
      </c>
      <c r="W34" s="1259">
        <f>SUM(W29:W33)</f>
        <v>822</v>
      </c>
      <c r="X34" s="1259">
        <f>SUM(X29:X33)</f>
        <v>1242</v>
      </c>
      <c r="Y34" s="496">
        <f t="shared" si="32"/>
        <v>0.20348837209302326</v>
      </c>
      <c r="Z34" s="1732">
        <f>SUM(Z29:Z33)</f>
        <v>0</v>
      </c>
      <c r="AA34" s="1259">
        <f>SUM(AA29:AA33)</f>
        <v>307</v>
      </c>
      <c r="AB34" s="1259">
        <f>SUM(AB29:AB33)</f>
        <v>684</v>
      </c>
      <c r="AC34" s="1259">
        <f>SUM(AC29:AC33)</f>
        <v>991</v>
      </c>
      <c r="AD34" s="496">
        <f t="shared" si="33"/>
        <v>-0.20209339774557167</v>
      </c>
      <c r="AE34" s="1732">
        <f>SUM(AE29:AE33)</f>
        <v>114</v>
      </c>
      <c r="AF34" s="1259">
        <f>SUM(AF29:AF33)</f>
        <v>171</v>
      </c>
      <c r="AG34" s="1259">
        <f>SUM(AG29:AG33)</f>
        <v>546</v>
      </c>
      <c r="AH34" s="1259">
        <f>SUM(AH29:AH33)</f>
        <v>831</v>
      </c>
      <c r="AI34" s="496">
        <f t="shared" si="34"/>
        <v>-0.16145307769929365</v>
      </c>
      <c r="AJ34" s="1732">
        <f>SUM(AJ29:AJ33)</f>
        <v>111</v>
      </c>
      <c r="AK34" s="1259">
        <f>SUM(AK29:AK33)</f>
        <v>178</v>
      </c>
      <c r="AL34" s="1259">
        <f>SUM(AL29:AL33)</f>
        <v>408</v>
      </c>
      <c r="AM34" s="1259">
        <f>SUM(AM29:AM33)</f>
        <v>697</v>
      </c>
      <c r="AN34" s="496">
        <f t="shared" si="35"/>
        <v>-0.16125150421179302</v>
      </c>
      <c r="AO34" s="1732">
        <f>SUM(AO29:AO33)</f>
        <v>87</v>
      </c>
      <c r="AP34" s="1259">
        <f>SUM(AP29:AP33)</f>
        <v>156</v>
      </c>
      <c r="AQ34" s="1259">
        <f>SUM(AQ29:AQ33)</f>
        <v>378</v>
      </c>
      <c r="AR34" s="1259">
        <f>SUM(AR29:AR33)</f>
        <v>621</v>
      </c>
      <c r="AS34" s="496">
        <f t="shared" si="36"/>
        <v>-0.10903873744619799</v>
      </c>
    </row>
    <row r="35" spans="1:249" x14ac:dyDescent="0.25">
      <c r="A35" s="968" t="s">
        <v>435</v>
      </c>
      <c r="B35" s="1244"/>
      <c r="C35" s="1244"/>
      <c r="D35" s="1244"/>
      <c r="E35" s="1719"/>
      <c r="F35" s="1716"/>
      <c r="G35" s="1244"/>
      <c r="H35" s="1244"/>
      <c r="I35" s="1743"/>
      <c r="J35" s="1719"/>
      <c r="K35" s="1717"/>
      <c r="L35" s="1718"/>
      <c r="M35" s="1718"/>
      <c r="N35" s="1718"/>
      <c r="O35" s="1719"/>
      <c r="P35" s="1720"/>
      <c r="Q35" s="1721"/>
      <c r="R35" s="1721"/>
      <c r="S35" s="1721"/>
      <c r="T35" s="1722"/>
      <c r="U35" s="1717"/>
      <c r="V35" s="1718"/>
      <c r="W35" s="1718"/>
      <c r="X35" s="1718"/>
      <c r="Y35" s="1719"/>
      <c r="Z35" s="1717"/>
      <c r="AA35" s="1718"/>
      <c r="AB35" s="1718"/>
      <c r="AC35" s="1718"/>
      <c r="AD35" s="1719"/>
      <c r="AE35" s="1717"/>
      <c r="AF35" s="1718"/>
      <c r="AG35" s="1718"/>
      <c r="AH35" s="1718"/>
      <c r="AI35" s="1719"/>
      <c r="AJ35" s="1717"/>
      <c r="AK35" s="1718"/>
      <c r="AL35" s="1718"/>
      <c r="AM35" s="1718"/>
      <c r="AN35" s="1719"/>
      <c r="AO35" s="1717"/>
      <c r="AP35" s="1718"/>
      <c r="AQ35" s="1718"/>
      <c r="AR35" s="1718"/>
      <c r="AS35" s="1719"/>
    </row>
    <row r="36" spans="1:249" x14ac:dyDescent="0.25">
      <c r="A36" s="969" t="s">
        <v>1059</v>
      </c>
      <c r="B36" s="1245">
        <v>101</v>
      </c>
      <c r="C36" s="1245">
        <v>116</v>
      </c>
      <c r="D36" s="1245">
        <v>0</v>
      </c>
      <c r="E36" s="1723">
        <f>SUM(B36:D36)</f>
        <v>217</v>
      </c>
      <c r="F36" s="1730">
        <v>106</v>
      </c>
      <c r="G36" s="1245">
        <v>103</v>
      </c>
      <c r="H36" s="1245">
        <v>0</v>
      </c>
      <c r="I36" s="1741">
        <f>SUM(F36:H36)</f>
        <v>209</v>
      </c>
      <c r="J36" s="491">
        <f>IF(E36&gt;0,(I36-E36)/E36,(IF(I36=0,"N/A",100%)))</f>
        <v>-3.6866359447004608E-2</v>
      </c>
      <c r="K36" s="1725">
        <v>27</v>
      </c>
      <c r="L36" s="1724">
        <v>227</v>
      </c>
      <c r="M36" s="1724">
        <v>0</v>
      </c>
      <c r="N36" s="1724">
        <f>SUM(K36:M36)</f>
        <v>254</v>
      </c>
      <c r="O36" s="491">
        <f>IF(I36&gt;0,(N36-I36)/I36,(IF(N36=0,"N/A",100%)))</f>
        <v>0.21531100478468901</v>
      </c>
      <c r="P36" s="1727">
        <v>44</v>
      </c>
      <c r="Q36" s="1727">
        <v>158</v>
      </c>
      <c r="R36" s="1727">
        <v>0</v>
      </c>
      <c r="S36" s="1727">
        <f>SUM(P36:R36)</f>
        <v>202</v>
      </c>
      <c r="T36" s="514">
        <f>IF(N36&gt;0,(S36-N36)/N36,(IF(S36=0,"N/A",100%)))</f>
        <v>-0.20472440944881889</v>
      </c>
      <c r="U36" s="1725">
        <v>82</v>
      </c>
      <c r="V36" s="1724">
        <v>151</v>
      </c>
      <c r="W36" s="1724">
        <v>6</v>
      </c>
      <c r="X36" s="1724">
        <f>SUM(U36:W36)</f>
        <v>239</v>
      </c>
      <c r="Y36" s="491">
        <f t="shared" si="32"/>
        <v>0.18316831683168316</v>
      </c>
      <c r="Z36" s="1725">
        <v>10</v>
      </c>
      <c r="AA36" s="1724">
        <v>239</v>
      </c>
      <c r="AB36" s="1724">
        <v>6</v>
      </c>
      <c r="AC36" s="1724">
        <f>SUM(Z36:AB36)</f>
        <v>255</v>
      </c>
      <c r="AD36" s="491">
        <f>IF(X36&gt;0,(AC36-X36)/X36,(IF(AC36=0,"N/A",100%)))</f>
        <v>6.6945606694560664E-2</v>
      </c>
      <c r="AE36" s="1725">
        <v>44</v>
      </c>
      <c r="AF36" s="1724">
        <v>215</v>
      </c>
      <c r="AG36" s="1724">
        <v>12</v>
      </c>
      <c r="AH36" s="1724">
        <f>SUM(AE36:AG36)</f>
        <v>271</v>
      </c>
      <c r="AI36" s="491">
        <f>IF(AC36&gt;0,(AH36-AC36)/AC36,(IF(AH36=0,"N/A",100%)))</f>
        <v>6.2745098039215685E-2</v>
      </c>
      <c r="AJ36" s="1725">
        <v>32</v>
      </c>
      <c r="AK36" s="1724">
        <v>267</v>
      </c>
      <c r="AL36" s="1724">
        <v>0</v>
      </c>
      <c r="AM36" s="1724">
        <f>SUM(AJ36:AL36)</f>
        <v>299</v>
      </c>
      <c r="AN36" s="491">
        <f>IF(AH36&gt;0,(AM36-AH36)/AH36,(IF(AM36=0,"N/A",100%)))</f>
        <v>0.10332103321033211</v>
      </c>
      <c r="AO36" s="1725">
        <v>0</v>
      </c>
      <c r="AP36" s="1724">
        <v>152</v>
      </c>
      <c r="AQ36" s="1724">
        <v>0</v>
      </c>
      <c r="AR36" s="1724">
        <f>SUM(AO36:AQ36)</f>
        <v>152</v>
      </c>
      <c r="AS36" s="491">
        <f>IF(AM36&gt;0,(AR36-AM36)/AM36,(IF(AR36=0,"N/A",100%)))</f>
        <v>-0.49163879598662208</v>
      </c>
    </row>
    <row r="37" spans="1:249" x14ac:dyDescent="0.25">
      <c r="A37" s="968" t="s">
        <v>426</v>
      </c>
      <c r="B37" s="1733"/>
      <c r="C37" s="1733"/>
      <c r="D37" s="1733"/>
      <c r="E37" s="1719"/>
      <c r="F37" s="1743"/>
      <c r="G37" s="1743"/>
      <c r="H37" s="1743"/>
      <c r="I37" s="1743"/>
      <c r="J37" s="1719"/>
      <c r="K37" s="1717"/>
      <c r="L37" s="1718"/>
      <c r="M37" s="1718"/>
      <c r="N37" s="1718"/>
      <c r="O37" s="1719"/>
      <c r="P37" s="1720"/>
      <c r="Q37" s="1721"/>
      <c r="R37" s="1721"/>
      <c r="S37" s="1721"/>
      <c r="T37" s="1722"/>
      <c r="U37" s="1717"/>
      <c r="V37" s="1718"/>
      <c r="W37" s="1718"/>
      <c r="X37" s="1718"/>
      <c r="Y37" s="1719"/>
      <c r="Z37" s="1717"/>
      <c r="AA37" s="1718"/>
      <c r="AB37" s="1718"/>
      <c r="AC37" s="1718"/>
      <c r="AD37" s="1719"/>
      <c r="AE37" s="1717"/>
      <c r="AF37" s="1718"/>
      <c r="AG37" s="1718"/>
      <c r="AH37" s="1718"/>
      <c r="AI37" s="1719"/>
      <c r="AJ37" s="1717"/>
      <c r="AK37" s="1718"/>
      <c r="AL37" s="1718"/>
      <c r="AM37" s="1718"/>
      <c r="AN37" s="1719"/>
      <c r="AO37" s="1717"/>
      <c r="AP37" s="1718"/>
      <c r="AQ37" s="1718"/>
      <c r="AR37" s="1718"/>
      <c r="AS37" s="1719"/>
    </row>
    <row r="38" spans="1:249" x14ac:dyDescent="0.25">
      <c r="A38" s="969" t="s">
        <v>1013</v>
      </c>
      <c r="B38" s="1245">
        <v>0</v>
      </c>
      <c r="C38" s="1245">
        <v>75</v>
      </c>
      <c r="D38" s="1245">
        <v>0</v>
      </c>
      <c r="E38" s="1723">
        <f>SUM(B38:D38)</f>
        <v>75</v>
      </c>
      <c r="F38" s="1730">
        <v>0</v>
      </c>
      <c r="G38" s="1245">
        <v>104</v>
      </c>
      <c r="H38" s="1245">
        <v>0</v>
      </c>
      <c r="I38" s="1741">
        <f>SUM(F38:H38)</f>
        <v>104</v>
      </c>
      <c r="J38" s="491">
        <f>IF(E38&gt;0,(I38-E38)/E38,(IF(I38=0,"N/A",100%)))</f>
        <v>0.38666666666666666</v>
      </c>
      <c r="K38" s="1725">
        <v>24</v>
      </c>
      <c r="L38" s="1724">
        <v>114</v>
      </c>
      <c r="M38" s="1724">
        <v>0</v>
      </c>
      <c r="N38" s="1724">
        <f>SUM(K38:M38)</f>
        <v>138</v>
      </c>
      <c r="O38" s="491">
        <f>IF(I38&gt;0,(N38-I38)/I38,(IF(N38=0,"N/A",100%)))</f>
        <v>0.32692307692307693</v>
      </c>
      <c r="P38" s="1727">
        <v>15</v>
      </c>
      <c r="Q38" s="1727">
        <v>107</v>
      </c>
      <c r="R38" s="1727">
        <v>0</v>
      </c>
      <c r="S38" s="1727">
        <f>SUM(P38:R38)</f>
        <v>122</v>
      </c>
      <c r="T38" s="514">
        <f>IF(N38&gt;0,(S38-N38)/N38,(IF(S38=0,"N/A",100%)))</f>
        <v>-0.11594202898550725</v>
      </c>
      <c r="U38" s="1725">
        <v>24</v>
      </c>
      <c r="V38" s="1724">
        <v>156</v>
      </c>
      <c r="W38" s="1724">
        <v>0</v>
      </c>
      <c r="X38" s="1724">
        <f>SUM(U38:W38)</f>
        <v>180</v>
      </c>
      <c r="Y38" s="491">
        <f t="shared" si="32"/>
        <v>0.47540983606557374</v>
      </c>
      <c r="Z38" s="1725">
        <v>12</v>
      </c>
      <c r="AA38" s="1724">
        <v>164</v>
      </c>
      <c r="AB38" s="1724">
        <v>0</v>
      </c>
      <c r="AC38" s="1724">
        <f>SUM(Z38:AB38)</f>
        <v>176</v>
      </c>
      <c r="AD38" s="491">
        <f>IF(X38&gt;0,(AC38-X38)/X38,(IF(AC38=0,"N/A",100%)))</f>
        <v>-2.2222222222222223E-2</v>
      </c>
      <c r="AE38" s="1725">
        <v>24</v>
      </c>
      <c r="AF38" s="1724">
        <v>129</v>
      </c>
      <c r="AG38" s="1724">
        <v>0</v>
      </c>
      <c r="AH38" s="1724">
        <f>SUM(AE38:AG38)</f>
        <v>153</v>
      </c>
      <c r="AI38" s="491">
        <f>IF(AC38&gt;0,(AH38-AC38)/AC38,(IF(AH38=0,"N/A",100%)))</f>
        <v>-0.13068181818181818</v>
      </c>
      <c r="AJ38" s="1725">
        <v>96</v>
      </c>
      <c r="AK38" s="1724">
        <v>87</v>
      </c>
      <c r="AL38" s="1724">
        <v>0</v>
      </c>
      <c r="AM38" s="1724">
        <f>SUM(AJ38:AL38)</f>
        <v>183</v>
      </c>
      <c r="AN38" s="491">
        <f>IF(AH38&gt;0,(AM38-AH38)/AH38,(IF(AM38=0,"N/A",100%)))</f>
        <v>0.19607843137254902</v>
      </c>
      <c r="AO38" s="1725">
        <v>21</v>
      </c>
      <c r="AP38" s="1724">
        <v>66</v>
      </c>
      <c r="AQ38" s="1724">
        <v>0</v>
      </c>
      <c r="AR38" s="1724">
        <f>SUM(AO38:AQ38)</f>
        <v>87</v>
      </c>
      <c r="AS38" s="491">
        <f>IF(AM38&gt;0,(AR38-AM38)/AM38,(IF(AR38=0,"N/A",100%)))</f>
        <v>-0.52459016393442626</v>
      </c>
    </row>
    <row r="39" spans="1:249" s="502" customFormat="1" ht="16.2" thickBot="1" x14ac:dyDescent="0.35">
      <c r="A39" s="971" t="s">
        <v>427</v>
      </c>
      <c r="B39" s="990">
        <f t="shared" ref="B39:I39" si="39">B38+B36+B34</f>
        <v>209</v>
      </c>
      <c r="C39" s="990">
        <f t="shared" si="39"/>
        <v>465</v>
      </c>
      <c r="D39" s="990">
        <f t="shared" si="39"/>
        <v>687</v>
      </c>
      <c r="E39" s="989">
        <f>E38+E36+E34</f>
        <v>1361</v>
      </c>
      <c r="F39" s="990">
        <f t="shared" si="39"/>
        <v>205</v>
      </c>
      <c r="G39" s="990">
        <f t="shared" si="39"/>
        <v>393</v>
      </c>
      <c r="H39" s="990">
        <f t="shared" si="39"/>
        <v>594</v>
      </c>
      <c r="I39" s="990">
        <f t="shared" si="39"/>
        <v>1192</v>
      </c>
      <c r="J39" s="986">
        <f>IF(E39&gt;0,(I39-E39)/E39,(IF(I39=0,"N/A",100%)))</f>
        <v>-0.12417340191036003</v>
      </c>
      <c r="K39" s="988">
        <f t="shared" ref="K39:S39" si="40">K38+K36+K34</f>
        <v>186</v>
      </c>
      <c r="L39" s="974">
        <f t="shared" si="40"/>
        <v>518</v>
      </c>
      <c r="M39" s="974">
        <f t="shared" si="40"/>
        <v>945</v>
      </c>
      <c r="N39" s="974">
        <f t="shared" si="40"/>
        <v>1649</v>
      </c>
      <c r="O39" s="975">
        <f>IF(I39&gt;0,(N39-I39)/I39,(IF(N39=0,"N/A",100%)))</f>
        <v>0.38338926174496646</v>
      </c>
      <c r="P39" s="1049">
        <f t="shared" si="40"/>
        <v>209</v>
      </c>
      <c r="Q39" s="1049">
        <f t="shared" si="40"/>
        <v>415</v>
      </c>
      <c r="R39" s="1049">
        <f t="shared" si="40"/>
        <v>732</v>
      </c>
      <c r="S39" s="1049">
        <f t="shared" si="40"/>
        <v>1356</v>
      </c>
      <c r="T39" s="1050">
        <f>IF(N39&gt;0,(S39-N39)/N39,(IF(S39=0,"N/A",100%)))</f>
        <v>-0.17768344451182536</v>
      </c>
      <c r="U39" s="988">
        <f>U38+U36+U34</f>
        <v>238</v>
      </c>
      <c r="V39" s="974">
        <f>V38+V36+V34</f>
        <v>595</v>
      </c>
      <c r="W39" s="974">
        <f>W38+W36+W34</f>
        <v>828</v>
      </c>
      <c r="X39" s="974">
        <f>X38+X36+X34</f>
        <v>1661</v>
      </c>
      <c r="Y39" s="975">
        <f t="shared" si="32"/>
        <v>0.22492625368731564</v>
      </c>
      <c r="Z39" s="988">
        <f>Z38+Z36+Z34</f>
        <v>22</v>
      </c>
      <c r="AA39" s="974">
        <f>AA38+AA36+AA34</f>
        <v>710</v>
      </c>
      <c r="AB39" s="974">
        <f>AB38+AB36+AB34</f>
        <v>690</v>
      </c>
      <c r="AC39" s="974">
        <f>AC38+AC36+AC34</f>
        <v>1422</v>
      </c>
      <c r="AD39" s="975">
        <f>IF(X39&gt;0,(AC39-X39)/X39,(IF(AC39=0,"N/A",100%)))</f>
        <v>-0.14388922335942203</v>
      </c>
      <c r="AE39" s="988">
        <f>AE38+AE36+AE34</f>
        <v>182</v>
      </c>
      <c r="AF39" s="974">
        <f>AF38+AF36+AF34</f>
        <v>515</v>
      </c>
      <c r="AG39" s="974">
        <f>AG38+AG36+AG34</f>
        <v>558</v>
      </c>
      <c r="AH39" s="974">
        <f>AH38+AH36+AH34</f>
        <v>1255</v>
      </c>
      <c r="AI39" s="975">
        <f>IF(AC39&gt;0,(AH39-AC39)/AC39,(IF(AH39=0,"N/A",100%)))</f>
        <v>-0.11744022503516174</v>
      </c>
      <c r="AJ39" s="988">
        <f>AJ38+AJ36+AJ34</f>
        <v>239</v>
      </c>
      <c r="AK39" s="974">
        <f>AK38+AK36+AK34</f>
        <v>532</v>
      </c>
      <c r="AL39" s="974">
        <f>AL38+AL36+AL34</f>
        <v>408</v>
      </c>
      <c r="AM39" s="974">
        <f>AM38+AM36+AM34</f>
        <v>1179</v>
      </c>
      <c r="AN39" s="975">
        <f>IF(AH39&gt;0,(AM39-AH39)/AH39,(IF(AM39=0,"N/A",100%)))</f>
        <v>-6.0557768924302792E-2</v>
      </c>
      <c r="AO39" s="988">
        <f>AO38+AO36+AO34</f>
        <v>108</v>
      </c>
      <c r="AP39" s="974">
        <f>AP38+AP36+AP34</f>
        <v>374</v>
      </c>
      <c r="AQ39" s="974">
        <f>AQ38+AQ36+AQ34</f>
        <v>378</v>
      </c>
      <c r="AR39" s="974">
        <f>AR38+AR36+AR34</f>
        <v>860</v>
      </c>
      <c r="AS39" s="975">
        <f>IF(AM39&gt;0,(AR39-AM39)/AM39,(IF(AR39=0,"N/A",100%)))</f>
        <v>-0.27056827820186596</v>
      </c>
    </row>
    <row r="40" spans="1:249" ht="14.25" customHeight="1" x14ac:dyDescent="0.25">
      <c r="A40" s="507"/>
      <c r="B40" s="507"/>
      <c r="C40" s="507"/>
      <c r="D40" s="507"/>
      <c r="E40" s="507"/>
      <c r="F40" s="507"/>
      <c r="G40" s="507"/>
      <c r="H40" s="507"/>
      <c r="I40" s="507"/>
      <c r="J40" s="507"/>
      <c r="K40" s="1738"/>
      <c r="L40" s="1738"/>
      <c r="M40" s="1738"/>
      <c r="N40" s="1738"/>
      <c r="O40" s="1738"/>
    </row>
    <row r="41" spans="1:249" ht="14.25" customHeight="1" thickBot="1" x14ac:dyDescent="0.3">
      <c r="A41" s="507"/>
      <c r="B41" s="507"/>
      <c r="C41" s="507"/>
      <c r="D41" s="507"/>
      <c r="E41" s="507"/>
      <c r="F41" s="507"/>
      <c r="G41" s="507"/>
      <c r="H41" s="507"/>
      <c r="I41" s="507"/>
      <c r="J41" s="507"/>
      <c r="K41" s="1738"/>
      <c r="L41" s="1738"/>
      <c r="M41" s="1738"/>
      <c r="N41" s="1738"/>
      <c r="O41" s="1738"/>
    </row>
    <row r="42" spans="1:249" s="1546" customFormat="1" ht="18" thickBot="1" x14ac:dyDescent="0.35">
      <c r="A42" s="2161" t="s">
        <v>416</v>
      </c>
      <c r="B42" s="2162"/>
      <c r="C42" s="2162"/>
      <c r="D42" s="2162"/>
      <c r="E42" s="2162"/>
      <c r="F42" s="2162"/>
      <c r="G42" s="2162"/>
      <c r="H42" s="2162"/>
      <c r="I42" s="2162"/>
      <c r="J42" s="2162"/>
      <c r="K42" s="2162"/>
      <c r="L42" s="2162"/>
      <c r="M42" s="2162"/>
      <c r="N42" s="2162"/>
      <c r="O42" s="2162"/>
      <c r="P42" s="2162"/>
      <c r="Q42" s="2162"/>
      <c r="R42" s="2162"/>
      <c r="S42" s="2162"/>
      <c r="T42" s="2162"/>
      <c r="U42" s="2162"/>
      <c r="V42" s="2162"/>
      <c r="W42" s="2162"/>
      <c r="X42" s="2162"/>
      <c r="Y42" s="2162"/>
      <c r="Z42" s="2162"/>
      <c r="AA42" s="2162"/>
      <c r="AB42" s="2162"/>
      <c r="AC42" s="2162"/>
      <c r="AD42" s="2162"/>
      <c r="AE42" s="2162"/>
      <c r="AF42" s="2162"/>
      <c r="AG42" s="2162"/>
      <c r="AH42" s="2162"/>
      <c r="AI42" s="2162"/>
      <c r="AJ42" s="2162"/>
      <c r="AK42" s="2162"/>
      <c r="AL42" s="2162"/>
      <c r="AM42" s="2162"/>
      <c r="AN42" s="2162"/>
      <c r="AO42" s="2162"/>
      <c r="AP42" s="2162"/>
      <c r="AQ42" s="2162"/>
      <c r="AR42" s="2162"/>
      <c r="AS42" s="2163"/>
    </row>
    <row r="43" spans="1:249" ht="47.25" customHeight="1" x14ac:dyDescent="0.25">
      <c r="A43" s="2159" t="s">
        <v>1006</v>
      </c>
      <c r="B43" s="1710" t="s">
        <v>1008</v>
      </c>
      <c r="C43" s="1710" t="s">
        <v>1009</v>
      </c>
      <c r="D43" s="1710" t="s">
        <v>1010</v>
      </c>
      <c r="E43" s="680" t="s">
        <v>1011</v>
      </c>
      <c r="F43" s="1711" t="s">
        <v>1008</v>
      </c>
      <c r="G43" s="1710" t="s">
        <v>1009</v>
      </c>
      <c r="H43" s="1710" t="s">
        <v>1010</v>
      </c>
      <c r="I43" s="1712" t="s">
        <v>1011</v>
      </c>
      <c r="J43" s="584" t="s">
        <v>1012</v>
      </c>
      <c r="K43" s="1711" t="s">
        <v>1008</v>
      </c>
      <c r="L43" s="1710" t="s">
        <v>1009</v>
      </c>
      <c r="M43" s="1710" t="s">
        <v>1010</v>
      </c>
      <c r="N43" s="1712" t="s">
        <v>1011</v>
      </c>
      <c r="O43" s="584" t="s">
        <v>1012</v>
      </c>
      <c r="P43" s="1713" t="s">
        <v>1008</v>
      </c>
      <c r="Q43" s="1713" t="s">
        <v>1009</v>
      </c>
      <c r="R43" s="1713" t="s">
        <v>1010</v>
      </c>
      <c r="S43" s="1714" t="s">
        <v>1011</v>
      </c>
      <c r="T43" s="1715" t="s">
        <v>1012</v>
      </c>
      <c r="U43" s="1711" t="s">
        <v>1008</v>
      </c>
      <c r="V43" s="1710" t="s">
        <v>1009</v>
      </c>
      <c r="W43" s="1710" t="s">
        <v>1010</v>
      </c>
      <c r="X43" s="1712" t="s">
        <v>1011</v>
      </c>
      <c r="Y43" s="584" t="s">
        <v>1012</v>
      </c>
      <c r="Z43" s="1711" t="s">
        <v>1008</v>
      </c>
      <c r="AA43" s="1710" t="s">
        <v>1009</v>
      </c>
      <c r="AB43" s="1710" t="s">
        <v>1010</v>
      </c>
      <c r="AC43" s="1712" t="s">
        <v>1011</v>
      </c>
      <c r="AD43" s="584" t="s">
        <v>1012</v>
      </c>
      <c r="AE43" s="1711" t="s">
        <v>1008</v>
      </c>
      <c r="AF43" s="1710" t="s">
        <v>1009</v>
      </c>
      <c r="AG43" s="1710" t="s">
        <v>1010</v>
      </c>
      <c r="AH43" s="1712" t="s">
        <v>1011</v>
      </c>
      <c r="AI43" s="584" t="s">
        <v>1012</v>
      </c>
      <c r="AJ43" s="1711" t="s">
        <v>1008</v>
      </c>
      <c r="AK43" s="1710" t="s">
        <v>1009</v>
      </c>
      <c r="AL43" s="1710" t="s">
        <v>1010</v>
      </c>
      <c r="AM43" s="1712" t="s">
        <v>1011</v>
      </c>
      <c r="AN43" s="584" t="s">
        <v>1012</v>
      </c>
      <c r="AO43" s="1711" t="s">
        <v>1008</v>
      </c>
      <c r="AP43" s="1710" t="s">
        <v>1009</v>
      </c>
      <c r="AQ43" s="1710" t="s">
        <v>1010</v>
      </c>
      <c r="AR43" s="1712" t="s">
        <v>1011</v>
      </c>
      <c r="AS43" s="584" t="s">
        <v>1012</v>
      </c>
    </row>
    <row r="44" spans="1:249" ht="12.75" customHeight="1" x14ac:dyDescent="0.25">
      <c r="A44" s="2160"/>
      <c r="B44" s="2157" t="s">
        <v>1466</v>
      </c>
      <c r="C44" s="2157"/>
      <c r="D44" s="2157"/>
      <c r="E44" s="2158"/>
      <c r="F44" s="2156" t="s">
        <v>1467</v>
      </c>
      <c r="G44" s="2157"/>
      <c r="H44" s="2157"/>
      <c r="I44" s="2157"/>
      <c r="J44" s="2158"/>
      <c r="K44" s="2138" t="s">
        <v>1454</v>
      </c>
      <c r="L44" s="2139"/>
      <c r="M44" s="2139"/>
      <c r="N44" s="2139"/>
      <c r="O44" s="2153"/>
      <c r="P44" s="2139" t="s">
        <v>1455</v>
      </c>
      <c r="Q44" s="2139"/>
      <c r="R44" s="2139"/>
      <c r="S44" s="2139"/>
      <c r="T44" s="2153"/>
      <c r="U44" s="2156" t="s">
        <v>1456</v>
      </c>
      <c r="V44" s="2157"/>
      <c r="W44" s="2157"/>
      <c r="X44" s="2157"/>
      <c r="Y44" s="2158"/>
      <c r="Z44" s="2156" t="s">
        <v>1599</v>
      </c>
      <c r="AA44" s="2157"/>
      <c r="AB44" s="2157"/>
      <c r="AC44" s="2157"/>
      <c r="AD44" s="2158"/>
      <c r="AE44" s="2156" t="s">
        <v>1716</v>
      </c>
      <c r="AF44" s="2157"/>
      <c r="AG44" s="2157"/>
      <c r="AH44" s="2157"/>
      <c r="AI44" s="2158"/>
      <c r="AJ44" s="2156" t="str">
        <f>+AJ5</f>
        <v>Summer 2015</v>
      </c>
      <c r="AK44" s="2157"/>
      <c r="AL44" s="2157"/>
      <c r="AM44" s="2157"/>
      <c r="AN44" s="2158"/>
      <c r="AO44" s="2156" t="str">
        <f>+AO27</f>
        <v>Summer 2016</v>
      </c>
      <c r="AP44" s="2157"/>
      <c r="AQ44" s="2157"/>
      <c r="AR44" s="2157"/>
      <c r="AS44" s="2158"/>
      <c r="AT44" s="1546"/>
      <c r="AU44" s="1546"/>
      <c r="AV44" s="1546"/>
      <c r="AW44" s="1546"/>
      <c r="AX44" s="1546"/>
      <c r="AY44" s="1546"/>
      <c r="AZ44" s="1546"/>
      <c r="BA44" s="1546"/>
      <c r="BB44" s="1546"/>
      <c r="BC44" s="1546"/>
      <c r="BD44" s="1546"/>
      <c r="BE44" s="1546"/>
      <c r="BF44" s="1546"/>
      <c r="BG44" s="1546"/>
      <c r="BH44" s="1546"/>
      <c r="BI44" s="1546"/>
      <c r="BJ44" s="1546"/>
      <c r="BK44" s="1546"/>
      <c r="BL44" s="1546"/>
      <c r="BM44" s="1546"/>
      <c r="BN44" s="1546"/>
      <c r="BO44" s="1546"/>
      <c r="BP44" s="1546"/>
      <c r="BQ44" s="1546"/>
      <c r="BR44" s="1546"/>
      <c r="BS44" s="1546"/>
      <c r="BT44" s="1546"/>
      <c r="BU44" s="1546"/>
      <c r="BV44" s="1546"/>
      <c r="BW44" s="1546"/>
      <c r="BX44" s="1546"/>
      <c r="BY44" s="1546"/>
      <c r="BZ44" s="1546"/>
      <c r="CA44" s="1546"/>
      <c r="CB44" s="1546"/>
      <c r="CC44" s="1546"/>
      <c r="CD44" s="1546"/>
      <c r="CE44" s="1546"/>
      <c r="CF44" s="1546"/>
      <c r="CG44" s="1546"/>
      <c r="CH44" s="1546"/>
      <c r="CI44" s="1546"/>
      <c r="CJ44" s="1546"/>
      <c r="CK44" s="1546"/>
      <c r="CL44" s="1546"/>
      <c r="CM44" s="1546"/>
      <c r="CN44" s="1546"/>
      <c r="CO44" s="1546"/>
      <c r="CP44" s="1546"/>
      <c r="CQ44" s="1546"/>
      <c r="CR44" s="1546"/>
      <c r="CS44" s="1546"/>
      <c r="CT44" s="1546"/>
      <c r="CU44" s="1546"/>
      <c r="CV44" s="1546"/>
      <c r="CW44" s="1546"/>
      <c r="CX44" s="1546"/>
      <c r="CY44" s="1546"/>
      <c r="CZ44" s="1546"/>
      <c r="DA44" s="1546"/>
      <c r="DB44" s="1546"/>
      <c r="DC44" s="1546"/>
      <c r="DD44" s="1546"/>
      <c r="DE44" s="1546"/>
      <c r="DF44" s="1546"/>
      <c r="DG44" s="1546"/>
      <c r="DH44" s="1546"/>
      <c r="DI44" s="1546"/>
      <c r="DJ44" s="1546"/>
      <c r="DK44" s="1546"/>
      <c r="DL44" s="1546"/>
      <c r="DM44" s="1546"/>
      <c r="DN44" s="1546"/>
      <c r="DO44" s="1546"/>
      <c r="DP44" s="1546"/>
      <c r="DQ44" s="1546"/>
      <c r="DR44" s="1546"/>
      <c r="DS44" s="1546"/>
      <c r="DT44" s="1546"/>
      <c r="DU44" s="1546"/>
      <c r="DV44" s="1546"/>
      <c r="DW44" s="1546"/>
      <c r="DX44" s="1546"/>
      <c r="DY44" s="1546"/>
      <c r="DZ44" s="1546"/>
      <c r="EA44" s="1546"/>
      <c r="EB44" s="1546"/>
      <c r="EC44" s="1546"/>
      <c r="ED44" s="1546"/>
      <c r="EE44" s="1546"/>
      <c r="EF44" s="1546"/>
      <c r="EG44" s="1546"/>
      <c r="EH44" s="1546"/>
      <c r="EI44" s="1546"/>
      <c r="EJ44" s="1546"/>
      <c r="EK44" s="1546"/>
      <c r="EL44" s="1546"/>
      <c r="EM44" s="1546"/>
      <c r="EN44" s="1546"/>
      <c r="EO44" s="1546"/>
      <c r="EP44" s="1546"/>
      <c r="EQ44" s="1546"/>
      <c r="ER44" s="1546"/>
      <c r="ES44" s="1546"/>
      <c r="ET44" s="1546"/>
      <c r="EU44" s="1546"/>
      <c r="EV44" s="1546"/>
      <c r="EW44" s="1546"/>
      <c r="EX44" s="1546"/>
      <c r="EY44" s="1546"/>
      <c r="EZ44" s="1546"/>
      <c r="FA44" s="1546"/>
      <c r="FB44" s="1546"/>
      <c r="FC44" s="1546"/>
      <c r="FD44" s="1546"/>
      <c r="FE44" s="1546"/>
      <c r="FF44" s="1546"/>
      <c r="FG44" s="1546"/>
      <c r="FH44" s="1546"/>
      <c r="FI44" s="1546"/>
      <c r="FJ44" s="1546"/>
      <c r="FK44" s="1546"/>
      <c r="FL44" s="1546"/>
      <c r="FM44" s="1546"/>
      <c r="FN44" s="1546"/>
      <c r="FO44" s="1546"/>
      <c r="FP44" s="1546"/>
      <c r="FQ44" s="1546"/>
      <c r="FR44" s="1546"/>
      <c r="FS44" s="1546"/>
      <c r="FT44" s="1546"/>
      <c r="FU44" s="1546"/>
      <c r="FV44" s="1546"/>
      <c r="FW44" s="1546"/>
      <c r="FX44" s="1546"/>
      <c r="FY44" s="1546"/>
      <c r="FZ44" s="1546"/>
      <c r="GA44" s="1546"/>
      <c r="GB44" s="1546"/>
      <c r="GC44" s="1546"/>
      <c r="GD44" s="1546"/>
      <c r="GE44" s="1546"/>
      <c r="GF44" s="1546"/>
      <c r="GG44" s="1546"/>
      <c r="GH44" s="1546"/>
      <c r="GI44" s="1546"/>
      <c r="GJ44" s="1546"/>
      <c r="GK44" s="1546"/>
      <c r="GL44" s="1546"/>
      <c r="GM44" s="1546"/>
      <c r="GN44" s="1546"/>
      <c r="GO44" s="1546"/>
      <c r="GP44" s="1546"/>
      <c r="GQ44" s="1546"/>
      <c r="GR44" s="1546"/>
      <c r="GS44" s="1546"/>
      <c r="GT44" s="1546"/>
      <c r="GU44" s="1546"/>
      <c r="GV44" s="1546"/>
      <c r="GW44" s="1546"/>
      <c r="GX44" s="1546"/>
      <c r="GY44" s="1546"/>
      <c r="GZ44" s="1546"/>
      <c r="HA44" s="1546"/>
      <c r="HB44" s="1546"/>
      <c r="HC44" s="1546"/>
      <c r="HD44" s="1546"/>
      <c r="HE44" s="1546"/>
      <c r="HF44" s="1546"/>
      <c r="HG44" s="1546"/>
      <c r="HH44" s="1546"/>
      <c r="HI44" s="1546"/>
      <c r="HJ44" s="1546"/>
      <c r="HK44" s="1546"/>
      <c r="HL44" s="1546"/>
      <c r="HM44" s="1546"/>
      <c r="HN44" s="1546"/>
      <c r="HO44" s="1546"/>
      <c r="HP44" s="1546"/>
      <c r="HQ44" s="1546"/>
      <c r="HR44" s="1546"/>
      <c r="HS44" s="1546"/>
      <c r="HT44" s="1546"/>
      <c r="HU44" s="1546"/>
      <c r="HV44" s="1546"/>
      <c r="HW44" s="1546"/>
      <c r="HX44" s="1546"/>
      <c r="HY44" s="1546"/>
      <c r="HZ44" s="1546"/>
      <c r="IA44" s="1546"/>
      <c r="IB44" s="1546"/>
      <c r="IC44" s="1546"/>
      <c r="ID44" s="1546"/>
      <c r="IE44" s="1546"/>
      <c r="IF44" s="1546"/>
      <c r="IG44" s="1546"/>
      <c r="IH44" s="1546"/>
      <c r="II44" s="1546"/>
      <c r="IJ44" s="1546"/>
      <c r="IK44" s="1546"/>
      <c r="IL44" s="1546"/>
      <c r="IM44" s="1546"/>
      <c r="IN44" s="1546"/>
      <c r="IO44" s="1546"/>
    </row>
    <row r="45" spans="1:249" s="1744" customFormat="1" x14ac:dyDescent="0.25">
      <c r="A45" s="968" t="s">
        <v>417</v>
      </c>
      <c r="B45" s="1244"/>
      <c r="C45" s="1244"/>
      <c r="D45" s="1244"/>
      <c r="E45" s="972"/>
      <c r="F45" s="1716"/>
      <c r="G45" s="1244"/>
      <c r="H45" s="1244"/>
      <c r="I45" s="1244"/>
      <c r="J45" s="972"/>
      <c r="K45" s="1717"/>
      <c r="L45" s="1718"/>
      <c r="M45" s="1718"/>
      <c r="N45" s="1718"/>
      <c r="O45" s="1719"/>
      <c r="P45" s="1720"/>
      <c r="Q45" s="1721"/>
      <c r="R45" s="1721"/>
      <c r="S45" s="1721"/>
      <c r="T45" s="1817"/>
      <c r="U45" s="1717"/>
      <c r="V45" s="1718"/>
      <c r="W45" s="1718"/>
      <c r="X45" s="1718"/>
      <c r="Y45" s="1719"/>
      <c r="Z45" s="1717"/>
      <c r="AA45" s="1718"/>
      <c r="AB45" s="1718"/>
      <c r="AC45" s="1718"/>
      <c r="AD45" s="1719"/>
      <c r="AE45" s="1717"/>
      <c r="AF45" s="1718"/>
      <c r="AG45" s="1718"/>
      <c r="AH45" s="1718"/>
      <c r="AI45" s="1719"/>
      <c r="AJ45" s="1717"/>
      <c r="AK45" s="1718"/>
      <c r="AL45" s="1718"/>
      <c r="AM45" s="1718"/>
      <c r="AN45" s="1719"/>
      <c r="AO45" s="1717"/>
      <c r="AP45" s="1718"/>
      <c r="AQ45" s="1718"/>
      <c r="AR45" s="1718"/>
      <c r="AS45" s="1719"/>
      <c r="AT45" s="1546"/>
      <c r="AU45" s="1546"/>
      <c r="AV45" s="1546"/>
      <c r="AW45" s="1546"/>
      <c r="AX45" s="1546"/>
      <c r="AY45" s="1546"/>
      <c r="AZ45" s="1546"/>
      <c r="BA45" s="1546"/>
      <c r="BB45" s="1546"/>
      <c r="BC45" s="1546"/>
      <c r="BD45" s="1546"/>
      <c r="BE45" s="1546"/>
      <c r="BF45" s="1546"/>
      <c r="BG45" s="1546"/>
      <c r="BH45" s="1546"/>
      <c r="BI45" s="1546"/>
      <c r="BJ45" s="1546"/>
      <c r="BK45" s="1546"/>
      <c r="BL45" s="1546"/>
      <c r="BM45" s="1546"/>
      <c r="BN45" s="1546"/>
      <c r="BO45" s="1546"/>
      <c r="BP45" s="1546"/>
      <c r="BQ45" s="1546"/>
      <c r="BR45" s="1546"/>
      <c r="BS45" s="1546"/>
      <c r="BT45" s="1546"/>
      <c r="BU45" s="1546"/>
      <c r="BV45" s="1546"/>
      <c r="BW45" s="1546"/>
      <c r="BX45" s="1546"/>
      <c r="BY45" s="1546"/>
      <c r="BZ45" s="1546"/>
      <c r="CA45" s="1546"/>
      <c r="CB45" s="1546"/>
      <c r="CC45" s="1546"/>
      <c r="CD45" s="1546"/>
      <c r="CE45" s="1546"/>
      <c r="CF45" s="1546"/>
      <c r="CG45" s="1546"/>
      <c r="CH45" s="1546"/>
      <c r="CI45" s="1546"/>
      <c r="CJ45" s="1546"/>
      <c r="CK45" s="1546"/>
      <c r="CL45" s="1546"/>
      <c r="CM45" s="1546"/>
      <c r="CN45" s="1546"/>
      <c r="CO45" s="1546"/>
      <c r="CP45" s="1546"/>
      <c r="CQ45" s="1546"/>
      <c r="CR45" s="1546"/>
      <c r="CS45" s="1546"/>
      <c r="CT45" s="1546"/>
      <c r="CU45" s="1546"/>
      <c r="CV45" s="1546"/>
      <c r="CW45" s="1546"/>
      <c r="CX45" s="1546"/>
      <c r="CY45" s="1546"/>
      <c r="CZ45" s="1546"/>
      <c r="DA45" s="1546"/>
      <c r="DB45" s="1546"/>
      <c r="DC45" s="1546"/>
      <c r="DD45" s="1546"/>
      <c r="DE45" s="1546"/>
      <c r="DF45" s="1546"/>
      <c r="DG45" s="1546"/>
      <c r="DH45" s="1546"/>
      <c r="DI45" s="1546"/>
      <c r="DJ45" s="1546"/>
      <c r="DK45" s="1546"/>
      <c r="DL45" s="1546"/>
      <c r="DM45" s="1546"/>
      <c r="DN45" s="1546"/>
      <c r="DO45" s="1546"/>
      <c r="DP45" s="1546"/>
      <c r="DQ45" s="1546"/>
      <c r="DR45" s="1546"/>
      <c r="DS45" s="1546"/>
      <c r="DT45" s="1546"/>
      <c r="DU45" s="1546"/>
      <c r="DV45" s="1546"/>
      <c r="DW45" s="1546"/>
      <c r="DX45" s="1546"/>
      <c r="DY45" s="1546"/>
      <c r="DZ45" s="1546"/>
      <c r="EA45" s="1546"/>
      <c r="EB45" s="1546"/>
      <c r="EC45" s="1546"/>
      <c r="ED45" s="1546"/>
      <c r="EE45" s="1546"/>
      <c r="EF45" s="1546"/>
      <c r="EG45" s="1546"/>
      <c r="EH45" s="1546"/>
      <c r="EI45" s="1546"/>
      <c r="EJ45" s="1546"/>
      <c r="EK45" s="1546"/>
      <c r="EL45" s="1546"/>
      <c r="EM45" s="1546"/>
      <c r="EN45" s="1546"/>
      <c r="EO45" s="1546"/>
      <c r="EP45" s="1546"/>
      <c r="EQ45" s="1546"/>
      <c r="ER45" s="1546"/>
      <c r="ES45" s="1546"/>
      <c r="ET45" s="1546"/>
      <c r="EU45" s="1546"/>
      <c r="EV45" s="1546"/>
      <c r="EW45" s="1546"/>
      <c r="EX45" s="1546"/>
      <c r="EY45" s="1546"/>
      <c r="EZ45" s="1546"/>
      <c r="FA45" s="1546"/>
      <c r="FB45" s="1546"/>
      <c r="FC45" s="1546"/>
      <c r="FD45" s="1546"/>
      <c r="FE45" s="1546"/>
      <c r="FF45" s="1546"/>
      <c r="FG45" s="1546"/>
      <c r="FH45" s="1546"/>
      <c r="FI45" s="1546"/>
      <c r="FJ45" s="1546"/>
      <c r="FK45" s="1546"/>
      <c r="FL45" s="1546"/>
      <c r="FM45" s="1546"/>
      <c r="FN45" s="1546"/>
      <c r="FO45" s="1546"/>
      <c r="FP45" s="1546"/>
      <c r="FQ45" s="1546"/>
      <c r="FR45" s="1546"/>
      <c r="FS45" s="1546"/>
      <c r="FT45" s="1546"/>
      <c r="FU45" s="1546"/>
      <c r="FV45" s="1546"/>
      <c r="FW45" s="1546"/>
      <c r="FX45" s="1546"/>
      <c r="FY45" s="1546"/>
      <c r="FZ45" s="1546"/>
      <c r="GA45" s="1546"/>
      <c r="GB45" s="1546"/>
      <c r="GC45" s="1546"/>
      <c r="GD45" s="1546"/>
      <c r="GE45" s="1546"/>
      <c r="GF45" s="1546"/>
      <c r="GG45" s="1546"/>
      <c r="GH45" s="1546"/>
      <c r="GI45" s="1546"/>
      <c r="GJ45" s="1546"/>
      <c r="GK45" s="1546"/>
      <c r="GL45" s="1546"/>
      <c r="GM45" s="1546"/>
      <c r="GN45" s="1546"/>
      <c r="GO45" s="1546"/>
      <c r="GP45" s="1546"/>
      <c r="GQ45" s="1546"/>
      <c r="GR45" s="1546"/>
      <c r="GS45" s="1546"/>
      <c r="GT45" s="1546"/>
      <c r="GU45" s="1546"/>
      <c r="GV45" s="1546"/>
      <c r="GW45" s="1546"/>
      <c r="GX45" s="1546"/>
      <c r="GY45" s="1546"/>
      <c r="GZ45" s="1546"/>
      <c r="HA45" s="1546"/>
      <c r="HB45" s="1546"/>
      <c r="HC45" s="1546"/>
      <c r="HD45" s="1546"/>
      <c r="HE45" s="1546"/>
      <c r="HF45" s="1546"/>
      <c r="HG45" s="1546"/>
      <c r="HH45" s="1546"/>
      <c r="HI45" s="1546"/>
      <c r="HJ45" s="1546"/>
      <c r="HK45" s="1546"/>
      <c r="HL45" s="1546"/>
      <c r="HM45" s="1546"/>
      <c r="HN45" s="1546"/>
      <c r="HO45" s="1546"/>
      <c r="HP45" s="1546"/>
      <c r="HQ45" s="1546"/>
      <c r="HR45" s="1546"/>
      <c r="HS45" s="1546"/>
      <c r="HT45" s="1546"/>
      <c r="HU45" s="1546"/>
      <c r="HV45" s="1546"/>
      <c r="HW45" s="1546"/>
      <c r="HX45" s="1546"/>
      <c r="HY45" s="1546"/>
      <c r="HZ45" s="1546"/>
      <c r="IA45" s="1546"/>
      <c r="IB45" s="1546"/>
      <c r="IC45" s="1546"/>
      <c r="ID45" s="1546"/>
      <c r="IE45" s="1546"/>
      <c r="IF45" s="1546"/>
      <c r="IG45" s="1546"/>
      <c r="IH45" s="1546"/>
      <c r="II45" s="1546"/>
      <c r="IJ45" s="1546"/>
      <c r="IK45" s="1546"/>
      <c r="IL45" s="1546"/>
      <c r="IM45" s="1546"/>
      <c r="IN45" s="1546"/>
      <c r="IO45" s="1546"/>
    </row>
    <row r="46" spans="1:249" x14ac:dyDescent="0.25">
      <c r="A46" s="969" t="s">
        <v>1030</v>
      </c>
      <c r="B46" s="1245">
        <v>63</v>
      </c>
      <c r="C46" s="1245">
        <v>0</v>
      </c>
      <c r="D46" s="1245">
        <v>159</v>
      </c>
      <c r="E46" s="1723">
        <f>SUM(B46:D46)</f>
        <v>222</v>
      </c>
      <c r="F46" s="1730">
        <v>48</v>
      </c>
      <c r="G46" s="1245">
        <v>25</v>
      </c>
      <c r="H46" s="1245">
        <v>234</v>
      </c>
      <c r="I46" s="1724">
        <f>SUM(F46:H46)</f>
        <v>307</v>
      </c>
      <c r="J46" s="491">
        <f>IF(E46&gt;0,(I46-E46)/E46,(IF(I46=0,"N/A",100%)))</f>
        <v>0.38288288288288286</v>
      </c>
      <c r="K46" s="1725">
        <v>33</v>
      </c>
      <c r="L46" s="1724">
        <v>3</v>
      </c>
      <c r="M46" s="1724">
        <v>123</v>
      </c>
      <c r="N46" s="1724">
        <f>SUM(K46:M46)</f>
        <v>159</v>
      </c>
      <c r="O46" s="1825">
        <f>IF(I46&gt;0,(N46-I46)/I46,(IF(N46=0,"N/A",100%)))</f>
        <v>-0.48208469055374592</v>
      </c>
      <c r="P46" s="1724">
        <v>15</v>
      </c>
      <c r="Q46" s="1724">
        <v>3</v>
      </c>
      <c r="R46" s="1724">
        <v>186</v>
      </c>
      <c r="S46" s="1724">
        <f>SUM(P46:R46)</f>
        <v>204</v>
      </c>
      <c r="T46" s="491">
        <f>IF(N46&gt;0,(S46-N46)/N46,(IF(S46=0,"N/A",100%)))</f>
        <v>0.28301886792452829</v>
      </c>
      <c r="U46" s="1725">
        <v>0</v>
      </c>
      <c r="V46" s="1724">
        <v>9</v>
      </c>
      <c r="W46" s="1724">
        <v>90</v>
      </c>
      <c r="X46" s="1724">
        <f>SUM(U46:W46)</f>
        <v>99</v>
      </c>
      <c r="Y46" s="491">
        <f t="shared" ref="Y46:Y63" si="41">IF(S46&gt;0,(X46-S46)/S46,(IF(X46=0,"N/A",100%)))</f>
        <v>-0.51470588235294112</v>
      </c>
      <c r="Z46" s="1725">
        <v>0</v>
      </c>
      <c r="AA46" s="1724">
        <v>18</v>
      </c>
      <c r="AB46" s="1724">
        <v>120</v>
      </c>
      <c r="AC46" s="1724">
        <f>SUM(Z46:AB46)</f>
        <v>138</v>
      </c>
      <c r="AD46" s="491">
        <f>IF(X46&gt;0,(AC46-X46)/X46,(IF(AC46=0,"N/A",100%)))</f>
        <v>0.39393939393939392</v>
      </c>
      <c r="AE46" s="1725">
        <v>0</v>
      </c>
      <c r="AF46" s="1724">
        <v>0</v>
      </c>
      <c r="AG46" s="1724">
        <v>84</v>
      </c>
      <c r="AH46" s="1724">
        <f>SUM(AE46:AG46)</f>
        <v>84</v>
      </c>
      <c r="AI46" s="491">
        <f>IF(AC46&gt;0,(AH46-AC46)/AC46,(IF(AH46=0,"N/A",100%)))</f>
        <v>-0.39130434782608697</v>
      </c>
      <c r="AJ46" s="1725">
        <v>27</v>
      </c>
      <c r="AK46" s="1724">
        <v>0</v>
      </c>
      <c r="AL46" s="1724">
        <v>48</v>
      </c>
      <c r="AM46" s="1724">
        <f>SUM(AJ46:AL46)</f>
        <v>75</v>
      </c>
      <c r="AN46" s="491">
        <f>IF(AH46&gt;0,(AM46-AH46)/AH46,(IF(AM46=0,"N/A",100%)))</f>
        <v>-0.10714285714285714</v>
      </c>
      <c r="AO46" s="1725">
        <v>27</v>
      </c>
      <c r="AP46" s="1724">
        <v>3</v>
      </c>
      <c r="AQ46" s="1724">
        <v>0</v>
      </c>
      <c r="AR46" s="1724">
        <f>SUM(AO46:AQ46)</f>
        <v>30</v>
      </c>
      <c r="AS46" s="491">
        <f>IF(AM46&gt;0,(AR46-AM46)/AM46,(IF(AR46=0,"N/A",100%)))</f>
        <v>-0.6</v>
      </c>
      <c r="AT46" s="1546"/>
      <c r="AU46" s="1546"/>
      <c r="AV46" s="1546"/>
      <c r="AW46" s="1546"/>
      <c r="AX46" s="1546"/>
      <c r="AY46" s="1546"/>
      <c r="AZ46" s="1546"/>
      <c r="BA46" s="1546"/>
      <c r="BB46" s="1546"/>
      <c r="BC46" s="1546"/>
      <c r="BD46" s="1546"/>
      <c r="BE46" s="1546"/>
      <c r="BF46" s="1546"/>
      <c r="BG46" s="1546"/>
      <c r="BH46" s="1546"/>
      <c r="BI46" s="1546"/>
      <c r="BJ46" s="1546"/>
      <c r="BK46" s="1546"/>
      <c r="BL46" s="1546"/>
      <c r="BM46" s="1546"/>
      <c r="BN46" s="1546"/>
      <c r="BO46" s="1546"/>
      <c r="BP46" s="1546"/>
      <c r="BQ46" s="1546"/>
      <c r="BR46" s="1546"/>
      <c r="BS46" s="1546"/>
      <c r="BT46" s="1546"/>
      <c r="BU46" s="1546"/>
      <c r="BV46" s="1546"/>
      <c r="BW46" s="1546"/>
      <c r="BX46" s="1546"/>
      <c r="BY46" s="1546"/>
      <c r="BZ46" s="1546"/>
      <c r="CA46" s="1546"/>
      <c r="CB46" s="1546"/>
      <c r="CC46" s="1546"/>
      <c r="CD46" s="1546"/>
      <c r="CE46" s="1546"/>
      <c r="CF46" s="1546"/>
      <c r="CG46" s="1546"/>
      <c r="CH46" s="1546"/>
      <c r="CI46" s="1546"/>
      <c r="CJ46" s="1546"/>
      <c r="CK46" s="1546"/>
      <c r="CL46" s="1546"/>
      <c r="CM46" s="1546"/>
      <c r="CN46" s="1546"/>
      <c r="CO46" s="1546"/>
      <c r="CP46" s="1546"/>
      <c r="CQ46" s="1546"/>
      <c r="CR46" s="1546"/>
      <c r="CS46" s="1546"/>
      <c r="CT46" s="1546"/>
      <c r="CU46" s="1546"/>
      <c r="CV46" s="1546"/>
      <c r="CW46" s="1546"/>
      <c r="CX46" s="1546"/>
      <c r="CY46" s="1546"/>
      <c r="CZ46" s="1546"/>
      <c r="DA46" s="1546"/>
      <c r="DB46" s="1546"/>
      <c r="DC46" s="1546"/>
      <c r="DD46" s="1546"/>
      <c r="DE46" s="1546"/>
      <c r="DF46" s="1546"/>
      <c r="DG46" s="1546"/>
      <c r="DH46" s="1546"/>
      <c r="DI46" s="1546"/>
      <c r="DJ46" s="1546"/>
      <c r="DK46" s="1546"/>
      <c r="DL46" s="1546"/>
      <c r="DM46" s="1546"/>
      <c r="DN46" s="1546"/>
      <c r="DO46" s="1546"/>
      <c r="DP46" s="1546"/>
      <c r="DQ46" s="1546"/>
      <c r="DR46" s="1546"/>
      <c r="DS46" s="1546"/>
      <c r="DT46" s="1546"/>
      <c r="DU46" s="1546"/>
      <c r="DV46" s="1546"/>
      <c r="DW46" s="1546"/>
      <c r="DX46" s="1546"/>
      <c r="DY46" s="1546"/>
      <c r="DZ46" s="1546"/>
      <c r="EA46" s="1546"/>
      <c r="EB46" s="1546"/>
      <c r="EC46" s="1546"/>
      <c r="ED46" s="1546"/>
      <c r="EE46" s="1546"/>
      <c r="EF46" s="1546"/>
      <c r="EG46" s="1546"/>
      <c r="EH46" s="1546"/>
      <c r="EI46" s="1546"/>
      <c r="EJ46" s="1546"/>
      <c r="EK46" s="1546"/>
      <c r="EL46" s="1546"/>
      <c r="EM46" s="1546"/>
      <c r="EN46" s="1546"/>
      <c r="EO46" s="1546"/>
      <c r="EP46" s="1546"/>
      <c r="EQ46" s="1546"/>
      <c r="ER46" s="1546"/>
      <c r="ES46" s="1546"/>
      <c r="ET46" s="1546"/>
      <c r="EU46" s="1546"/>
      <c r="EV46" s="1546"/>
      <c r="EW46" s="1546"/>
      <c r="EX46" s="1546"/>
      <c r="EY46" s="1546"/>
      <c r="EZ46" s="1546"/>
      <c r="FA46" s="1546"/>
      <c r="FB46" s="1546"/>
      <c r="FC46" s="1546"/>
      <c r="FD46" s="1546"/>
      <c r="FE46" s="1546"/>
      <c r="FF46" s="1546"/>
      <c r="FG46" s="1546"/>
      <c r="FH46" s="1546"/>
      <c r="FI46" s="1546"/>
      <c r="FJ46" s="1546"/>
      <c r="FK46" s="1546"/>
      <c r="FL46" s="1546"/>
      <c r="FM46" s="1546"/>
      <c r="FN46" s="1546"/>
      <c r="FO46" s="1546"/>
      <c r="FP46" s="1546"/>
      <c r="FQ46" s="1546"/>
      <c r="FR46" s="1546"/>
      <c r="FS46" s="1546"/>
      <c r="FT46" s="1546"/>
      <c r="FU46" s="1546"/>
      <c r="FV46" s="1546"/>
      <c r="FW46" s="1546"/>
      <c r="FX46" s="1546"/>
      <c r="FY46" s="1546"/>
      <c r="FZ46" s="1546"/>
      <c r="GA46" s="1546"/>
      <c r="GB46" s="1546"/>
      <c r="GC46" s="1546"/>
      <c r="GD46" s="1546"/>
      <c r="GE46" s="1546"/>
      <c r="GF46" s="1546"/>
      <c r="GG46" s="1546"/>
      <c r="GH46" s="1546"/>
      <c r="GI46" s="1546"/>
      <c r="GJ46" s="1546"/>
      <c r="GK46" s="1546"/>
      <c r="GL46" s="1546"/>
      <c r="GM46" s="1546"/>
      <c r="GN46" s="1546"/>
      <c r="GO46" s="1546"/>
      <c r="GP46" s="1546"/>
      <c r="GQ46" s="1546"/>
      <c r="GR46" s="1546"/>
      <c r="GS46" s="1546"/>
      <c r="GT46" s="1546"/>
      <c r="GU46" s="1546"/>
      <c r="GV46" s="1546"/>
      <c r="GW46" s="1546"/>
      <c r="GX46" s="1546"/>
      <c r="GY46" s="1546"/>
      <c r="GZ46" s="1546"/>
      <c r="HA46" s="1546"/>
      <c r="HB46" s="1546"/>
      <c r="HC46" s="1546"/>
      <c r="HD46" s="1546"/>
      <c r="HE46" s="1546"/>
      <c r="HF46" s="1546"/>
      <c r="HG46" s="1546"/>
      <c r="HH46" s="1546"/>
      <c r="HI46" s="1546"/>
      <c r="HJ46" s="1546"/>
      <c r="HK46" s="1546"/>
      <c r="HL46" s="1546"/>
      <c r="HM46" s="1546"/>
      <c r="HN46" s="1546"/>
      <c r="HO46" s="1546"/>
      <c r="HP46" s="1546"/>
      <c r="HQ46" s="1546"/>
      <c r="HR46" s="1546"/>
      <c r="HS46" s="1546"/>
      <c r="HT46" s="1546"/>
      <c r="HU46" s="1546"/>
      <c r="HV46" s="1546"/>
      <c r="HW46" s="1546"/>
      <c r="HX46" s="1546"/>
      <c r="HY46" s="1546"/>
      <c r="HZ46" s="1546"/>
      <c r="IA46" s="1546"/>
      <c r="IB46" s="1546"/>
      <c r="IC46" s="1546"/>
      <c r="ID46" s="1546"/>
      <c r="IE46" s="1546"/>
      <c r="IF46" s="1546"/>
      <c r="IG46" s="1546"/>
      <c r="IH46" s="1546"/>
      <c r="II46" s="1546"/>
      <c r="IJ46" s="1546"/>
      <c r="IK46" s="1546"/>
      <c r="IL46" s="1546"/>
      <c r="IM46" s="1546"/>
      <c r="IN46" s="1546"/>
      <c r="IO46" s="1546"/>
    </row>
    <row r="47" spans="1:249" x14ac:dyDescent="0.25">
      <c r="A47" s="969" t="s">
        <v>1031</v>
      </c>
      <c r="B47" s="1245">
        <v>0</v>
      </c>
      <c r="C47" s="1245">
        <v>0</v>
      </c>
      <c r="D47" s="1245">
        <v>0</v>
      </c>
      <c r="E47" s="1723">
        <f>SUM(B47:D47)</f>
        <v>0</v>
      </c>
      <c r="F47" s="1730">
        <v>0</v>
      </c>
      <c r="G47" s="1245">
        <v>0</v>
      </c>
      <c r="H47" s="1245">
        <v>0</v>
      </c>
      <c r="I47" s="1724">
        <f>SUM(F47:H47)</f>
        <v>0</v>
      </c>
      <c r="J47" s="491" t="str">
        <f>IF(E47&gt;0,(I47-E47)/E47,(IF(I47=0,"N/A",100%)))</f>
        <v>N/A</v>
      </c>
      <c r="K47" s="1725">
        <v>0</v>
      </c>
      <c r="L47" s="1724">
        <v>0</v>
      </c>
      <c r="M47" s="1724">
        <v>0</v>
      </c>
      <c r="N47" s="1724">
        <f>SUM(K47:M47)</f>
        <v>0</v>
      </c>
      <c r="O47" s="1825" t="str">
        <f>IF(I47&gt;0,(N47-I47)/I47,(IF(N47=0,"N/A",100%)))</f>
        <v>N/A</v>
      </c>
      <c r="P47" s="1724">
        <v>0</v>
      </c>
      <c r="Q47" s="1724">
        <v>0</v>
      </c>
      <c r="R47" s="1724">
        <v>0</v>
      </c>
      <c r="S47" s="1724">
        <f>SUM(P47:R47)</f>
        <v>0</v>
      </c>
      <c r="T47" s="491" t="str">
        <f>IF(N47&gt;0,(S47-N47)/N47,(IF(S47=0,"N/A",100%)))</f>
        <v>N/A</v>
      </c>
      <c r="U47" s="1725">
        <v>0</v>
      </c>
      <c r="V47" s="1724">
        <v>0</v>
      </c>
      <c r="W47" s="1724">
        <v>0</v>
      </c>
      <c r="X47" s="1724">
        <f>SUM(U47:W47)</f>
        <v>0</v>
      </c>
      <c r="Y47" s="491" t="str">
        <f t="shared" si="41"/>
        <v>N/A</v>
      </c>
      <c r="Z47" s="1725">
        <v>0</v>
      </c>
      <c r="AA47" s="1724">
        <v>0</v>
      </c>
      <c r="AB47" s="1724">
        <v>0</v>
      </c>
      <c r="AC47" s="1724">
        <f>SUM(Z47:AB47)</f>
        <v>0</v>
      </c>
      <c r="AD47" s="491" t="str">
        <f>IF(X47&gt;0,(AC47-X47)/X47,(IF(AC47=0,"N/A",100%)))</f>
        <v>N/A</v>
      </c>
      <c r="AE47" s="1725">
        <v>12</v>
      </c>
      <c r="AF47" s="1724">
        <v>0</v>
      </c>
      <c r="AG47" s="1724">
        <v>0</v>
      </c>
      <c r="AH47" s="1724">
        <f>SUM(AE47:AG47)</f>
        <v>12</v>
      </c>
      <c r="AI47" s="491">
        <f>IF(AC47&gt;0,(AH47-AC47)/AC47,(IF(AH47=0,"N/A",100%)))</f>
        <v>1</v>
      </c>
      <c r="AJ47" s="1725">
        <v>0</v>
      </c>
      <c r="AK47" s="1724">
        <v>0</v>
      </c>
      <c r="AL47" s="1724">
        <v>0</v>
      </c>
      <c r="AM47" s="1724">
        <f>SUM(AJ47:AL47)</f>
        <v>0</v>
      </c>
      <c r="AN47" s="491">
        <f>IF(AH47&gt;0,(AM47-AH47)/AH47,(IF(AM47=0,"N/A",100%)))</f>
        <v>-1</v>
      </c>
      <c r="AO47" s="1725">
        <v>0</v>
      </c>
      <c r="AP47" s="1724">
        <v>0</v>
      </c>
      <c r="AQ47" s="1724">
        <v>0</v>
      </c>
      <c r="AR47" s="1724">
        <f>SUM(AO47:AQ47)</f>
        <v>0</v>
      </c>
      <c r="AS47" s="491" t="str">
        <f>IF(AM47&gt;0,(AR47-AM47)/AM47,(IF(AR47=0,"N/A",100%)))</f>
        <v>N/A</v>
      </c>
      <c r="AT47" s="1546"/>
      <c r="AU47" s="1546"/>
      <c r="AV47" s="1546"/>
      <c r="AW47" s="1546"/>
      <c r="AX47" s="1546"/>
      <c r="AY47" s="1546"/>
      <c r="AZ47" s="1546"/>
      <c r="BA47" s="1546"/>
      <c r="BB47" s="1546"/>
      <c r="BC47" s="1546"/>
      <c r="BD47" s="1546"/>
      <c r="BE47" s="1546"/>
      <c r="BF47" s="1546"/>
      <c r="BG47" s="1546"/>
      <c r="BH47" s="1546"/>
      <c r="BI47" s="1546"/>
      <c r="BJ47" s="1546"/>
      <c r="BK47" s="1546"/>
      <c r="BL47" s="1546"/>
      <c r="BM47" s="1546"/>
      <c r="BN47" s="1546"/>
      <c r="BO47" s="1546"/>
      <c r="BP47" s="1546"/>
      <c r="BQ47" s="1546"/>
      <c r="BR47" s="1546"/>
      <c r="BS47" s="1546"/>
      <c r="BT47" s="1546"/>
      <c r="BU47" s="1546"/>
      <c r="BV47" s="1546"/>
      <c r="BW47" s="1546"/>
      <c r="BX47" s="1546"/>
      <c r="BY47" s="1546"/>
      <c r="BZ47" s="1546"/>
      <c r="CA47" s="1546"/>
      <c r="CB47" s="1546"/>
      <c r="CC47" s="1546"/>
      <c r="CD47" s="1546"/>
      <c r="CE47" s="1546"/>
      <c r="CF47" s="1546"/>
      <c r="CG47" s="1546"/>
      <c r="CH47" s="1546"/>
      <c r="CI47" s="1546"/>
      <c r="CJ47" s="1546"/>
      <c r="CK47" s="1546"/>
      <c r="CL47" s="1546"/>
      <c r="CM47" s="1546"/>
      <c r="CN47" s="1546"/>
      <c r="CO47" s="1546"/>
      <c r="CP47" s="1546"/>
      <c r="CQ47" s="1546"/>
      <c r="CR47" s="1546"/>
      <c r="CS47" s="1546"/>
      <c r="CT47" s="1546"/>
      <c r="CU47" s="1546"/>
      <c r="CV47" s="1546"/>
      <c r="CW47" s="1546"/>
      <c r="CX47" s="1546"/>
      <c r="CY47" s="1546"/>
      <c r="CZ47" s="1546"/>
      <c r="DA47" s="1546"/>
      <c r="DB47" s="1546"/>
      <c r="DC47" s="1546"/>
      <c r="DD47" s="1546"/>
      <c r="DE47" s="1546"/>
      <c r="DF47" s="1546"/>
      <c r="DG47" s="1546"/>
      <c r="DH47" s="1546"/>
      <c r="DI47" s="1546"/>
      <c r="DJ47" s="1546"/>
      <c r="DK47" s="1546"/>
      <c r="DL47" s="1546"/>
      <c r="DM47" s="1546"/>
      <c r="DN47" s="1546"/>
      <c r="DO47" s="1546"/>
      <c r="DP47" s="1546"/>
      <c r="DQ47" s="1546"/>
      <c r="DR47" s="1546"/>
      <c r="DS47" s="1546"/>
      <c r="DT47" s="1546"/>
      <c r="DU47" s="1546"/>
      <c r="DV47" s="1546"/>
      <c r="DW47" s="1546"/>
      <c r="DX47" s="1546"/>
      <c r="DY47" s="1546"/>
      <c r="DZ47" s="1546"/>
      <c r="EA47" s="1546"/>
      <c r="EB47" s="1546"/>
      <c r="EC47" s="1546"/>
      <c r="ED47" s="1546"/>
      <c r="EE47" s="1546"/>
      <c r="EF47" s="1546"/>
      <c r="EG47" s="1546"/>
      <c r="EH47" s="1546"/>
      <c r="EI47" s="1546"/>
      <c r="EJ47" s="1546"/>
      <c r="EK47" s="1546"/>
      <c r="EL47" s="1546"/>
      <c r="EM47" s="1546"/>
      <c r="EN47" s="1546"/>
      <c r="EO47" s="1546"/>
      <c r="EP47" s="1546"/>
      <c r="EQ47" s="1546"/>
      <c r="ER47" s="1546"/>
      <c r="ES47" s="1546"/>
      <c r="ET47" s="1546"/>
      <c r="EU47" s="1546"/>
      <c r="EV47" s="1546"/>
      <c r="EW47" s="1546"/>
      <c r="EX47" s="1546"/>
      <c r="EY47" s="1546"/>
      <c r="EZ47" s="1546"/>
      <c r="FA47" s="1546"/>
      <c r="FB47" s="1546"/>
      <c r="FC47" s="1546"/>
      <c r="FD47" s="1546"/>
      <c r="FE47" s="1546"/>
      <c r="FF47" s="1546"/>
      <c r="FG47" s="1546"/>
      <c r="FH47" s="1546"/>
      <c r="FI47" s="1546"/>
      <c r="FJ47" s="1546"/>
      <c r="FK47" s="1546"/>
      <c r="FL47" s="1546"/>
      <c r="FM47" s="1546"/>
      <c r="FN47" s="1546"/>
      <c r="FO47" s="1546"/>
      <c r="FP47" s="1546"/>
      <c r="FQ47" s="1546"/>
      <c r="FR47" s="1546"/>
      <c r="FS47" s="1546"/>
      <c r="FT47" s="1546"/>
      <c r="FU47" s="1546"/>
      <c r="FV47" s="1546"/>
      <c r="FW47" s="1546"/>
      <c r="FX47" s="1546"/>
      <c r="FY47" s="1546"/>
      <c r="FZ47" s="1546"/>
      <c r="GA47" s="1546"/>
      <c r="GB47" s="1546"/>
      <c r="GC47" s="1546"/>
      <c r="GD47" s="1546"/>
      <c r="GE47" s="1546"/>
      <c r="GF47" s="1546"/>
      <c r="GG47" s="1546"/>
      <c r="GH47" s="1546"/>
      <c r="GI47" s="1546"/>
      <c r="GJ47" s="1546"/>
      <c r="GK47" s="1546"/>
      <c r="GL47" s="1546"/>
      <c r="GM47" s="1546"/>
      <c r="GN47" s="1546"/>
      <c r="GO47" s="1546"/>
      <c r="GP47" s="1546"/>
      <c r="GQ47" s="1546"/>
      <c r="GR47" s="1546"/>
      <c r="GS47" s="1546"/>
      <c r="GT47" s="1546"/>
      <c r="GU47" s="1546"/>
      <c r="GV47" s="1546"/>
      <c r="GW47" s="1546"/>
      <c r="GX47" s="1546"/>
      <c r="GY47" s="1546"/>
      <c r="GZ47" s="1546"/>
      <c r="HA47" s="1546"/>
      <c r="HB47" s="1546"/>
      <c r="HC47" s="1546"/>
      <c r="HD47" s="1546"/>
      <c r="HE47" s="1546"/>
      <c r="HF47" s="1546"/>
      <c r="HG47" s="1546"/>
      <c r="HH47" s="1546"/>
      <c r="HI47" s="1546"/>
      <c r="HJ47" s="1546"/>
      <c r="HK47" s="1546"/>
      <c r="HL47" s="1546"/>
      <c r="HM47" s="1546"/>
      <c r="HN47" s="1546"/>
      <c r="HO47" s="1546"/>
      <c r="HP47" s="1546"/>
      <c r="HQ47" s="1546"/>
      <c r="HR47" s="1546"/>
      <c r="HS47" s="1546"/>
      <c r="HT47" s="1546"/>
      <c r="HU47" s="1546"/>
      <c r="HV47" s="1546"/>
      <c r="HW47" s="1546"/>
      <c r="HX47" s="1546"/>
      <c r="HY47" s="1546"/>
      <c r="HZ47" s="1546"/>
      <c r="IA47" s="1546"/>
      <c r="IB47" s="1546"/>
      <c r="IC47" s="1546"/>
      <c r="ID47" s="1546"/>
      <c r="IE47" s="1546"/>
      <c r="IF47" s="1546"/>
      <c r="IG47" s="1546"/>
      <c r="IH47" s="1546"/>
      <c r="II47" s="1546"/>
      <c r="IJ47" s="1546"/>
      <c r="IK47" s="1546"/>
      <c r="IL47" s="1546"/>
      <c r="IM47" s="1546"/>
      <c r="IN47" s="1546"/>
      <c r="IO47" s="1546"/>
    </row>
    <row r="48" spans="1:249" s="484" customFormat="1" ht="13.8" x14ac:dyDescent="0.25">
      <c r="A48" s="970" t="s">
        <v>1015</v>
      </c>
      <c r="B48" s="1259">
        <f t="shared" ref="B48:I48" si="42">+B47+B46</f>
        <v>63</v>
      </c>
      <c r="C48" s="1259">
        <f t="shared" si="42"/>
        <v>0</v>
      </c>
      <c r="D48" s="1259">
        <f t="shared" si="42"/>
        <v>159</v>
      </c>
      <c r="E48" s="495">
        <f t="shared" si="42"/>
        <v>222</v>
      </c>
      <c r="F48" s="1259">
        <f t="shared" si="42"/>
        <v>48</v>
      </c>
      <c r="G48" s="1259">
        <f t="shared" si="42"/>
        <v>25</v>
      </c>
      <c r="H48" s="1259">
        <f t="shared" si="42"/>
        <v>234</v>
      </c>
      <c r="I48" s="1259">
        <f t="shared" si="42"/>
        <v>307</v>
      </c>
      <c r="J48" s="496">
        <f>IF(E48&gt;0,(I48-E48)/E48,(IF(I48=0,"N/A",100%)))</f>
        <v>0.38288288288288286</v>
      </c>
      <c r="K48" s="1259">
        <f>+K47+K46</f>
        <v>33</v>
      </c>
      <c r="L48" s="1259">
        <f>+L47+L46</f>
        <v>3</v>
      </c>
      <c r="M48" s="1259">
        <f>+M47+M46</f>
        <v>123</v>
      </c>
      <c r="N48" s="1259">
        <f>+N47+N46</f>
        <v>159</v>
      </c>
      <c r="O48" s="1825">
        <f>IF(I48&gt;0,(N48-I48)/I48,(IF(N48=0,"N/A",100%)))</f>
        <v>-0.48208469055374592</v>
      </c>
      <c r="P48" s="1259">
        <f>+P47+P46</f>
        <v>15</v>
      </c>
      <c r="Q48" s="1259">
        <f>+Q47+Q46</f>
        <v>3</v>
      </c>
      <c r="R48" s="1259">
        <f>+R47+R46</f>
        <v>186</v>
      </c>
      <c r="S48" s="1259">
        <f>+S47+S46</f>
        <v>204</v>
      </c>
      <c r="T48" s="496">
        <f>IF(N48&gt;0,(S48-N48)/N48,(IF(S48=0,"N/A",100%)))</f>
        <v>0.28301886792452829</v>
      </c>
      <c r="U48" s="1732">
        <f>+U47+U46</f>
        <v>0</v>
      </c>
      <c r="V48" s="1259">
        <f>+V47+V46</f>
        <v>9</v>
      </c>
      <c r="W48" s="1259">
        <f>+W47+W46</f>
        <v>90</v>
      </c>
      <c r="X48" s="1259">
        <f>+X47+X46</f>
        <v>99</v>
      </c>
      <c r="Y48" s="496">
        <f t="shared" si="41"/>
        <v>-0.51470588235294112</v>
      </c>
      <c r="Z48" s="1259">
        <f>+Z47+Z46</f>
        <v>0</v>
      </c>
      <c r="AA48" s="1259">
        <f>+AA47+AA46</f>
        <v>18</v>
      </c>
      <c r="AB48" s="1259">
        <f>+AB47+AB46</f>
        <v>120</v>
      </c>
      <c r="AC48" s="1259">
        <f>+AC47+AC46</f>
        <v>138</v>
      </c>
      <c r="AD48" s="496">
        <f>IF(X48&gt;0,(AC48-X48)/X48,(IF(AC48=0,"N/A",100%)))</f>
        <v>0.39393939393939392</v>
      </c>
      <c r="AE48" s="1259">
        <f>+AE47+AE46</f>
        <v>12</v>
      </c>
      <c r="AF48" s="1259">
        <f>+AF47+AF46</f>
        <v>0</v>
      </c>
      <c r="AG48" s="1259">
        <f>+AG47+AG46</f>
        <v>84</v>
      </c>
      <c r="AH48" s="1259">
        <f>+AH47+AH46</f>
        <v>96</v>
      </c>
      <c r="AI48" s="496">
        <f>IF(AC48&gt;0,(AH48-AC48)/AC48,(IF(AH48=0,"N/A",100%)))</f>
        <v>-0.30434782608695654</v>
      </c>
      <c r="AJ48" s="1259">
        <f>+AJ47+AJ46</f>
        <v>27</v>
      </c>
      <c r="AK48" s="1259">
        <f>+AK47+AK46</f>
        <v>0</v>
      </c>
      <c r="AL48" s="1259">
        <f>+AL47+AL46</f>
        <v>48</v>
      </c>
      <c r="AM48" s="1259">
        <f>+AM47+AM46</f>
        <v>75</v>
      </c>
      <c r="AN48" s="496">
        <f>IF(AH48&gt;0,(AM48-AH48)/AH48,(IF(AM48=0,"N/A",100%)))</f>
        <v>-0.21875</v>
      </c>
      <c r="AO48" s="1259">
        <f>+AO47+AO46</f>
        <v>27</v>
      </c>
      <c r="AP48" s="1259">
        <f>+AP47+AP46</f>
        <v>3</v>
      </c>
      <c r="AQ48" s="1259">
        <f>+AQ47+AQ46</f>
        <v>0</v>
      </c>
      <c r="AR48" s="1259">
        <f>+AR47+AR46</f>
        <v>30</v>
      </c>
      <c r="AS48" s="496">
        <f>IF(AM48&gt;0,(AR48-AM48)/AM48,(IF(AR48=0,"N/A",100%)))</f>
        <v>-0.6</v>
      </c>
    </row>
    <row r="49" spans="1:45" x14ac:dyDescent="0.25">
      <c r="A49" s="968" t="s">
        <v>420</v>
      </c>
      <c r="B49" s="1244"/>
      <c r="C49" s="1244"/>
      <c r="D49" s="1244"/>
      <c r="E49" s="1719"/>
      <c r="F49" s="1716"/>
      <c r="G49" s="1244"/>
      <c r="H49" s="1244"/>
      <c r="I49" s="1718"/>
      <c r="J49" s="1719"/>
      <c r="K49" s="1717"/>
      <c r="L49" s="1718"/>
      <c r="M49" s="1718"/>
      <c r="N49" s="1718"/>
      <c r="O49" s="1719"/>
      <c r="P49" s="1720"/>
      <c r="Q49" s="1721"/>
      <c r="R49" s="1721"/>
      <c r="S49" s="1721"/>
      <c r="T49" s="1722"/>
      <c r="U49" s="1717"/>
      <c r="V49" s="1718"/>
      <c r="W49" s="1718"/>
      <c r="X49" s="1718"/>
      <c r="Y49" s="1719"/>
      <c r="Z49" s="1717"/>
      <c r="AA49" s="1718"/>
      <c r="AB49" s="1718"/>
      <c r="AC49" s="1718"/>
      <c r="AD49" s="1719"/>
      <c r="AE49" s="1717"/>
      <c r="AF49" s="1718"/>
      <c r="AG49" s="1718"/>
      <c r="AH49" s="1718"/>
      <c r="AI49" s="1719"/>
      <c r="AJ49" s="1717"/>
      <c r="AK49" s="1718"/>
      <c r="AL49" s="1718"/>
      <c r="AM49" s="1718"/>
      <c r="AN49" s="1719"/>
      <c r="AO49" s="1717"/>
      <c r="AP49" s="1718"/>
      <c r="AQ49" s="1718"/>
      <c r="AR49" s="1718"/>
      <c r="AS49" s="1719"/>
    </row>
    <row r="50" spans="1:45" x14ac:dyDescent="0.25">
      <c r="A50" s="1745" t="s">
        <v>1068</v>
      </c>
      <c r="B50" s="1726">
        <v>0</v>
      </c>
      <c r="C50" s="1726">
        <v>0</v>
      </c>
      <c r="D50" s="1726">
        <v>0</v>
      </c>
      <c r="E50" s="1723">
        <f t="shared" ref="E50:E55" si="43">SUM(B50:D50)</f>
        <v>0</v>
      </c>
      <c r="F50" s="1730">
        <v>0</v>
      </c>
      <c r="G50" s="1245">
        <v>0</v>
      </c>
      <c r="H50" s="1245">
        <v>0</v>
      </c>
      <c r="I50" s="1724">
        <f t="shared" ref="I50:I55" si="44">SUM(F50:H50)</f>
        <v>0</v>
      </c>
      <c r="J50" s="491" t="str">
        <f t="shared" ref="J50:J56" si="45">IF(E50&gt;0,(I50-E50)/E50,(IF(I50=0,"N/A",100%)))</f>
        <v>N/A</v>
      </c>
      <c r="K50" s="1725">
        <v>0</v>
      </c>
      <c r="L50" s="1724">
        <v>0</v>
      </c>
      <c r="M50" s="1724">
        <v>0</v>
      </c>
      <c r="N50" s="1724">
        <f t="shared" ref="N50:N55" si="46">SUM(K50:M50)</f>
        <v>0</v>
      </c>
      <c r="O50" s="491" t="str">
        <f t="shared" ref="O50:O56" si="47">IF(I50&gt;0,(N50-I50)/I50,(IF(N50=0,"N/A",100%)))</f>
        <v>N/A</v>
      </c>
      <c r="P50" s="1727">
        <v>0</v>
      </c>
      <c r="Q50" s="1727">
        <v>0</v>
      </c>
      <c r="R50" s="1727">
        <v>0</v>
      </c>
      <c r="S50" s="1727">
        <f>SUM(P50:R50)</f>
        <v>0</v>
      </c>
      <c r="T50" s="514" t="str">
        <f t="shared" ref="T50:T56" si="48">IF(N50&gt;0,(S50-N50)/N50,(IF(S50=0,"N/A",100%)))</f>
        <v>N/A</v>
      </c>
      <c r="U50" s="1725">
        <v>0</v>
      </c>
      <c r="V50" s="1724">
        <v>0</v>
      </c>
      <c r="W50" s="1724">
        <v>0</v>
      </c>
      <c r="X50" s="1724">
        <f t="shared" ref="X50:X55" si="49">SUM(U50:W50)</f>
        <v>0</v>
      </c>
      <c r="Y50" s="491" t="str">
        <f t="shared" si="41"/>
        <v>N/A</v>
      </c>
      <c r="Z50" s="1725">
        <v>0</v>
      </c>
      <c r="AA50" s="1724">
        <v>0</v>
      </c>
      <c r="AB50" s="1724">
        <v>0</v>
      </c>
      <c r="AC50" s="1724">
        <f t="shared" ref="AC50:AC55" si="50">SUM(Z50:AB50)</f>
        <v>0</v>
      </c>
      <c r="AD50" s="491" t="str">
        <f t="shared" ref="AD50:AD56" si="51">IF(X50&gt;0,(AC50-X50)/X50,(IF(AC50=0,"N/A",100%)))</f>
        <v>N/A</v>
      </c>
      <c r="AE50" s="1725">
        <v>0</v>
      </c>
      <c r="AF50" s="1724">
        <v>0</v>
      </c>
      <c r="AG50" s="1724">
        <v>0</v>
      </c>
      <c r="AH50" s="1724">
        <f t="shared" ref="AH50:AH55" si="52">SUM(AE50:AG50)</f>
        <v>0</v>
      </c>
      <c r="AI50" s="491" t="str">
        <f t="shared" ref="AI50:AI56" si="53">IF(AC50&gt;0,(AH50-AC50)/AC50,(IF(AH50=0,"N/A",100%)))</f>
        <v>N/A</v>
      </c>
      <c r="AJ50" s="1725">
        <v>0</v>
      </c>
      <c r="AK50" s="1724">
        <v>0</v>
      </c>
      <c r="AL50" s="1724">
        <v>0</v>
      </c>
      <c r="AM50" s="1724">
        <f t="shared" ref="AM50:AM55" si="54">SUM(AJ50:AL50)</f>
        <v>0</v>
      </c>
      <c r="AN50" s="491" t="str">
        <f t="shared" ref="AN50:AN56" si="55">IF(AH50&gt;0,(AM50-AH50)/AH50,(IF(AM50=0,"N/A",100%)))</f>
        <v>N/A</v>
      </c>
      <c r="AO50" s="1725">
        <v>0</v>
      </c>
      <c r="AP50" s="1724">
        <v>0</v>
      </c>
      <c r="AQ50" s="1724">
        <v>0</v>
      </c>
      <c r="AR50" s="1724">
        <f t="shared" ref="AR50:AR55" si="56">SUM(AO50:AQ50)</f>
        <v>0</v>
      </c>
      <c r="AS50" s="491" t="str">
        <f t="shared" ref="AS50:AS56" si="57">IF(AM50&gt;0,(AR50-AM50)/AM50,(IF(AR50=0,"N/A",100%)))</f>
        <v>N/A</v>
      </c>
    </row>
    <row r="51" spans="1:45" x14ac:dyDescent="0.25">
      <c r="A51" s="969" t="s">
        <v>1032</v>
      </c>
      <c r="B51" s="1245">
        <v>21</v>
      </c>
      <c r="C51" s="1245">
        <v>30</v>
      </c>
      <c r="D51" s="1245">
        <v>0</v>
      </c>
      <c r="E51" s="1723">
        <f t="shared" si="43"/>
        <v>51</v>
      </c>
      <c r="F51" s="1730">
        <v>9</v>
      </c>
      <c r="G51" s="1245">
        <v>24</v>
      </c>
      <c r="H51" s="1245">
        <v>0</v>
      </c>
      <c r="I51" s="1724">
        <f t="shared" si="44"/>
        <v>33</v>
      </c>
      <c r="J51" s="491">
        <f t="shared" si="45"/>
        <v>-0.35294117647058826</v>
      </c>
      <c r="K51" s="1725">
        <v>21</v>
      </c>
      <c r="L51" s="1724">
        <v>30</v>
      </c>
      <c r="M51" s="1724">
        <v>0</v>
      </c>
      <c r="N51" s="1724">
        <f t="shared" si="46"/>
        <v>51</v>
      </c>
      <c r="O51" s="491">
        <f t="shared" si="47"/>
        <v>0.54545454545454541</v>
      </c>
      <c r="P51" s="1727">
        <v>0</v>
      </c>
      <c r="Q51" s="1727">
        <v>24</v>
      </c>
      <c r="R51" s="1727">
        <v>0</v>
      </c>
      <c r="S51" s="1727">
        <f>SUM(P51:R51)</f>
        <v>24</v>
      </c>
      <c r="T51" s="514">
        <f t="shared" si="48"/>
        <v>-0.52941176470588236</v>
      </c>
      <c r="U51" s="1725">
        <v>21</v>
      </c>
      <c r="V51" s="1724">
        <v>15</v>
      </c>
      <c r="W51" s="1724">
        <v>0</v>
      </c>
      <c r="X51" s="1724">
        <f t="shared" si="49"/>
        <v>36</v>
      </c>
      <c r="Y51" s="491">
        <f t="shared" si="41"/>
        <v>0.5</v>
      </c>
      <c r="Z51" s="1725">
        <v>0</v>
      </c>
      <c r="AA51" s="1724">
        <v>48</v>
      </c>
      <c r="AB51" s="1724">
        <v>0</v>
      </c>
      <c r="AC51" s="1724">
        <f t="shared" si="50"/>
        <v>48</v>
      </c>
      <c r="AD51" s="491">
        <f t="shared" si="51"/>
        <v>0.33333333333333331</v>
      </c>
      <c r="AE51" s="1725">
        <v>12</v>
      </c>
      <c r="AF51" s="1724">
        <v>24</v>
      </c>
      <c r="AG51" s="1724">
        <v>0</v>
      </c>
      <c r="AH51" s="1724">
        <f t="shared" si="52"/>
        <v>36</v>
      </c>
      <c r="AI51" s="491">
        <f t="shared" si="53"/>
        <v>-0.25</v>
      </c>
      <c r="AJ51" s="1725">
        <v>18</v>
      </c>
      <c r="AK51" s="1724">
        <v>21</v>
      </c>
      <c r="AL51" s="1724">
        <v>0</v>
      </c>
      <c r="AM51" s="1724">
        <f t="shared" si="54"/>
        <v>39</v>
      </c>
      <c r="AN51" s="491">
        <f t="shared" si="55"/>
        <v>8.3333333333333329E-2</v>
      </c>
      <c r="AO51" s="1725">
        <v>36</v>
      </c>
      <c r="AP51" s="1724">
        <v>15</v>
      </c>
      <c r="AQ51" s="1724">
        <v>0</v>
      </c>
      <c r="AR51" s="1724">
        <f t="shared" si="56"/>
        <v>51</v>
      </c>
      <c r="AS51" s="491">
        <f t="shared" si="57"/>
        <v>0.30769230769230771</v>
      </c>
    </row>
    <row r="52" spans="1:45" x14ac:dyDescent="0.25">
      <c r="A52" s="969" t="s">
        <v>1036</v>
      </c>
      <c r="B52" s="1245">
        <v>12</v>
      </c>
      <c r="C52" s="1245">
        <v>108</v>
      </c>
      <c r="D52" s="1245">
        <v>0</v>
      </c>
      <c r="E52" s="1723">
        <f t="shared" si="43"/>
        <v>120</v>
      </c>
      <c r="F52" s="1730">
        <v>0</v>
      </c>
      <c r="G52" s="1245">
        <v>36</v>
      </c>
      <c r="H52" s="1245">
        <v>0</v>
      </c>
      <c r="I52" s="1724">
        <f t="shared" si="44"/>
        <v>36</v>
      </c>
      <c r="J52" s="491">
        <f t="shared" si="45"/>
        <v>-0.7</v>
      </c>
      <c r="K52" s="1725">
        <v>0</v>
      </c>
      <c r="L52" s="1724">
        <v>18</v>
      </c>
      <c r="M52" s="1724">
        <v>0</v>
      </c>
      <c r="N52" s="1724">
        <f t="shared" si="46"/>
        <v>18</v>
      </c>
      <c r="O52" s="491">
        <f>IF(J52&gt;0,(N52-J52)/J52,(IF(N52=0,"N/A",100%)))</f>
        <v>1</v>
      </c>
      <c r="P52" s="1727">
        <v>0</v>
      </c>
      <c r="Q52" s="1727">
        <v>100</v>
      </c>
      <c r="R52" s="1727">
        <v>0</v>
      </c>
      <c r="S52" s="1727">
        <f>SUM(P52:R52)</f>
        <v>100</v>
      </c>
      <c r="T52" s="514">
        <f t="shared" si="48"/>
        <v>4.5555555555555554</v>
      </c>
      <c r="U52" s="1725">
        <v>3</v>
      </c>
      <c r="V52" s="1724">
        <v>67</v>
      </c>
      <c r="W52" s="1724">
        <v>0</v>
      </c>
      <c r="X52" s="1724">
        <f t="shared" si="49"/>
        <v>70</v>
      </c>
      <c r="Y52" s="491">
        <f t="shared" si="41"/>
        <v>-0.3</v>
      </c>
      <c r="Z52" s="1725">
        <v>0</v>
      </c>
      <c r="AA52" s="1724">
        <v>99</v>
      </c>
      <c r="AB52" s="1724">
        <v>0</v>
      </c>
      <c r="AC52" s="1724">
        <f t="shared" si="50"/>
        <v>99</v>
      </c>
      <c r="AD52" s="491">
        <f t="shared" si="51"/>
        <v>0.41428571428571431</v>
      </c>
      <c r="AE52" s="1725">
        <v>24</v>
      </c>
      <c r="AF52" s="1724">
        <v>54</v>
      </c>
      <c r="AG52" s="1724">
        <v>0</v>
      </c>
      <c r="AH52" s="1724">
        <f t="shared" si="52"/>
        <v>78</v>
      </c>
      <c r="AI52" s="491">
        <f t="shared" si="53"/>
        <v>-0.21212121212121213</v>
      </c>
      <c r="AJ52" s="1725">
        <v>21</v>
      </c>
      <c r="AK52" s="1724">
        <v>75</v>
      </c>
      <c r="AL52" s="1724">
        <v>0</v>
      </c>
      <c r="AM52" s="1724">
        <f t="shared" si="54"/>
        <v>96</v>
      </c>
      <c r="AN52" s="491">
        <f t="shared" si="55"/>
        <v>0.23076923076923078</v>
      </c>
      <c r="AO52" s="1725">
        <v>39</v>
      </c>
      <c r="AP52" s="1724">
        <v>75</v>
      </c>
      <c r="AQ52" s="1724">
        <v>0</v>
      </c>
      <c r="AR52" s="1724">
        <f t="shared" si="56"/>
        <v>114</v>
      </c>
      <c r="AS52" s="491">
        <f t="shared" si="57"/>
        <v>0.1875</v>
      </c>
    </row>
    <row r="53" spans="1:45" x14ac:dyDescent="0.25">
      <c r="A53" s="969" t="s">
        <v>1035</v>
      </c>
      <c r="B53" s="1245">
        <v>0</v>
      </c>
      <c r="C53" s="1245">
        <v>0</v>
      </c>
      <c r="D53" s="1245">
        <v>0</v>
      </c>
      <c r="E53" s="1723">
        <f t="shared" si="43"/>
        <v>0</v>
      </c>
      <c r="F53" s="1730">
        <v>0</v>
      </c>
      <c r="G53" s="1245">
        <v>2</v>
      </c>
      <c r="H53" s="1245">
        <v>0</v>
      </c>
      <c r="I53" s="1724">
        <f t="shared" si="44"/>
        <v>2</v>
      </c>
      <c r="J53" s="491">
        <f t="shared" si="45"/>
        <v>1</v>
      </c>
      <c r="K53" s="1725">
        <v>0</v>
      </c>
      <c r="L53" s="1724">
        <v>0</v>
      </c>
      <c r="M53" s="1724">
        <v>0</v>
      </c>
      <c r="N53" s="1724">
        <f t="shared" si="46"/>
        <v>0</v>
      </c>
      <c r="O53" s="491">
        <f>IF(J53&gt;0,(N53-J53)/J53,(IF(N53=0,"N/A",100%)))</f>
        <v>-1</v>
      </c>
      <c r="P53" s="1727">
        <v>0</v>
      </c>
      <c r="Q53" s="1727">
        <v>0</v>
      </c>
      <c r="R53" s="1727">
        <v>0</v>
      </c>
      <c r="S53" s="1727">
        <v>0</v>
      </c>
      <c r="T53" s="514" t="str">
        <f t="shared" si="48"/>
        <v>N/A</v>
      </c>
      <c r="U53" s="1725">
        <v>0</v>
      </c>
      <c r="V53" s="1724">
        <v>4</v>
      </c>
      <c r="W53" s="1724">
        <v>0</v>
      </c>
      <c r="X53" s="1724">
        <f t="shared" si="49"/>
        <v>4</v>
      </c>
      <c r="Y53" s="491">
        <f>IF(S53&gt;0,(X53-S53)/S53,(IF(X53=0,"N/A",100%)))</f>
        <v>1</v>
      </c>
      <c r="Z53" s="1725">
        <v>0</v>
      </c>
      <c r="AA53" s="1724">
        <v>0</v>
      </c>
      <c r="AB53" s="1724">
        <v>0</v>
      </c>
      <c r="AC53" s="1724">
        <f t="shared" si="50"/>
        <v>0</v>
      </c>
      <c r="AD53" s="491">
        <f t="shared" si="51"/>
        <v>-1</v>
      </c>
      <c r="AE53" s="1725">
        <v>0</v>
      </c>
      <c r="AF53" s="1724">
        <v>2</v>
      </c>
      <c r="AG53" s="1724">
        <v>0</v>
      </c>
      <c r="AH53" s="1724">
        <f t="shared" si="52"/>
        <v>2</v>
      </c>
      <c r="AI53" s="491">
        <f t="shared" si="53"/>
        <v>1</v>
      </c>
      <c r="AJ53" s="1725">
        <v>0</v>
      </c>
      <c r="AK53" s="1724">
        <v>0</v>
      </c>
      <c r="AL53" s="1724">
        <v>0</v>
      </c>
      <c r="AM53" s="1724">
        <f t="shared" si="54"/>
        <v>0</v>
      </c>
      <c r="AN53" s="491">
        <f t="shared" si="55"/>
        <v>-1</v>
      </c>
      <c r="AO53" s="1725">
        <v>0</v>
      </c>
      <c r="AP53" s="1724">
        <v>5</v>
      </c>
      <c r="AQ53" s="1724">
        <v>0</v>
      </c>
      <c r="AR53" s="1724">
        <f t="shared" si="56"/>
        <v>5</v>
      </c>
      <c r="AS53" s="491">
        <f t="shared" si="57"/>
        <v>1</v>
      </c>
    </row>
    <row r="54" spans="1:45" x14ac:dyDescent="0.25">
      <c r="A54" s="969" t="s">
        <v>1039</v>
      </c>
      <c r="B54" s="1245">
        <v>48</v>
      </c>
      <c r="C54" s="1245">
        <v>0</v>
      </c>
      <c r="D54" s="1245">
        <v>0</v>
      </c>
      <c r="E54" s="1723">
        <f t="shared" si="43"/>
        <v>48</v>
      </c>
      <c r="F54" s="1730">
        <v>30</v>
      </c>
      <c r="G54" s="1245">
        <v>0</v>
      </c>
      <c r="H54" s="1245">
        <v>0</v>
      </c>
      <c r="I54" s="1724">
        <f t="shared" si="44"/>
        <v>30</v>
      </c>
      <c r="J54" s="491">
        <f t="shared" si="45"/>
        <v>-0.375</v>
      </c>
      <c r="K54" s="1725">
        <v>39</v>
      </c>
      <c r="L54" s="1724">
        <v>0</v>
      </c>
      <c r="M54" s="1724">
        <v>0</v>
      </c>
      <c r="N54" s="1724">
        <f t="shared" si="46"/>
        <v>39</v>
      </c>
      <c r="O54" s="491">
        <f t="shared" si="47"/>
        <v>0.3</v>
      </c>
      <c r="P54" s="1727">
        <v>51</v>
      </c>
      <c r="Q54" s="1727">
        <v>0</v>
      </c>
      <c r="R54" s="1727">
        <v>0</v>
      </c>
      <c r="S54" s="1727">
        <f>SUM(P54:R54)</f>
        <v>51</v>
      </c>
      <c r="T54" s="514">
        <f t="shared" si="48"/>
        <v>0.30769230769230771</v>
      </c>
      <c r="U54" s="1725">
        <v>21</v>
      </c>
      <c r="V54" s="1724">
        <v>0</v>
      </c>
      <c r="W54" s="1724">
        <v>0</v>
      </c>
      <c r="X54" s="1724">
        <f t="shared" si="49"/>
        <v>21</v>
      </c>
      <c r="Y54" s="491">
        <f t="shared" si="41"/>
        <v>-0.58823529411764708</v>
      </c>
      <c r="Z54" s="1725">
        <v>33</v>
      </c>
      <c r="AA54" s="1724">
        <v>0</v>
      </c>
      <c r="AB54" s="1724">
        <v>0</v>
      </c>
      <c r="AC54" s="1724">
        <f t="shared" si="50"/>
        <v>33</v>
      </c>
      <c r="AD54" s="491">
        <f t="shared" si="51"/>
        <v>0.5714285714285714</v>
      </c>
      <c r="AE54" s="1725">
        <v>63</v>
      </c>
      <c r="AF54" s="1724">
        <v>0</v>
      </c>
      <c r="AG54" s="1724">
        <v>0</v>
      </c>
      <c r="AH54" s="1724">
        <f t="shared" si="52"/>
        <v>63</v>
      </c>
      <c r="AI54" s="491">
        <f t="shared" si="53"/>
        <v>0.90909090909090906</v>
      </c>
      <c r="AJ54" s="1725">
        <v>60</v>
      </c>
      <c r="AK54" s="1724">
        <v>0</v>
      </c>
      <c r="AL54" s="1724">
        <v>0</v>
      </c>
      <c r="AM54" s="1724">
        <f t="shared" si="54"/>
        <v>60</v>
      </c>
      <c r="AN54" s="491">
        <f t="shared" si="55"/>
        <v>-4.7619047619047616E-2</v>
      </c>
      <c r="AO54" s="1725">
        <v>45</v>
      </c>
      <c r="AP54" s="1724">
        <v>0</v>
      </c>
      <c r="AQ54" s="1724">
        <v>0</v>
      </c>
      <c r="AR54" s="1724">
        <f t="shared" si="56"/>
        <v>45</v>
      </c>
      <c r="AS54" s="491">
        <f t="shared" si="57"/>
        <v>-0.25</v>
      </c>
    </row>
    <row r="55" spans="1:45" x14ac:dyDescent="0.25">
      <c r="A55" s="969" t="s">
        <v>1040</v>
      </c>
      <c r="B55" s="1245">
        <v>8</v>
      </c>
      <c r="C55" s="1245">
        <v>0</v>
      </c>
      <c r="D55" s="1245">
        <v>0</v>
      </c>
      <c r="E55" s="1723">
        <f t="shared" si="43"/>
        <v>8</v>
      </c>
      <c r="F55" s="1730">
        <v>0</v>
      </c>
      <c r="G55" s="1245">
        <v>33</v>
      </c>
      <c r="H55" s="1245">
        <v>0</v>
      </c>
      <c r="I55" s="1724">
        <f t="shared" si="44"/>
        <v>33</v>
      </c>
      <c r="J55" s="491">
        <f t="shared" si="45"/>
        <v>3.125</v>
      </c>
      <c r="K55" s="1725">
        <v>0</v>
      </c>
      <c r="L55" s="1724">
        <v>0</v>
      </c>
      <c r="M55" s="1724">
        <v>0</v>
      </c>
      <c r="N55" s="1724">
        <f t="shared" si="46"/>
        <v>0</v>
      </c>
      <c r="O55" s="491">
        <f t="shared" si="47"/>
        <v>-1</v>
      </c>
      <c r="P55" s="1727">
        <v>0</v>
      </c>
      <c r="Q55" s="1727">
        <v>12</v>
      </c>
      <c r="R55" s="1727">
        <v>0</v>
      </c>
      <c r="S55" s="1727">
        <f>SUM(P55:R55)</f>
        <v>12</v>
      </c>
      <c r="T55" s="514">
        <f t="shared" si="48"/>
        <v>1</v>
      </c>
      <c r="U55" s="1725">
        <v>0</v>
      </c>
      <c r="V55" s="1724">
        <v>6</v>
      </c>
      <c r="W55" s="1724">
        <v>0</v>
      </c>
      <c r="X55" s="1724">
        <f t="shared" si="49"/>
        <v>6</v>
      </c>
      <c r="Y55" s="491">
        <f t="shared" si="41"/>
        <v>-0.5</v>
      </c>
      <c r="Z55" s="1725">
        <v>0</v>
      </c>
      <c r="AA55" s="1724">
        <v>18</v>
      </c>
      <c r="AB55" s="1724">
        <v>0</v>
      </c>
      <c r="AC55" s="1724">
        <f t="shared" si="50"/>
        <v>18</v>
      </c>
      <c r="AD55" s="491">
        <f t="shared" si="51"/>
        <v>2</v>
      </c>
      <c r="AE55" s="1725">
        <v>0</v>
      </c>
      <c r="AF55" s="1724">
        <v>3</v>
      </c>
      <c r="AG55" s="1724">
        <v>0</v>
      </c>
      <c r="AH55" s="1724">
        <f t="shared" si="52"/>
        <v>3</v>
      </c>
      <c r="AI55" s="491">
        <f t="shared" si="53"/>
        <v>-0.83333333333333337</v>
      </c>
      <c r="AJ55" s="1725">
        <v>21</v>
      </c>
      <c r="AK55" s="1724">
        <v>3</v>
      </c>
      <c r="AL55" s="1724">
        <v>0</v>
      </c>
      <c r="AM55" s="1724">
        <f t="shared" si="54"/>
        <v>24</v>
      </c>
      <c r="AN55" s="491">
        <f t="shared" si="55"/>
        <v>7</v>
      </c>
      <c r="AO55" s="1725">
        <v>6</v>
      </c>
      <c r="AP55" s="1724">
        <v>24</v>
      </c>
      <c r="AQ55" s="1724">
        <v>0</v>
      </c>
      <c r="AR55" s="1724">
        <f t="shared" si="56"/>
        <v>30</v>
      </c>
      <c r="AS55" s="491">
        <f t="shared" si="57"/>
        <v>0.25</v>
      </c>
    </row>
    <row r="56" spans="1:45" s="484" customFormat="1" ht="13.8" x14ac:dyDescent="0.25">
      <c r="A56" s="970" t="s">
        <v>1015</v>
      </c>
      <c r="B56" s="1259">
        <f>SUM(B50:B55)</f>
        <v>89</v>
      </c>
      <c r="C56" s="1259">
        <f t="shared" ref="C56:H56" si="58">SUM(C50:C55)</f>
        <v>138</v>
      </c>
      <c r="D56" s="1259">
        <f t="shared" si="58"/>
        <v>0</v>
      </c>
      <c r="E56" s="495">
        <f t="shared" si="58"/>
        <v>227</v>
      </c>
      <c r="F56" s="1025">
        <f t="shared" si="58"/>
        <v>39</v>
      </c>
      <c r="G56" s="1732">
        <f t="shared" si="58"/>
        <v>95</v>
      </c>
      <c r="H56" s="1732">
        <f t="shared" si="58"/>
        <v>0</v>
      </c>
      <c r="I56" s="1732">
        <f>SUM(I50:I55)</f>
        <v>134</v>
      </c>
      <c r="J56" s="496">
        <f t="shared" si="45"/>
        <v>-0.40969162995594716</v>
      </c>
      <c r="K56" s="1732">
        <f t="shared" ref="K56:S56" si="59">SUM(K50:K55)</f>
        <v>60</v>
      </c>
      <c r="L56" s="1259">
        <f t="shared" si="59"/>
        <v>48</v>
      </c>
      <c r="M56" s="1259">
        <f t="shared" si="59"/>
        <v>0</v>
      </c>
      <c r="N56" s="1259">
        <f t="shared" si="59"/>
        <v>108</v>
      </c>
      <c r="O56" s="496">
        <f t="shared" si="47"/>
        <v>-0.19402985074626866</v>
      </c>
      <c r="P56" s="1048">
        <f t="shared" si="59"/>
        <v>51</v>
      </c>
      <c r="Q56" s="1048">
        <f t="shared" si="59"/>
        <v>136</v>
      </c>
      <c r="R56" s="1048">
        <f t="shared" si="59"/>
        <v>0</v>
      </c>
      <c r="S56" s="1048">
        <f t="shared" si="59"/>
        <v>187</v>
      </c>
      <c r="T56" s="543">
        <f t="shared" si="48"/>
        <v>0.73148148148148151</v>
      </c>
      <c r="U56" s="1732">
        <f>SUM(U50:U55)</f>
        <v>45</v>
      </c>
      <c r="V56" s="1259">
        <f>SUM(V50:V55)</f>
        <v>92</v>
      </c>
      <c r="W56" s="1259">
        <f>SUM(W50:W55)</f>
        <v>0</v>
      </c>
      <c r="X56" s="1259">
        <f>SUM(X50:X55)</f>
        <v>137</v>
      </c>
      <c r="Y56" s="496">
        <f t="shared" si="41"/>
        <v>-0.26737967914438504</v>
      </c>
      <c r="Z56" s="1732">
        <f>SUM(Z50:Z55)</f>
        <v>33</v>
      </c>
      <c r="AA56" s="1259">
        <f>SUM(AA50:AA55)</f>
        <v>165</v>
      </c>
      <c r="AB56" s="1259">
        <f>SUM(AB50:AB55)</f>
        <v>0</v>
      </c>
      <c r="AC56" s="1259">
        <f>SUM(AC50:AC55)</f>
        <v>198</v>
      </c>
      <c r="AD56" s="496">
        <f t="shared" si="51"/>
        <v>0.44525547445255476</v>
      </c>
      <c r="AE56" s="1732">
        <f>SUM(AE50:AE55)</f>
        <v>99</v>
      </c>
      <c r="AF56" s="1259">
        <f>SUM(AF50:AF55)</f>
        <v>83</v>
      </c>
      <c r="AG56" s="1259">
        <f>SUM(AG50:AG55)</f>
        <v>0</v>
      </c>
      <c r="AH56" s="1259">
        <f>SUM(AH50:AH55)</f>
        <v>182</v>
      </c>
      <c r="AI56" s="496">
        <f t="shared" si="53"/>
        <v>-8.0808080808080815E-2</v>
      </c>
      <c r="AJ56" s="1732">
        <f>SUM(AJ50:AJ55)</f>
        <v>120</v>
      </c>
      <c r="AK56" s="1259">
        <f>SUM(AK50:AK55)</f>
        <v>99</v>
      </c>
      <c r="AL56" s="1259">
        <f>SUM(AL50:AL55)</f>
        <v>0</v>
      </c>
      <c r="AM56" s="1259">
        <f>SUM(AM50:AM55)</f>
        <v>219</v>
      </c>
      <c r="AN56" s="496">
        <f t="shared" si="55"/>
        <v>0.2032967032967033</v>
      </c>
      <c r="AO56" s="1732">
        <f>SUM(AO50:AO55)</f>
        <v>126</v>
      </c>
      <c r="AP56" s="1259">
        <f>SUM(AP50:AP55)</f>
        <v>119</v>
      </c>
      <c r="AQ56" s="1259">
        <f>SUM(AQ50:AQ55)</f>
        <v>0</v>
      </c>
      <c r="AR56" s="1259">
        <f>SUM(AR50:AR55)</f>
        <v>245</v>
      </c>
      <c r="AS56" s="496">
        <f t="shared" si="57"/>
        <v>0.11872146118721461</v>
      </c>
    </row>
    <row r="57" spans="1:45" x14ac:dyDescent="0.25">
      <c r="A57" s="1244" t="s">
        <v>422</v>
      </c>
      <c r="B57" s="1244"/>
      <c r="C57" s="1244"/>
      <c r="D57" s="1244"/>
      <c r="E57" s="1719"/>
      <c r="F57" s="1716"/>
      <c r="G57" s="1244"/>
      <c r="H57" s="1244"/>
      <c r="I57" s="1718"/>
      <c r="J57" s="1719"/>
      <c r="K57" s="1717"/>
      <c r="L57" s="1718"/>
      <c r="M57" s="1718"/>
      <c r="N57" s="1718"/>
      <c r="O57" s="1719"/>
      <c r="P57" s="1720"/>
      <c r="Q57" s="1721"/>
      <c r="R57" s="1721"/>
      <c r="S57" s="1721"/>
      <c r="T57" s="1722"/>
      <c r="U57" s="1717"/>
      <c r="V57" s="1718"/>
      <c r="W57" s="1718"/>
      <c r="X57" s="1718"/>
      <c r="Y57" s="1719"/>
      <c r="Z57" s="1717"/>
      <c r="AA57" s="1718"/>
      <c r="AB57" s="1718"/>
      <c r="AC57" s="1718"/>
      <c r="AD57" s="1719"/>
      <c r="AE57" s="1717"/>
      <c r="AF57" s="1718"/>
      <c r="AG57" s="1718"/>
      <c r="AH57" s="1718"/>
      <c r="AI57" s="1719"/>
      <c r="AJ57" s="1717"/>
      <c r="AK57" s="1718"/>
      <c r="AL57" s="1718"/>
      <c r="AM57" s="1718"/>
      <c r="AN57" s="1719"/>
      <c r="AO57" s="1717"/>
      <c r="AP57" s="1718"/>
      <c r="AQ57" s="1718"/>
      <c r="AR57" s="1718"/>
      <c r="AS57" s="1719"/>
    </row>
    <row r="58" spans="1:45" x14ac:dyDescent="0.25">
      <c r="A58" s="1828" t="s">
        <v>1037</v>
      </c>
      <c r="B58" s="1245">
        <v>0</v>
      </c>
      <c r="C58" s="1245">
        <v>1</v>
      </c>
      <c r="D58" s="1245">
        <v>0</v>
      </c>
      <c r="E58" s="1723">
        <f>SUM(B58:D58)</f>
        <v>1</v>
      </c>
      <c r="F58" s="1730">
        <v>1</v>
      </c>
      <c r="G58" s="1245">
        <v>0</v>
      </c>
      <c r="H58" s="1245">
        <v>0</v>
      </c>
      <c r="I58" s="1724">
        <f>SUM(F58:H58)</f>
        <v>1</v>
      </c>
      <c r="J58" s="491">
        <f t="shared" ref="J58:J63" si="60">IF(E58&gt;0,(I58-E58)/E58,(IF(I58=0,"N/A",100%)))</f>
        <v>0</v>
      </c>
      <c r="K58" s="1725">
        <v>0</v>
      </c>
      <c r="L58" s="1724">
        <v>0</v>
      </c>
      <c r="M58" s="1724">
        <v>0</v>
      </c>
      <c r="N58" s="1724">
        <f>SUM(K58:M58)</f>
        <v>0</v>
      </c>
      <c r="O58" s="491">
        <f t="shared" ref="O58:O63" si="61">IF(I58&gt;0,(N58-I58)/I58,(IF(N58=0,"N/A",100%)))</f>
        <v>-1</v>
      </c>
      <c r="P58" s="1727">
        <v>2</v>
      </c>
      <c r="Q58" s="1727">
        <v>1</v>
      </c>
      <c r="R58" s="1727">
        <v>0</v>
      </c>
      <c r="S58" s="1727">
        <f>SUM(P58:R58)</f>
        <v>3</v>
      </c>
      <c r="T58" s="514">
        <f t="shared" ref="T58:T63" si="62">IF(N58&gt;0,(S58-N58)/N58,(IF(S58=0,"N/A",100%)))</f>
        <v>1</v>
      </c>
      <c r="U58" s="1725">
        <v>1</v>
      </c>
      <c r="V58" s="1724">
        <v>1</v>
      </c>
      <c r="W58" s="1724">
        <v>0</v>
      </c>
      <c r="X58" s="1724">
        <f>SUM(U58:W58)</f>
        <v>2</v>
      </c>
      <c r="Y58" s="491">
        <f t="shared" si="41"/>
        <v>-0.33333333333333331</v>
      </c>
      <c r="Z58" s="1725">
        <v>0</v>
      </c>
      <c r="AA58" s="1724">
        <v>0</v>
      </c>
      <c r="AB58" s="1724">
        <v>0</v>
      </c>
      <c r="AC58" s="1724">
        <f>SUM(Z58:AB58)</f>
        <v>0</v>
      </c>
      <c r="AD58" s="491">
        <f t="shared" ref="AD58:AD63" si="63">IF(X58&gt;0,(AC58-X58)/X58,(IF(AC58=0,"N/A",100%)))</f>
        <v>-1</v>
      </c>
      <c r="AE58" s="1725">
        <v>0</v>
      </c>
      <c r="AF58" s="1724">
        <v>0</v>
      </c>
      <c r="AG58" s="1724">
        <v>0</v>
      </c>
      <c r="AH58" s="1724">
        <f>SUM(AE58:AG58)</f>
        <v>0</v>
      </c>
      <c r="AI58" s="491" t="str">
        <f t="shared" ref="AI58:AI63" si="64">IF(AC58&gt;0,(AH58-AC58)/AC58,(IF(AH58=0,"N/A",100%)))</f>
        <v>N/A</v>
      </c>
      <c r="AJ58" s="1725">
        <v>0</v>
      </c>
      <c r="AK58" s="1724">
        <v>0</v>
      </c>
      <c r="AL58" s="1724">
        <v>0</v>
      </c>
      <c r="AM58" s="1724">
        <f>SUM(AJ58:AL58)</f>
        <v>0</v>
      </c>
      <c r="AN58" s="491" t="str">
        <f t="shared" ref="AN58:AN63" si="65">IF(AH58&gt;0,(AM58-AH58)/AH58,(IF(AM58=0,"N/A",100%)))</f>
        <v>N/A</v>
      </c>
      <c r="AO58" s="1725">
        <v>0</v>
      </c>
      <c r="AP58" s="1724">
        <v>0</v>
      </c>
      <c r="AQ58" s="1724">
        <v>0</v>
      </c>
      <c r="AR58" s="1724">
        <f>SUM(AO58:AQ58)</f>
        <v>0</v>
      </c>
      <c r="AS58" s="491" t="str">
        <f t="shared" ref="AS58:AS63" si="66">IF(AM58&gt;0,(AR58-AM58)/AM58,(IF(AR58=0,"N/A",100%)))</f>
        <v>N/A</v>
      </c>
    </row>
    <row r="59" spans="1:45" x14ac:dyDescent="0.25">
      <c r="A59" s="1828" t="s">
        <v>1038</v>
      </c>
      <c r="B59" s="1245">
        <v>93</v>
      </c>
      <c r="C59" s="1245">
        <v>6</v>
      </c>
      <c r="D59" s="1245">
        <v>0</v>
      </c>
      <c r="E59" s="1723">
        <f>SUM(B59:D59)</f>
        <v>99</v>
      </c>
      <c r="F59" s="1730">
        <v>36</v>
      </c>
      <c r="G59" s="1245">
        <v>0</v>
      </c>
      <c r="H59" s="1245">
        <v>0</v>
      </c>
      <c r="I59" s="1724">
        <f>SUM(F59:H59)</f>
        <v>36</v>
      </c>
      <c r="J59" s="491">
        <f t="shared" si="60"/>
        <v>-0.63636363636363635</v>
      </c>
      <c r="K59" s="1725">
        <v>45</v>
      </c>
      <c r="L59" s="1724">
        <v>0</v>
      </c>
      <c r="M59" s="1724">
        <v>0</v>
      </c>
      <c r="N59" s="1724">
        <f>SUM(K59:M59)</f>
        <v>45</v>
      </c>
      <c r="O59" s="491">
        <f t="shared" si="61"/>
        <v>0.25</v>
      </c>
      <c r="P59" s="1727">
        <v>18</v>
      </c>
      <c r="Q59" s="1727">
        <v>3</v>
      </c>
      <c r="R59" s="1727">
        <v>0</v>
      </c>
      <c r="S59" s="1727">
        <f>SUM(P59:R59)</f>
        <v>21</v>
      </c>
      <c r="T59" s="514">
        <f t="shared" si="62"/>
        <v>-0.53333333333333333</v>
      </c>
      <c r="U59" s="1725">
        <v>3</v>
      </c>
      <c r="V59" s="1724">
        <v>2</v>
      </c>
      <c r="W59" s="1724">
        <v>0</v>
      </c>
      <c r="X59" s="1724">
        <f>SUM(U59:W59)</f>
        <v>5</v>
      </c>
      <c r="Y59" s="491">
        <f t="shared" si="41"/>
        <v>-0.76190476190476186</v>
      </c>
      <c r="Z59" s="1725">
        <v>45</v>
      </c>
      <c r="AA59" s="1724">
        <v>3</v>
      </c>
      <c r="AB59" s="1724">
        <v>0</v>
      </c>
      <c r="AC59" s="1724">
        <f>SUM(Z59:AB59)</f>
        <v>48</v>
      </c>
      <c r="AD59" s="491">
        <f t="shared" si="63"/>
        <v>8.6</v>
      </c>
      <c r="AE59" s="1725">
        <v>42</v>
      </c>
      <c r="AF59" s="1724">
        <v>0</v>
      </c>
      <c r="AG59" s="1724">
        <v>0</v>
      </c>
      <c r="AH59" s="1724">
        <f>SUM(AE59:AG59)</f>
        <v>42</v>
      </c>
      <c r="AI59" s="491">
        <f t="shared" si="64"/>
        <v>-0.125</v>
      </c>
      <c r="AJ59" s="1725">
        <v>22</v>
      </c>
      <c r="AK59" s="1724">
        <v>0</v>
      </c>
      <c r="AL59" s="1724">
        <v>0</v>
      </c>
      <c r="AM59" s="1724">
        <f>SUM(AJ59:AL59)</f>
        <v>22</v>
      </c>
      <c r="AN59" s="491">
        <f t="shared" si="65"/>
        <v>-0.47619047619047616</v>
      </c>
      <c r="AO59" s="1725">
        <v>46</v>
      </c>
      <c r="AP59" s="1724">
        <v>6</v>
      </c>
      <c r="AQ59" s="1724">
        <v>0</v>
      </c>
      <c r="AR59" s="1724">
        <f>SUM(AO59:AQ59)</f>
        <v>52</v>
      </c>
      <c r="AS59" s="491">
        <f t="shared" si="66"/>
        <v>1.3636363636363635</v>
      </c>
    </row>
    <row r="60" spans="1:45" x14ac:dyDescent="0.25">
      <c r="A60" s="1828" t="s">
        <v>1552</v>
      </c>
      <c r="B60" s="1245">
        <v>0</v>
      </c>
      <c r="C60" s="1245">
        <v>0</v>
      </c>
      <c r="D60" s="1245">
        <v>0</v>
      </c>
      <c r="E60" s="1723">
        <f>SUM(B60:D60)</f>
        <v>0</v>
      </c>
      <c r="F60" s="1730">
        <v>0</v>
      </c>
      <c r="G60" s="1245">
        <v>0</v>
      </c>
      <c r="H60" s="1245">
        <v>0</v>
      </c>
      <c r="I60" s="1724">
        <f>SUM(F60:H60)</f>
        <v>0</v>
      </c>
      <c r="J60" s="491" t="str">
        <f t="shared" si="60"/>
        <v>N/A</v>
      </c>
      <c r="K60" s="1725">
        <v>0</v>
      </c>
      <c r="L60" s="1724">
        <v>0</v>
      </c>
      <c r="M60" s="1724">
        <v>0</v>
      </c>
      <c r="N60" s="1724">
        <f>SUM(K60:M60)</f>
        <v>0</v>
      </c>
      <c r="O60" s="491" t="str">
        <f t="shared" si="61"/>
        <v>N/A</v>
      </c>
      <c r="P60" s="1727">
        <v>0</v>
      </c>
      <c r="Q60" s="1727">
        <v>0</v>
      </c>
      <c r="R60" s="1727">
        <v>0</v>
      </c>
      <c r="S60" s="1727">
        <f>SUM(P60:R60)</f>
        <v>0</v>
      </c>
      <c r="T60" s="514" t="str">
        <f t="shared" si="62"/>
        <v>N/A</v>
      </c>
      <c r="U60" s="1725">
        <v>0</v>
      </c>
      <c r="V60" s="1724">
        <v>0</v>
      </c>
      <c r="W60" s="1724">
        <v>0</v>
      </c>
      <c r="X60" s="1724">
        <f>SUM(U60:W60)</f>
        <v>0</v>
      </c>
      <c r="Y60" s="491" t="str">
        <f t="shared" si="41"/>
        <v>N/A</v>
      </c>
      <c r="Z60" s="1725">
        <v>0</v>
      </c>
      <c r="AA60" s="1724">
        <v>0</v>
      </c>
      <c r="AB60" s="1724">
        <v>0</v>
      </c>
      <c r="AC60" s="1724">
        <f>SUM(Z60:AB60)</f>
        <v>0</v>
      </c>
      <c r="AD60" s="491" t="str">
        <f t="shared" si="63"/>
        <v>N/A</v>
      </c>
      <c r="AE60" s="1725">
        <v>0</v>
      </c>
      <c r="AF60" s="1724">
        <v>0</v>
      </c>
      <c r="AG60" s="1724">
        <v>0</v>
      </c>
      <c r="AH60" s="1724">
        <f>SUM(AE60:AG60)</f>
        <v>0</v>
      </c>
      <c r="AI60" s="491" t="str">
        <f t="shared" si="64"/>
        <v>N/A</v>
      </c>
      <c r="AJ60" s="1725">
        <v>0</v>
      </c>
      <c r="AK60" s="1724">
        <v>0</v>
      </c>
      <c r="AL60" s="1724">
        <v>0</v>
      </c>
      <c r="AM60" s="1724">
        <f>SUM(AJ60:AL60)</f>
        <v>0</v>
      </c>
      <c r="AN60" s="491" t="str">
        <f t="shared" si="65"/>
        <v>N/A</v>
      </c>
      <c r="AO60" s="1725">
        <v>0</v>
      </c>
      <c r="AP60" s="1724">
        <v>0</v>
      </c>
      <c r="AQ60" s="1724">
        <v>0</v>
      </c>
      <c r="AR60" s="1724">
        <f>SUM(AO60:AQ60)</f>
        <v>0</v>
      </c>
      <c r="AS60" s="491" t="str">
        <f t="shared" si="66"/>
        <v>N/A</v>
      </c>
    </row>
    <row r="61" spans="1:45" x14ac:dyDescent="0.25">
      <c r="A61" s="1828" t="s">
        <v>1553</v>
      </c>
      <c r="B61" s="1245">
        <v>0</v>
      </c>
      <c r="C61" s="1245">
        <v>0</v>
      </c>
      <c r="D61" s="1245">
        <v>0</v>
      </c>
      <c r="E61" s="1723">
        <f>SUM(B61:D61)</f>
        <v>0</v>
      </c>
      <c r="F61" s="1730">
        <v>0</v>
      </c>
      <c r="G61" s="1245">
        <v>0</v>
      </c>
      <c r="H61" s="1245">
        <v>0</v>
      </c>
      <c r="I61" s="1724">
        <f>SUM(F61:H61)</f>
        <v>0</v>
      </c>
      <c r="J61" s="491" t="str">
        <f t="shared" si="60"/>
        <v>N/A</v>
      </c>
      <c r="K61" s="1725">
        <v>0</v>
      </c>
      <c r="L61" s="1724">
        <v>0</v>
      </c>
      <c r="M61" s="1724">
        <v>0</v>
      </c>
      <c r="N61" s="1724">
        <f>SUM(K61:M61)</f>
        <v>0</v>
      </c>
      <c r="O61" s="491" t="str">
        <f t="shared" si="61"/>
        <v>N/A</v>
      </c>
      <c r="P61" s="1727">
        <v>0</v>
      </c>
      <c r="Q61" s="1727">
        <v>0</v>
      </c>
      <c r="R61" s="1727">
        <v>0</v>
      </c>
      <c r="S61" s="1727">
        <f>SUM(P61:R61)</f>
        <v>0</v>
      </c>
      <c r="T61" s="514" t="str">
        <f t="shared" si="62"/>
        <v>N/A</v>
      </c>
      <c r="U61" s="1725">
        <v>0</v>
      </c>
      <c r="V61" s="1724">
        <v>0</v>
      </c>
      <c r="W61" s="1724">
        <v>0</v>
      </c>
      <c r="X61" s="1724">
        <f>SUM(U61:W61)</f>
        <v>0</v>
      </c>
      <c r="Y61" s="491" t="str">
        <f t="shared" si="41"/>
        <v>N/A</v>
      </c>
      <c r="Z61" s="1725">
        <v>0</v>
      </c>
      <c r="AA61" s="1724">
        <v>2</v>
      </c>
      <c r="AB61" s="1724">
        <v>0</v>
      </c>
      <c r="AC61" s="1724">
        <f>SUM(Z61:AB61)</f>
        <v>2</v>
      </c>
      <c r="AD61" s="491">
        <f t="shared" si="63"/>
        <v>1</v>
      </c>
      <c r="AE61" s="1725">
        <v>0</v>
      </c>
      <c r="AF61" s="1724">
        <v>0</v>
      </c>
      <c r="AG61" s="1724">
        <v>0</v>
      </c>
      <c r="AH61" s="1724">
        <f>SUM(AE61:AG61)</f>
        <v>0</v>
      </c>
      <c r="AI61" s="491">
        <f t="shared" si="64"/>
        <v>-1</v>
      </c>
      <c r="AJ61" s="1725">
        <v>0</v>
      </c>
      <c r="AK61" s="1724">
        <v>2</v>
      </c>
      <c r="AL61" s="1724">
        <v>0</v>
      </c>
      <c r="AM61" s="1724">
        <f>SUM(AJ61:AL61)</f>
        <v>2</v>
      </c>
      <c r="AN61" s="491">
        <f t="shared" si="65"/>
        <v>1</v>
      </c>
      <c r="AO61" s="1725">
        <v>0</v>
      </c>
      <c r="AP61" s="1724">
        <v>0</v>
      </c>
      <c r="AQ61" s="1724">
        <v>0</v>
      </c>
      <c r="AR61" s="1724">
        <f>SUM(AO61:AQ61)</f>
        <v>0</v>
      </c>
      <c r="AS61" s="491">
        <f t="shared" si="66"/>
        <v>-1</v>
      </c>
    </row>
    <row r="62" spans="1:45" x14ac:dyDescent="0.25">
      <c r="A62" s="1828" t="s">
        <v>1554</v>
      </c>
      <c r="B62" s="1245">
        <v>0</v>
      </c>
      <c r="C62" s="1245">
        <v>0</v>
      </c>
      <c r="D62" s="1245">
        <v>0</v>
      </c>
      <c r="E62" s="1723">
        <f>SUM(B62:D62)</f>
        <v>0</v>
      </c>
      <c r="F62" s="1730">
        <v>0</v>
      </c>
      <c r="G62" s="1245">
        <v>0</v>
      </c>
      <c r="H62" s="1245">
        <v>0</v>
      </c>
      <c r="I62" s="1724">
        <f>SUM(F62:H62)</f>
        <v>0</v>
      </c>
      <c r="J62" s="491" t="str">
        <f t="shared" si="60"/>
        <v>N/A</v>
      </c>
      <c r="K62" s="1725">
        <v>0</v>
      </c>
      <c r="L62" s="1724">
        <v>0</v>
      </c>
      <c r="M62" s="1724">
        <v>0</v>
      </c>
      <c r="N62" s="1724">
        <f>SUM(K62:M62)</f>
        <v>0</v>
      </c>
      <c r="O62" s="491" t="str">
        <f t="shared" si="61"/>
        <v>N/A</v>
      </c>
      <c r="P62" s="1727">
        <v>0</v>
      </c>
      <c r="Q62" s="1727">
        <v>0</v>
      </c>
      <c r="R62" s="1727">
        <v>0</v>
      </c>
      <c r="S62" s="1727">
        <f>SUM(P62:R62)</f>
        <v>0</v>
      </c>
      <c r="T62" s="514" t="str">
        <f t="shared" si="62"/>
        <v>N/A</v>
      </c>
      <c r="U62" s="1725">
        <v>0</v>
      </c>
      <c r="V62" s="1724">
        <v>0</v>
      </c>
      <c r="W62" s="1724">
        <v>0</v>
      </c>
      <c r="X62" s="1724">
        <f>SUM(U62:W62)</f>
        <v>0</v>
      </c>
      <c r="Y62" s="491" t="str">
        <f t="shared" si="41"/>
        <v>N/A</v>
      </c>
      <c r="Z62" s="1725">
        <v>0</v>
      </c>
      <c r="AA62" s="1724">
        <v>0</v>
      </c>
      <c r="AB62" s="1724">
        <v>0</v>
      </c>
      <c r="AC62" s="1724">
        <f>SUM(Z62:AB62)</f>
        <v>0</v>
      </c>
      <c r="AD62" s="491" t="str">
        <f t="shared" si="63"/>
        <v>N/A</v>
      </c>
      <c r="AE62" s="1725">
        <v>0</v>
      </c>
      <c r="AF62" s="1724">
        <v>0</v>
      </c>
      <c r="AG62" s="1724">
        <v>0</v>
      </c>
      <c r="AH62" s="1724">
        <f>SUM(AE62:AG62)</f>
        <v>0</v>
      </c>
      <c r="AI62" s="491" t="str">
        <f t="shared" si="64"/>
        <v>N/A</v>
      </c>
      <c r="AJ62" s="1725">
        <v>0</v>
      </c>
      <c r="AK62" s="1724">
        <v>1</v>
      </c>
      <c r="AL62" s="1724">
        <v>0</v>
      </c>
      <c r="AM62" s="1724">
        <f>SUM(AJ62:AL62)</f>
        <v>1</v>
      </c>
      <c r="AN62" s="491">
        <f t="shared" si="65"/>
        <v>1</v>
      </c>
      <c r="AO62" s="1725">
        <v>0</v>
      </c>
      <c r="AP62" s="1724">
        <v>0</v>
      </c>
      <c r="AQ62" s="1724">
        <v>0</v>
      </c>
      <c r="AR62" s="1724">
        <f>SUM(AO62:AQ62)</f>
        <v>0</v>
      </c>
      <c r="AS62" s="491">
        <f t="shared" si="66"/>
        <v>-1</v>
      </c>
    </row>
    <row r="63" spans="1:45" s="484" customFormat="1" ht="13.8" x14ac:dyDescent="0.25">
      <c r="A63" s="1830" t="s">
        <v>1015</v>
      </c>
      <c r="B63" s="1259">
        <f t="shared" ref="B63:I63" si="67">SUM(B58:B62)</f>
        <v>93</v>
      </c>
      <c r="C63" s="1259">
        <f t="shared" si="67"/>
        <v>7</v>
      </c>
      <c r="D63" s="1259">
        <f t="shared" si="67"/>
        <v>0</v>
      </c>
      <c r="E63" s="495">
        <f t="shared" si="67"/>
        <v>100</v>
      </c>
      <c r="F63" s="1732">
        <f t="shared" si="67"/>
        <v>37</v>
      </c>
      <c r="G63" s="1259">
        <f t="shared" si="67"/>
        <v>0</v>
      </c>
      <c r="H63" s="1259">
        <f t="shared" si="67"/>
        <v>0</v>
      </c>
      <c r="I63" s="1259">
        <f t="shared" si="67"/>
        <v>37</v>
      </c>
      <c r="J63" s="496">
        <f t="shared" si="60"/>
        <v>-0.63</v>
      </c>
      <c r="K63" s="1259">
        <f>SUM(K58:K62)</f>
        <v>45</v>
      </c>
      <c r="L63" s="1259">
        <f>SUM(L58:L62)</f>
        <v>0</v>
      </c>
      <c r="M63" s="1259">
        <f>SUM(M58:M62)</f>
        <v>0</v>
      </c>
      <c r="N63" s="1259">
        <f>SUM(N58:N62)</f>
        <v>45</v>
      </c>
      <c r="O63" s="496">
        <f t="shared" si="61"/>
        <v>0.21621621621621623</v>
      </c>
      <c r="P63" s="1259">
        <f>SUM(P58:P62)</f>
        <v>20</v>
      </c>
      <c r="Q63" s="1259">
        <f>SUM(Q58:Q62)</f>
        <v>4</v>
      </c>
      <c r="R63" s="1259">
        <f>SUM(R58:R62)</f>
        <v>0</v>
      </c>
      <c r="S63" s="1259">
        <f>SUM(S58:S62)</f>
        <v>24</v>
      </c>
      <c r="T63" s="543">
        <f t="shared" si="62"/>
        <v>-0.46666666666666667</v>
      </c>
      <c r="U63" s="1259">
        <f>SUM(U58:U62)</f>
        <v>4</v>
      </c>
      <c r="V63" s="1259">
        <f>SUM(V58:V62)</f>
        <v>3</v>
      </c>
      <c r="W63" s="1259">
        <f>SUM(W58:W62)</f>
        <v>0</v>
      </c>
      <c r="X63" s="1259">
        <f>SUM(X58:X62)</f>
        <v>7</v>
      </c>
      <c r="Y63" s="496">
        <f t="shared" si="41"/>
        <v>-0.70833333333333337</v>
      </c>
      <c r="Z63" s="1259">
        <f>SUM(Z58:Z62)</f>
        <v>45</v>
      </c>
      <c r="AA63" s="1259">
        <f>SUM(AA58:AA62)</f>
        <v>5</v>
      </c>
      <c r="AB63" s="1259">
        <f>SUM(AB58:AB62)</f>
        <v>0</v>
      </c>
      <c r="AC63" s="1259">
        <f>SUM(AC58:AC62)</f>
        <v>50</v>
      </c>
      <c r="AD63" s="496">
        <f t="shared" si="63"/>
        <v>6.1428571428571432</v>
      </c>
      <c r="AE63" s="1259">
        <f>SUM(AE58:AE62)</f>
        <v>42</v>
      </c>
      <c r="AF63" s="1259">
        <f>SUM(AF58:AF62)</f>
        <v>0</v>
      </c>
      <c r="AG63" s="1259">
        <f>SUM(AG58:AG62)</f>
        <v>0</v>
      </c>
      <c r="AH63" s="1259">
        <f>SUM(AH58:AH62)</f>
        <v>42</v>
      </c>
      <c r="AI63" s="496">
        <f t="shared" si="64"/>
        <v>-0.16</v>
      </c>
      <c r="AJ63" s="1259">
        <f>SUM(AJ58:AJ62)</f>
        <v>22</v>
      </c>
      <c r="AK63" s="1259">
        <f>SUM(AK58:AK62)</f>
        <v>3</v>
      </c>
      <c r="AL63" s="1259">
        <f>SUM(AL58:AL62)</f>
        <v>0</v>
      </c>
      <c r="AM63" s="1259">
        <f>SUM(AM58:AM62)</f>
        <v>25</v>
      </c>
      <c r="AN63" s="496">
        <f t="shared" si="65"/>
        <v>-0.40476190476190477</v>
      </c>
      <c r="AO63" s="1259">
        <f>SUM(AO58:AO62)</f>
        <v>46</v>
      </c>
      <c r="AP63" s="1259">
        <f>SUM(AP58:AP62)</f>
        <v>6</v>
      </c>
      <c r="AQ63" s="1259">
        <f>SUM(AQ58:AQ62)</f>
        <v>0</v>
      </c>
      <c r="AR63" s="1259">
        <f>SUM(AR58:AR62)</f>
        <v>52</v>
      </c>
      <c r="AS63" s="496">
        <f t="shared" si="66"/>
        <v>1.08</v>
      </c>
    </row>
    <row r="64" spans="1:45" x14ac:dyDescent="0.25">
      <c r="A64" s="968" t="s">
        <v>436</v>
      </c>
      <c r="B64" s="1244"/>
      <c r="C64" s="1244"/>
      <c r="D64" s="1244"/>
      <c r="E64" s="1719"/>
      <c r="F64" s="1716"/>
      <c r="G64" s="1244"/>
      <c r="H64" s="1244"/>
      <c r="I64" s="1718"/>
      <c r="J64" s="1719"/>
      <c r="K64" s="1717"/>
      <c r="L64" s="1718"/>
      <c r="M64" s="1718"/>
      <c r="N64" s="1718"/>
      <c r="O64" s="1719"/>
      <c r="P64" s="1720"/>
      <c r="Q64" s="1721"/>
      <c r="R64" s="1721"/>
      <c r="S64" s="1721"/>
      <c r="T64" s="1722"/>
      <c r="U64" s="1717"/>
      <c r="V64" s="1718"/>
      <c r="W64" s="1718"/>
      <c r="X64" s="1718"/>
      <c r="Y64" s="1719"/>
      <c r="Z64" s="1717"/>
      <c r="AA64" s="1718"/>
      <c r="AB64" s="1718"/>
      <c r="AC64" s="1718"/>
      <c r="AD64" s="1719"/>
      <c r="AE64" s="1717"/>
      <c r="AF64" s="1718"/>
      <c r="AG64" s="1718"/>
      <c r="AH64" s="1718"/>
      <c r="AI64" s="1719"/>
      <c r="AJ64" s="1717"/>
      <c r="AK64" s="1718"/>
      <c r="AL64" s="1718"/>
      <c r="AM64" s="1718"/>
      <c r="AN64" s="1719"/>
      <c r="AO64" s="1717"/>
      <c r="AP64" s="1718"/>
      <c r="AQ64" s="1718"/>
      <c r="AR64" s="1718"/>
      <c r="AS64" s="1719"/>
    </row>
    <row r="65" spans="1:45" x14ac:dyDescent="0.25">
      <c r="A65" s="969" t="s">
        <v>1046</v>
      </c>
      <c r="B65" s="1245">
        <v>0</v>
      </c>
      <c r="C65" s="1245">
        <v>0</v>
      </c>
      <c r="D65" s="1245">
        <v>0</v>
      </c>
      <c r="E65" s="1723">
        <f t="shared" ref="E65:E70" si="68">SUM(B65:D65)</f>
        <v>0</v>
      </c>
      <c r="F65" s="1730">
        <v>0</v>
      </c>
      <c r="G65" s="1245">
        <v>0</v>
      </c>
      <c r="H65" s="1245">
        <v>0</v>
      </c>
      <c r="I65" s="1724">
        <f t="shared" ref="I65:I70" si="69">SUM(F65:H65)</f>
        <v>0</v>
      </c>
      <c r="J65" s="491" t="str">
        <f t="shared" ref="J65:J71" si="70">IF(E65&gt;0,(I65-E65)/E65,(IF(I65=0,"N/A",100%)))</f>
        <v>N/A</v>
      </c>
      <c r="K65" s="1725">
        <v>0</v>
      </c>
      <c r="L65" s="1724">
        <v>0</v>
      </c>
      <c r="M65" s="1724">
        <v>0</v>
      </c>
      <c r="N65" s="1724">
        <f>SUM(K65:M65)</f>
        <v>0</v>
      </c>
      <c r="O65" s="491" t="str">
        <f t="shared" ref="O65:O71" si="71">IF(I65&gt;0,(N65-I65)/I65,(IF(N65=0,"N/A",100%)))</f>
        <v>N/A</v>
      </c>
      <c r="P65" s="1727">
        <v>0</v>
      </c>
      <c r="Q65" s="1727">
        <v>0</v>
      </c>
      <c r="R65" s="1727">
        <v>0</v>
      </c>
      <c r="S65" s="1727">
        <f t="shared" ref="S65:S70" si="72">SUM(P65:R65)</f>
        <v>0</v>
      </c>
      <c r="T65" s="514" t="str">
        <f t="shared" ref="T65:T71" si="73">IF(N65&gt;0,(S65-N65)/N65,(IF(S65=0,"N/A",100%)))</f>
        <v>N/A</v>
      </c>
      <c r="U65" s="1725">
        <v>0</v>
      </c>
      <c r="V65" s="1724">
        <v>0</v>
      </c>
      <c r="W65" s="1724">
        <v>0</v>
      </c>
      <c r="X65" s="1724">
        <f t="shared" ref="X65:X70" si="74">SUM(U65:W65)</f>
        <v>0</v>
      </c>
      <c r="Y65" s="491" t="str">
        <f>IF(S65&gt;0,(X65-S65)/S65,(IF(X65=0,"N/A",100%)))</f>
        <v>N/A</v>
      </c>
      <c r="Z65" s="1725">
        <v>21</v>
      </c>
      <c r="AA65" s="1724">
        <v>0</v>
      </c>
      <c r="AB65" s="1724">
        <v>0</v>
      </c>
      <c r="AC65" s="1724">
        <f t="shared" ref="AC65:AC70" si="75">SUM(Z65:AB65)</f>
        <v>21</v>
      </c>
      <c r="AD65" s="491">
        <f t="shared" ref="AD65:AD71" si="76">IF(X65&gt;0,(AC65-X65)/X65,(IF(AC65=0,"N/A",100%)))</f>
        <v>1</v>
      </c>
      <c r="AE65" s="1725">
        <v>12</v>
      </c>
      <c r="AF65" s="1724">
        <v>0</v>
      </c>
      <c r="AG65" s="1724">
        <v>0</v>
      </c>
      <c r="AH65" s="1724">
        <f t="shared" ref="AH65:AH70" si="77">SUM(AE65:AG65)</f>
        <v>12</v>
      </c>
      <c r="AI65" s="491">
        <f t="shared" ref="AI65:AI71" si="78">IF(AC65&gt;0,(AH65-AC65)/AC65,(IF(AH65=0,"N/A",100%)))</f>
        <v>-0.42857142857142855</v>
      </c>
      <c r="AJ65" s="1725">
        <v>24</v>
      </c>
      <c r="AK65" s="1724">
        <v>0</v>
      </c>
      <c r="AL65" s="1724">
        <v>0</v>
      </c>
      <c r="AM65" s="1724">
        <f t="shared" ref="AM65:AM70" si="79">SUM(AJ65:AL65)</f>
        <v>24</v>
      </c>
      <c r="AN65" s="491">
        <f t="shared" ref="AN65:AN71" si="80">IF(AH65&gt;0,(AM65-AH65)/AH65,(IF(AM65=0,"N/A",100%)))</f>
        <v>1</v>
      </c>
      <c r="AO65" s="1725">
        <v>3</v>
      </c>
      <c r="AP65" s="1724">
        <v>0</v>
      </c>
      <c r="AQ65" s="1724">
        <v>0</v>
      </c>
      <c r="AR65" s="1724">
        <f t="shared" ref="AR65:AR70" si="81">SUM(AO65:AQ65)</f>
        <v>3</v>
      </c>
      <c r="AS65" s="491">
        <f t="shared" ref="AS65:AS71" si="82">IF(AM65&gt;0,(AR65-AM65)/AM65,(IF(AR65=0,"N/A",100%)))</f>
        <v>-0.875</v>
      </c>
    </row>
    <row r="66" spans="1:45" x14ac:dyDescent="0.25">
      <c r="A66" s="969" t="s">
        <v>1468</v>
      </c>
      <c r="B66" s="1245">
        <v>0</v>
      </c>
      <c r="C66" s="1245">
        <v>0</v>
      </c>
      <c r="D66" s="1245">
        <v>0</v>
      </c>
      <c r="E66" s="1723">
        <f t="shared" si="68"/>
        <v>0</v>
      </c>
      <c r="F66" s="1730">
        <v>0</v>
      </c>
      <c r="G66" s="1245">
        <v>0</v>
      </c>
      <c r="H66" s="1245">
        <v>0</v>
      </c>
      <c r="I66" s="1724">
        <f t="shared" si="69"/>
        <v>0</v>
      </c>
      <c r="J66" s="491" t="str">
        <f t="shared" si="70"/>
        <v>N/A</v>
      </c>
      <c r="K66" s="1725">
        <v>0</v>
      </c>
      <c r="L66" s="1724">
        <v>0</v>
      </c>
      <c r="M66" s="1724">
        <v>0</v>
      </c>
      <c r="N66" s="1724">
        <f>SUM(K66:M66)</f>
        <v>0</v>
      </c>
      <c r="O66" s="491" t="str">
        <f t="shared" si="71"/>
        <v>N/A</v>
      </c>
      <c r="P66" s="1727">
        <v>0</v>
      </c>
      <c r="Q66" s="1727">
        <v>0</v>
      </c>
      <c r="R66" s="1727">
        <v>150</v>
      </c>
      <c r="S66" s="1727">
        <f t="shared" si="72"/>
        <v>150</v>
      </c>
      <c r="T66" s="514">
        <f t="shared" si="73"/>
        <v>1</v>
      </c>
      <c r="U66" s="1725">
        <v>0</v>
      </c>
      <c r="V66" s="1724">
        <v>0</v>
      </c>
      <c r="W66" s="1724">
        <v>156</v>
      </c>
      <c r="X66" s="1724">
        <f t="shared" si="74"/>
        <v>156</v>
      </c>
      <c r="Y66" s="491">
        <f>IF(S66&gt;0,(X66-S66)/S66,(IF(X66=0,"N/A",100%)))</f>
        <v>0.04</v>
      </c>
      <c r="Z66" s="1725">
        <v>0</v>
      </c>
      <c r="AA66" s="1724">
        <v>0</v>
      </c>
      <c r="AB66" s="1724">
        <v>138</v>
      </c>
      <c r="AC66" s="1724">
        <f t="shared" si="75"/>
        <v>138</v>
      </c>
      <c r="AD66" s="491">
        <f t="shared" si="76"/>
        <v>-0.11538461538461539</v>
      </c>
      <c r="AE66" s="1725">
        <v>0</v>
      </c>
      <c r="AF66" s="1724">
        <v>0</v>
      </c>
      <c r="AG66" s="1724">
        <v>0</v>
      </c>
      <c r="AH66" s="1724">
        <f t="shared" si="77"/>
        <v>0</v>
      </c>
      <c r="AI66" s="491">
        <f t="shared" si="78"/>
        <v>-1</v>
      </c>
      <c r="AJ66" s="1725">
        <v>0</v>
      </c>
      <c r="AK66" s="1724">
        <v>0</v>
      </c>
      <c r="AL66" s="1724">
        <v>0</v>
      </c>
      <c r="AM66" s="1724">
        <f t="shared" si="79"/>
        <v>0</v>
      </c>
      <c r="AN66" s="491" t="str">
        <f t="shared" si="80"/>
        <v>N/A</v>
      </c>
      <c r="AO66" s="1725">
        <v>0</v>
      </c>
      <c r="AP66" s="1724">
        <v>0</v>
      </c>
      <c r="AQ66" s="1724">
        <v>0</v>
      </c>
      <c r="AR66" s="1724">
        <f t="shared" si="81"/>
        <v>0</v>
      </c>
      <c r="AS66" s="491" t="str">
        <f t="shared" si="82"/>
        <v>N/A</v>
      </c>
    </row>
    <row r="67" spans="1:45" x14ac:dyDescent="0.25">
      <c r="A67" s="969" t="s">
        <v>1041</v>
      </c>
      <c r="B67" s="1245">
        <v>99</v>
      </c>
      <c r="C67" s="1245">
        <v>111</v>
      </c>
      <c r="D67" s="1245">
        <v>0</v>
      </c>
      <c r="E67" s="1723">
        <f t="shared" si="68"/>
        <v>210</v>
      </c>
      <c r="F67" s="1730">
        <v>33</v>
      </c>
      <c r="G67" s="1245">
        <v>108</v>
      </c>
      <c r="H67" s="1245">
        <v>0</v>
      </c>
      <c r="I67" s="1724">
        <f t="shared" si="69"/>
        <v>141</v>
      </c>
      <c r="J67" s="491">
        <f t="shared" si="70"/>
        <v>-0.32857142857142857</v>
      </c>
      <c r="K67" s="1725">
        <v>33</v>
      </c>
      <c r="L67" s="1724">
        <v>111</v>
      </c>
      <c r="M67" s="1724">
        <v>0</v>
      </c>
      <c r="N67" s="1724">
        <f>SUM(K67:M67)</f>
        <v>144</v>
      </c>
      <c r="O67" s="491">
        <f t="shared" si="71"/>
        <v>2.1276595744680851E-2</v>
      </c>
      <c r="P67" s="1727">
        <v>12</v>
      </c>
      <c r="Q67" s="1727">
        <v>57</v>
      </c>
      <c r="R67" s="1727">
        <v>0</v>
      </c>
      <c r="S67" s="1727">
        <f t="shared" si="72"/>
        <v>69</v>
      </c>
      <c r="T67" s="514">
        <f t="shared" si="73"/>
        <v>-0.52083333333333337</v>
      </c>
      <c r="U67" s="1725">
        <v>0</v>
      </c>
      <c r="V67" s="1724">
        <v>87</v>
      </c>
      <c r="W67" s="1724">
        <v>0</v>
      </c>
      <c r="X67" s="1724">
        <f t="shared" si="74"/>
        <v>87</v>
      </c>
      <c r="Y67" s="491">
        <f t="shared" ref="Y67:Y76" si="83">IF(S67&gt;0,(X67-S67)/S67,(IF(X67=0,"N/A",100%)))</f>
        <v>0.2608695652173913</v>
      </c>
      <c r="Z67" s="1725">
        <v>33</v>
      </c>
      <c r="AA67" s="1724">
        <v>66</v>
      </c>
      <c r="AB67" s="1724">
        <v>0</v>
      </c>
      <c r="AC67" s="1724">
        <f t="shared" si="75"/>
        <v>99</v>
      </c>
      <c r="AD67" s="491">
        <f t="shared" si="76"/>
        <v>0.13793103448275862</v>
      </c>
      <c r="AE67" s="1725">
        <v>27</v>
      </c>
      <c r="AF67" s="1724">
        <v>36</v>
      </c>
      <c r="AG67" s="1724">
        <v>0</v>
      </c>
      <c r="AH67" s="1724">
        <f t="shared" si="77"/>
        <v>63</v>
      </c>
      <c r="AI67" s="491">
        <f t="shared" si="78"/>
        <v>-0.36363636363636365</v>
      </c>
      <c r="AJ67" s="1725">
        <v>39</v>
      </c>
      <c r="AK67" s="1724">
        <v>60</v>
      </c>
      <c r="AL67" s="1724">
        <v>0</v>
      </c>
      <c r="AM67" s="1724">
        <f t="shared" si="79"/>
        <v>99</v>
      </c>
      <c r="AN67" s="491">
        <f t="shared" si="80"/>
        <v>0.5714285714285714</v>
      </c>
      <c r="AO67" s="1725">
        <v>30</v>
      </c>
      <c r="AP67" s="1724">
        <v>39</v>
      </c>
      <c r="AQ67" s="1724">
        <v>0</v>
      </c>
      <c r="AR67" s="1724">
        <f t="shared" si="81"/>
        <v>69</v>
      </c>
      <c r="AS67" s="491">
        <f t="shared" si="82"/>
        <v>-0.30303030303030304</v>
      </c>
    </row>
    <row r="68" spans="1:45" x14ac:dyDescent="0.25">
      <c r="A68" s="969" t="s">
        <v>1047</v>
      </c>
      <c r="B68" s="1245">
        <v>0</v>
      </c>
      <c r="C68" s="1245">
        <v>30</v>
      </c>
      <c r="D68" s="1245">
        <v>0</v>
      </c>
      <c r="E68" s="1723">
        <f t="shared" si="68"/>
        <v>30</v>
      </c>
      <c r="F68" s="1730">
        <v>0</v>
      </c>
      <c r="G68" s="1245">
        <v>45</v>
      </c>
      <c r="H68" s="1245">
        <v>0</v>
      </c>
      <c r="I68" s="1724">
        <f t="shared" si="69"/>
        <v>45</v>
      </c>
      <c r="J68" s="491">
        <f t="shared" si="70"/>
        <v>0.5</v>
      </c>
      <c r="K68" s="1725">
        <v>0</v>
      </c>
      <c r="L68" s="1724">
        <v>45</v>
      </c>
      <c r="M68" s="1724">
        <v>0</v>
      </c>
      <c r="N68" s="1724">
        <f>SUM(K68:M68)</f>
        <v>45</v>
      </c>
      <c r="O68" s="491">
        <f t="shared" si="71"/>
        <v>0</v>
      </c>
      <c r="P68" s="1727">
        <v>0</v>
      </c>
      <c r="Q68" s="1727">
        <v>75</v>
      </c>
      <c r="R68" s="1727">
        <v>0</v>
      </c>
      <c r="S68" s="1727">
        <f t="shared" si="72"/>
        <v>75</v>
      </c>
      <c r="T68" s="514">
        <f t="shared" si="73"/>
        <v>0.66666666666666663</v>
      </c>
      <c r="U68" s="1725">
        <v>0</v>
      </c>
      <c r="V68" s="1724">
        <v>87</v>
      </c>
      <c r="W68" s="1724">
        <v>0</v>
      </c>
      <c r="X68" s="1724">
        <f t="shared" si="74"/>
        <v>87</v>
      </c>
      <c r="Y68" s="491">
        <f t="shared" si="83"/>
        <v>0.16</v>
      </c>
      <c r="Z68" s="1725">
        <v>0</v>
      </c>
      <c r="AA68" s="1724">
        <v>42</v>
      </c>
      <c r="AB68" s="1724">
        <v>0</v>
      </c>
      <c r="AC68" s="1724">
        <f t="shared" si="75"/>
        <v>42</v>
      </c>
      <c r="AD68" s="491">
        <f t="shared" si="76"/>
        <v>-0.51724137931034486</v>
      </c>
      <c r="AE68" s="1725">
        <v>0</v>
      </c>
      <c r="AF68" s="1724">
        <v>30</v>
      </c>
      <c r="AG68" s="1724">
        <v>0</v>
      </c>
      <c r="AH68" s="1724">
        <f t="shared" si="77"/>
        <v>30</v>
      </c>
      <c r="AI68" s="491">
        <f t="shared" si="78"/>
        <v>-0.2857142857142857</v>
      </c>
      <c r="AJ68" s="1725">
        <v>0</v>
      </c>
      <c r="AK68" s="1724">
        <v>24</v>
      </c>
      <c r="AL68" s="1724">
        <v>0</v>
      </c>
      <c r="AM68" s="1724">
        <f t="shared" si="79"/>
        <v>24</v>
      </c>
      <c r="AN68" s="491">
        <f t="shared" si="80"/>
        <v>-0.2</v>
      </c>
      <c r="AO68" s="1725">
        <v>0</v>
      </c>
      <c r="AP68" s="1724">
        <v>69</v>
      </c>
      <c r="AQ68" s="1724">
        <v>0</v>
      </c>
      <c r="AR68" s="1724">
        <f t="shared" si="81"/>
        <v>69</v>
      </c>
      <c r="AS68" s="491">
        <f t="shared" si="82"/>
        <v>1.875</v>
      </c>
    </row>
    <row r="69" spans="1:45" x14ac:dyDescent="0.25">
      <c r="A69" s="969" t="s">
        <v>1048</v>
      </c>
      <c r="B69" s="1245">
        <v>87</v>
      </c>
      <c r="C69" s="1245">
        <v>3</v>
      </c>
      <c r="D69" s="1245">
        <v>0</v>
      </c>
      <c r="E69" s="1723">
        <f t="shared" si="68"/>
        <v>90</v>
      </c>
      <c r="F69" s="1730">
        <v>84</v>
      </c>
      <c r="G69" s="1245">
        <v>27</v>
      </c>
      <c r="H69" s="1245">
        <v>0</v>
      </c>
      <c r="I69" s="1724">
        <f t="shared" si="69"/>
        <v>111</v>
      </c>
      <c r="J69" s="491">
        <f t="shared" si="70"/>
        <v>0.23333333333333334</v>
      </c>
      <c r="K69" s="1725">
        <v>87</v>
      </c>
      <c r="L69" s="1724">
        <v>18</v>
      </c>
      <c r="M69" s="1724">
        <v>0</v>
      </c>
      <c r="N69" s="1724">
        <f>SUM(K69:M69)</f>
        <v>105</v>
      </c>
      <c r="O69" s="491">
        <f t="shared" si="71"/>
        <v>-5.4054054054054057E-2</v>
      </c>
      <c r="P69" s="1727">
        <v>138</v>
      </c>
      <c r="Q69" s="1727">
        <v>0</v>
      </c>
      <c r="R69" s="1727">
        <v>0</v>
      </c>
      <c r="S69" s="1727">
        <f t="shared" si="72"/>
        <v>138</v>
      </c>
      <c r="T69" s="514">
        <f t="shared" si="73"/>
        <v>0.31428571428571428</v>
      </c>
      <c r="U69" s="1725">
        <v>99</v>
      </c>
      <c r="V69" s="1724">
        <v>36</v>
      </c>
      <c r="W69" s="1724">
        <v>0</v>
      </c>
      <c r="X69" s="1724">
        <f t="shared" si="74"/>
        <v>135</v>
      </c>
      <c r="Y69" s="491">
        <f t="shared" si="83"/>
        <v>-2.1739130434782608E-2</v>
      </c>
      <c r="Z69" s="1725">
        <v>81</v>
      </c>
      <c r="AA69" s="1724">
        <v>24</v>
      </c>
      <c r="AB69" s="1724">
        <v>0</v>
      </c>
      <c r="AC69" s="1724">
        <f t="shared" si="75"/>
        <v>105</v>
      </c>
      <c r="AD69" s="491">
        <f t="shared" si="76"/>
        <v>-0.22222222222222221</v>
      </c>
      <c r="AE69" s="1725">
        <v>0</v>
      </c>
      <c r="AF69" s="1724">
        <v>24</v>
      </c>
      <c r="AG69" s="1724">
        <v>0</v>
      </c>
      <c r="AH69" s="1724">
        <f t="shared" si="77"/>
        <v>24</v>
      </c>
      <c r="AI69" s="491">
        <f t="shared" si="78"/>
        <v>-0.77142857142857146</v>
      </c>
      <c r="AJ69" s="1725">
        <v>36</v>
      </c>
      <c r="AK69" s="1724">
        <v>42</v>
      </c>
      <c r="AL69" s="1724">
        <v>0</v>
      </c>
      <c r="AM69" s="1724">
        <f t="shared" si="79"/>
        <v>78</v>
      </c>
      <c r="AN69" s="491">
        <f t="shared" si="80"/>
        <v>2.25</v>
      </c>
      <c r="AO69" s="1725">
        <v>54</v>
      </c>
      <c r="AP69" s="1724">
        <v>18</v>
      </c>
      <c r="AQ69" s="1724">
        <v>0</v>
      </c>
      <c r="AR69" s="1724">
        <f t="shared" si="81"/>
        <v>72</v>
      </c>
      <c r="AS69" s="491">
        <f t="shared" si="82"/>
        <v>-7.6923076923076927E-2</v>
      </c>
    </row>
    <row r="70" spans="1:45" x14ac:dyDescent="0.25">
      <c r="A70" s="969" t="s">
        <v>1437</v>
      </c>
      <c r="B70" s="1245">
        <v>0</v>
      </c>
      <c r="C70" s="1245">
        <v>0</v>
      </c>
      <c r="D70" s="1245">
        <v>0</v>
      </c>
      <c r="E70" s="1723">
        <f t="shared" si="68"/>
        <v>0</v>
      </c>
      <c r="F70" s="1730">
        <v>0</v>
      </c>
      <c r="G70" s="1245">
        <v>0</v>
      </c>
      <c r="H70" s="1245">
        <v>0</v>
      </c>
      <c r="I70" s="1724">
        <f t="shared" si="69"/>
        <v>0</v>
      </c>
      <c r="J70" s="491" t="str">
        <f t="shared" si="70"/>
        <v>N/A</v>
      </c>
      <c r="K70" s="1725"/>
      <c r="L70" s="1724"/>
      <c r="M70" s="1724"/>
      <c r="N70" s="1724"/>
      <c r="O70" s="491" t="str">
        <f t="shared" si="71"/>
        <v>N/A</v>
      </c>
      <c r="P70" s="1727">
        <v>0</v>
      </c>
      <c r="Q70" s="1727">
        <v>3</v>
      </c>
      <c r="R70" s="1727">
        <v>0</v>
      </c>
      <c r="S70" s="1727">
        <f t="shared" si="72"/>
        <v>3</v>
      </c>
      <c r="T70" s="514">
        <f t="shared" si="73"/>
        <v>1</v>
      </c>
      <c r="U70" s="1725">
        <v>0</v>
      </c>
      <c r="V70" s="1724">
        <v>6</v>
      </c>
      <c r="W70" s="1724">
        <v>0</v>
      </c>
      <c r="X70" s="1724">
        <f t="shared" si="74"/>
        <v>6</v>
      </c>
      <c r="Y70" s="491">
        <f t="shared" si="83"/>
        <v>1</v>
      </c>
      <c r="Z70" s="1725">
        <v>0</v>
      </c>
      <c r="AA70" s="1724">
        <v>30</v>
      </c>
      <c r="AB70" s="1724">
        <v>0</v>
      </c>
      <c r="AC70" s="1724">
        <f t="shared" si="75"/>
        <v>30</v>
      </c>
      <c r="AD70" s="491">
        <f t="shared" si="76"/>
        <v>4</v>
      </c>
      <c r="AE70" s="1725">
        <v>0</v>
      </c>
      <c r="AF70" s="1724">
        <v>27</v>
      </c>
      <c r="AG70" s="1724">
        <v>0</v>
      </c>
      <c r="AH70" s="1724">
        <f t="shared" si="77"/>
        <v>27</v>
      </c>
      <c r="AI70" s="491">
        <f t="shared" si="78"/>
        <v>-0.1</v>
      </c>
      <c r="AJ70" s="1725">
        <v>0</v>
      </c>
      <c r="AK70" s="1724">
        <v>3</v>
      </c>
      <c r="AL70" s="1724">
        <v>0</v>
      </c>
      <c r="AM70" s="1724">
        <f t="shared" si="79"/>
        <v>3</v>
      </c>
      <c r="AN70" s="491">
        <f t="shared" si="80"/>
        <v>-0.88888888888888884</v>
      </c>
      <c r="AO70" s="1725">
        <v>0</v>
      </c>
      <c r="AP70" s="1724">
        <v>9</v>
      </c>
      <c r="AQ70" s="1724">
        <v>0</v>
      </c>
      <c r="AR70" s="1724">
        <f t="shared" si="81"/>
        <v>9</v>
      </c>
      <c r="AS70" s="491">
        <f t="shared" si="82"/>
        <v>2</v>
      </c>
    </row>
    <row r="71" spans="1:45" s="484" customFormat="1" ht="13.8" x14ac:dyDescent="0.25">
      <c r="A71" s="970" t="s">
        <v>1015</v>
      </c>
      <c r="B71" s="1259">
        <f t="shared" ref="B71:I71" si="84">SUM(B65:B70)</f>
        <v>186</v>
      </c>
      <c r="C71" s="1259">
        <f t="shared" si="84"/>
        <v>144</v>
      </c>
      <c r="D71" s="1259">
        <f t="shared" si="84"/>
        <v>0</v>
      </c>
      <c r="E71" s="998">
        <f t="shared" si="84"/>
        <v>330</v>
      </c>
      <c r="F71" s="1259">
        <f t="shared" si="84"/>
        <v>117</v>
      </c>
      <c r="G71" s="1259">
        <f t="shared" si="84"/>
        <v>180</v>
      </c>
      <c r="H71" s="1259">
        <f t="shared" si="84"/>
        <v>0</v>
      </c>
      <c r="I71" s="998">
        <f t="shared" si="84"/>
        <v>297</v>
      </c>
      <c r="J71" s="496">
        <f t="shared" si="70"/>
        <v>-0.1</v>
      </c>
      <c r="K71" s="1259">
        <f>SUM(K65:K70)</f>
        <v>120</v>
      </c>
      <c r="L71" s="1259">
        <f>SUM(L65:L70)</f>
        <v>174</v>
      </c>
      <c r="M71" s="1259">
        <f>SUM(M65:M70)</f>
        <v>0</v>
      </c>
      <c r="N71" s="998">
        <f>SUM(N65:N70)</f>
        <v>294</v>
      </c>
      <c r="O71" s="496">
        <f t="shared" si="71"/>
        <v>-1.0101010101010102E-2</v>
      </c>
      <c r="P71" s="1259">
        <f>SUM(P65:P70)</f>
        <v>150</v>
      </c>
      <c r="Q71" s="1259">
        <f>SUM(Q65:Q70)</f>
        <v>135</v>
      </c>
      <c r="R71" s="1259">
        <f>SUM(R65:R70)</f>
        <v>150</v>
      </c>
      <c r="S71" s="998">
        <f>SUM(S65:S70)</f>
        <v>435</v>
      </c>
      <c r="T71" s="543">
        <f t="shared" si="73"/>
        <v>0.47959183673469385</v>
      </c>
      <c r="U71" s="1259">
        <f>SUM(U65:U70)</f>
        <v>99</v>
      </c>
      <c r="V71" s="1259">
        <f>SUM(V65:V70)</f>
        <v>216</v>
      </c>
      <c r="W71" s="1259">
        <f>SUM(W65:W70)</f>
        <v>156</v>
      </c>
      <c r="X71" s="998">
        <f>SUM(X65:X70)</f>
        <v>471</v>
      </c>
      <c r="Y71" s="496">
        <f t="shared" si="83"/>
        <v>8.2758620689655171E-2</v>
      </c>
      <c r="Z71" s="1259">
        <f>SUM(Z65:Z70)</f>
        <v>135</v>
      </c>
      <c r="AA71" s="1259">
        <f>SUM(AA65:AA70)</f>
        <v>162</v>
      </c>
      <c r="AB71" s="1259">
        <f>SUM(AB65:AB70)</f>
        <v>138</v>
      </c>
      <c r="AC71" s="998">
        <f>SUM(AC65:AC70)</f>
        <v>435</v>
      </c>
      <c r="AD71" s="496">
        <f t="shared" si="76"/>
        <v>-7.6433121019108277E-2</v>
      </c>
      <c r="AE71" s="1259">
        <f>SUM(AE65:AE70)</f>
        <v>39</v>
      </c>
      <c r="AF71" s="1259">
        <f>SUM(AF65:AF70)</f>
        <v>117</v>
      </c>
      <c r="AG71" s="1259">
        <f>SUM(AG65:AG70)</f>
        <v>0</v>
      </c>
      <c r="AH71" s="998">
        <f>SUM(AH65:AH70)</f>
        <v>156</v>
      </c>
      <c r="AI71" s="496">
        <f t="shared" si="78"/>
        <v>-0.64137931034482754</v>
      </c>
      <c r="AJ71" s="1259">
        <f>SUM(AJ65:AJ70)</f>
        <v>99</v>
      </c>
      <c r="AK71" s="1259">
        <f>SUM(AK65:AK70)</f>
        <v>129</v>
      </c>
      <c r="AL71" s="1259">
        <f>SUM(AL65:AL70)</f>
        <v>0</v>
      </c>
      <c r="AM71" s="998">
        <f>SUM(AM65:AM70)</f>
        <v>228</v>
      </c>
      <c r="AN71" s="496">
        <f t="shared" si="80"/>
        <v>0.46153846153846156</v>
      </c>
      <c r="AO71" s="1259">
        <f>SUM(AO65:AO70)</f>
        <v>87</v>
      </c>
      <c r="AP71" s="1259">
        <f>SUM(AP65:AP70)</f>
        <v>135</v>
      </c>
      <c r="AQ71" s="1259">
        <f>SUM(AQ65:AQ70)</f>
        <v>0</v>
      </c>
      <c r="AR71" s="998">
        <f>SUM(AR65:AR70)</f>
        <v>222</v>
      </c>
      <c r="AS71" s="496">
        <f t="shared" si="82"/>
        <v>-2.6315789473684209E-2</v>
      </c>
    </row>
    <row r="72" spans="1:45" x14ac:dyDescent="0.25">
      <c r="A72" s="968" t="s">
        <v>418</v>
      </c>
      <c r="B72" s="1244"/>
      <c r="C72" s="1244"/>
      <c r="D72" s="1244"/>
      <c r="E72" s="1719"/>
      <c r="F72" s="1716"/>
      <c r="G72" s="1244"/>
      <c r="H72" s="1244"/>
      <c r="I72" s="1718"/>
      <c r="J72" s="1719"/>
      <c r="K72" s="1717"/>
      <c r="L72" s="1718"/>
      <c r="M72" s="1718"/>
      <c r="N72" s="1718"/>
      <c r="O72" s="1719"/>
      <c r="P72" s="1720"/>
      <c r="Q72" s="1721"/>
      <c r="R72" s="1721"/>
      <c r="S72" s="1721"/>
      <c r="T72" s="1722"/>
      <c r="U72" s="1717"/>
      <c r="V72" s="1718"/>
      <c r="W72" s="1718"/>
      <c r="X72" s="1718"/>
      <c r="Y72" s="1719"/>
      <c r="Z72" s="1717"/>
      <c r="AA72" s="1718"/>
      <c r="AB72" s="1718"/>
      <c r="AC72" s="1718"/>
      <c r="AD72" s="1719"/>
      <c r="AE72" s="1717"/>
      <c r="AF72" s="1718"/>
      <c r="AG72" s="1718"/>
      <c r="AH72" s="1718"/>
      <c r="AI72" s="1719"/>
      <c r="AJ72" s="1717"/>
      <c r="AK72" s="1718"/>
      <c r="AL72" s="1718"/>
      <c r="AM72" s="1718"/>
      <c r="AN72" s="1719"/>
      <c r="AO72" s="1717"/>
      <c r="AP72" s="1718"/>
      <c r="AQ72" s="1718"/>
      <c r="AR72" s="1718"/>
      <c r="AS72" s="1719"/>
    </row>
    <row r="73" spans="1:45" x14ac:dyDescent="0.25">
      <c r="A73" s="969" t="s">
        <v>1044</v>
      </c>
      <c r="B73" s="1245">
        <v>135</v>
      </c>
      <c r="C73" s="1245">
        <v>15</v>
      </c>
      <c r="D73" s="1245">
        <v>0</v>
      </c>
      <c r="E73" s="1723">
        <f>SUM(B73:D73)</f>
        <v>150</v>
      </c>
      <c r="F73" s="1730">
        <v>216</v>
      </c>
      <c r="G73" s="1245">
        <v>33</v>
      </c>
      <c r="H73" s="1245">
        <v>0</v>
      </c>
      <c r="I73" s="1724">
        <f>SUM(F73:H73)</f>
        <v>249</v>
      </c>
      <c r="J73" s="491">
        <f>IF(E73&gt;0,(I73-E73)/E73,(IF(I73=0,"N/A",100%)))</f>
        <v>0.66</v>
      </c>
      <c r="K73" s="1725">
        <v>255</v>
      </c>
      <c r="L73" s="1724">
        <v>21</v>
      </c>
      <c r="M73" s="1724">
        <v>0</v>
      </c>
      <c r="N73" s="1724">
        <f>SUM(K73:M73)</f>
        <v>276</v>
      </c>
      <c r="O73" s="491">
        <f>IF(I73&gt;0,(N73-I73)/I73,(IF(N73=0,"N/A",100%)))</f>
        <v>0.10843373493975904</v>
      </c>
      <c r="P73" s="1727">
        <v>228</v>
      </c>
      <c r="Q73" s="1727">
        <v>6</v>
      </c>
      <c r="R73" s="1727">
        <v>0</v>
      </c>
      <c r="S73" s="1727">
        <f>SUM(P73:R73)</f>
        <v>234</v>
      </c>
      <c r="T73" s="514">
        <f>IF(N73&gt;0,(S73-N73)/N73,(IF(S73=0,"N/A",100%)))</f>
        <v>-0.15217391304347827</v>
      </c>
      <c r="U73" s="1725">
        <v>186</v>
      </c>
      <c r="V73" s="1724">
        <v>0</v>
      </c>
      <c r="W73" s="1724">
        <v>0</v>
      </c>
      <c r="X73" s="1724">
        <f>SUM(U73:W73)</f>
        <v>186</v>
      </c>
      <c r="Y73" s="491">
        <f t="shared" si="83"/>
        <v>-0.20512820512820512</v>
      </c>
      <c r="Z73" s="1725">
        <v>27</v>
      </c>
      <c r="AA73" s="1724">
        <v>177</v>
      </c>
      <c r="AB73" s="1724">
        <v>0</v>
      </c>
      <c r="AC73" s="1724">
        <f>SUM(Z73:AB73)</f>
        <v>204</v>
      </c>
      <c r="AD73" s="491">
        <f>IF(X73&gt;0,(AC73-X73)/X73,(IF(AC73=0,"N/A",100%)))</f>
        <v>9.6774193548387094E-2</v>
      </c>
      <c r="AE73" s="1725">
        <v>195</v>
      </c>
      <c r="AF73" s="1724">
        <v>18</v>
      </c>
      <c r="AG73" s="1724">
        <v>0</v>
      </c>
      <c r="AH73" s="1724">
        <f>SUM(AE73:AG73)</f>
        <v>213</v>
      </c>
      <c r="AI73" s="491">
        <f>IF(AC73&gt;0,(AH73-AC73)/AC73,(IF(AH73=0,"N/A",100%)))</f>
        <v>4.4117647058823532E-2</v>
      </c>
      <c r="AJ73" s="1725">
        <v>201</v>
      </c>
      <c r="AK73" s="1724">
        <v>10</v>
      </c>
      <c r="AL73" s="1724">
        <v>0</v>
      </c>
      <c r="AM73" s="1724">
        <f>SUM(AJ73:AL73)</f>
        <v>211</v>
      </c>
      <c r="AN73" s="491">
        <f>IF(AH73&gt;0,(AM73-AH73)/AH73,(IF(AM73=0,"N/A",100%)))</f>
        <v>-9.3896713615023476E-3</v>
      </c>
      <c r="AO73" s="1725">
        <v>186</v>
      </c>
      <c r="AP73" s="1724">
        <v>0</v>
      </c>
      <c r="AQ73" s="1724">
        <v>0</v>
      </c>
      <c r="AR73" s="1724">
        <f>SUM(AO73:AQ73)</f>
        <v>186</v>
      </c>
      <c r="AS73" s="491">
        <f>IF(AM73&gt;0,(AR73-AM73)/AM73,(IF(AR73=0,"N/A",100%)))</f>
        <v>-0.11848341232227488</v>
      </c>
    </row>
    <row r="74" spans="1:45" x14ac:dyDescent="0.25">
      <c r="A74" s="969" t="s">
        <v>1049</v>
      </c>
      <c r="B74" s="1245">
        <v>135</v>
      </c>
      <c r="C74" s="1245">
        <v>0</v>
      </c>
      <c r="D74" s="1245">
        <v>0</v>
      </c>
      <c r="E74" s="1723">
        <f>SUM(B74:D74)</f>
        <v>135</v>
      </c>
      <c r="F74" s="1730">
        <v>87</v>
      </c>
      <c r="G74" s="1245">
        <v>0</v>
      </c>
      <c r="H74" s="1245">
        <v>0</v>
      </c>
      <c r="I74" s="1724">
        <f>SUM(F74:H74)</f>
        <v>87</v>
      </c>
      <c r="J74" s="491">
        <f>IF(E74&gt;0,(I74-E74)/E74,(IF(I74=0,"N/A",100%)))</f>
        <v>-0.35555555555555557</v>
      </c>
      <c r="K74" s="1725">
        <v>168</v>
      </c>
      <c r="L74" s="1724">
        <v>0</v>
      </c>
      <c r="M74" s="1724">
        <v>0</v>
      </c>
      <c r="N74" s="1724">
        <f>SUM(K74:M74)</f>
        <v>168</v>
      </c>
      <c r="O74" s="491">
        <f>IF(I74&gt;0,(N74-I74)/I74,(IF(N74=0,"N/A",100%)))</f>
        <v>0.93103448275862066</v>
      </c>
      <c r="P74" s="1727">
        <v>141</v>
      </c>
      <c r="Q74" s="1727">
        <v>0</v>
      </c>
      <c r="R74" s="1727">
        <v>0</v>
      </c>
      <c r="S74" s="1727">
        <f>SUM(P74:R74)</f>
        <v>141</v>
      </c>
      <c r="T74" s="514">
        <f>IF(N74&gt;0,(S74-N74)/N74,(IF(S74=0,"N/A",100%)))</f>
        <v>-0.16071428571428573</v>
      </c>
      <c r="U74" s="1725">
        <v>198</v>
      </c>
      <c r="V74" s="1724">
        <v>0</v>
      </c>
      <c r="W74" s="1724">
        <v>0</v>
      </c>
      <c r="X74" s="1724">
        <f>SUM(U74:W74)</f>
        <v>198</v>
      </c>
      <c r="Y74" s="491">
        <f t="shared" si="83"/>
        <v>0.40425531914893614</v>
      </c>
      <c r="Z74" s="1725">
        <v>102</v>
      </c>
      <c r="AA74" s="1724">
        <v>3</v>
      </c>
      <c r="AB74" s="1724">
        <v>0</v>
      </c>
      <c r="AC74" s="1724">
        <f>SUM(Z74:AB74)</f>
        <v>105</v>
      </c>
      <c r="AD74" s="491">
        <f>IF(X74&gt;0,(AC74-X74)/X74,(IF(AC74=0,"N/A",100%)))</f>
        <v>-0.46969696969696972</v>
      </c>
      <c r="AE74" s="1725">
        <v>33</v>
      </c>
      <c r="AF74" s="1724">
        <v>0</v>
      </c>
      <c r="AG74" s="1724">
        <v>0</v>
      </c>
      <c r="AH74" s="1724">
        <f>SUM(AE74:AG74)</f>
        <v>33</v>
      </c>
      <c r="AI74" s="491">
        <f>IF(AC74&gt;0,(AH74-AC74)/AC74,(IF(AH74=0,"N/A",100%)))</f>
        <v>-0.68571428571428572</v>
      </c>
      <c r="AJ74" s="1725">
        <v>84</v>
      </c>
      <c r="AK74" s="1724">
        <v>0</v>
      </c>
      <c r="AL74" s="1724">
        <v>0</v>
      </c>
      <c r="AM74" s="1724">
        <f>SUM(AJ74:AL74)</f>
        <v>84</v>
      </c>
      <c r="AN74" s="491">
        <f>IF(AH74&gt;0,(AM74-AH74)/AH74,(IF(AM74=0,"N/A",100%)))</f>
        <v>1.5454545454545454</v>
      </c>
      <c r="AO74" s="1725">
        <v>54</v>
      </c>
      <c r="AP74" s="1724">
        <v>0</v>
      </c>
      <c r="AQ74" s="1724">
        <v>0</v>
      </c>
      <c r="AR74" s="1724">
        <f>SUM(AO74:AQ74)</f>
        <v>54</v>
      </c>
      <c r="AS74" s="491">
        <f>IF(AM74&gt;0,(AR74-AM74)/AM74,(IF(AR74=0,"N/A",100%)))</f>
        <v>-0.35714285714285715</v>
      </c>
    </row>
    <row r="75" spans="1:45" s="484" customFormat="1" ht="13.8" x14ac:dyDescent="0.25">
      <c r="A75" s="970" t="s">
        <v>1015</v>
      </c>
      <c r="B75" s="1259">
        <f t="shared" ref="B75:I75" si="85">SUM(B73:B74)</f>
        <v>270</v>
      </c>
      <c r="C75" s="1259">
        <f t="shared" si="85"/>
        <v>15</v>
      </c>
      <c r="D75" s="1259">
        <f t="shared" si="85"/>
        <v>0</v>
      </c>
      <c r="E75" s="495">
        <f t="shared" si="85"/>
        <v>285</v>
      </c>
      <c r="F75" s="1259">
        <f t="shared" si="85"/>
        <v>303</v>
      </c>
      <c r="G75" s="1259">
        <f t="shared" si="85"/>
        <v>33</v>
      </c>
      <c r="H75" s="1259">
        <f t="shared" si="85"/>
        <v>0</v>
      </c>
      <c r="I75" s="1259">
        <f t="shared" si="85"/>
        <v>336</v>
      </c>
      <c r="J75" s="496">
        <f>IF(E75&gt;0,(I75-E75)/E75,(IF(I75=0,"N/A",100%)))</f>
        <v>0.17894736842105263</v>
      </c>
      <c r="K75" s="1732">
        <f t="shared" ref="K75:S75" si="86">SUM(K73:K74)</f>
        <v>423</v>
      </c>
      <c r="L75" s="1259">
        <f t="shared" si="86"/>
        <v>21</v>
      </c>
      <c r="M75" s="1259">
        <f t="shared" si="86"/>
        <v>0</v>
      </c>
      <c r="N75" s="1259">
        <f t="shared" si="86"/>
        <v>444</v>
      </c>
      <c r="O75" s="496">
        <f>IF(I75&gt;0,(N75-I75)/I75,(IF(N75=0,"N/A",100%)))</f>
        <v>0.32142857142857145</v>
      </c>
      <c r="P75" s="1048">
        <f t="shared" si="86"/>
        <v>369</v>
      </c>
      <c r="Q75" s="1048">
        <f t="shared" si="86"/>
        <v>6</v>
      </c>
      <c r="R75" s="1048">
        <f t="shared" si="86"/>
        <v>0</v>
      </c>
      <c r="S75" s="1048">
        <f t="shared" si="86"/>
        <v>375</v>
      </c>
      <c r="T75" s="543">
        <f>IF(N75&gt;0,(S75-N75)/N75,(IF(S75=0,"N/A",100%)))</f>
        <v>-0.1554054054054054</v>
      </c>
      <c r="U75" s="1732">
        <f>SUM(U73:U74)</f>
        <v>384</v>
      </c>
      <c r="V75" s="1259">
        <f>SUM(V73:V74)</f>
        <v>0</v>
      </c>
      <c r="W75" s="1259">
        <f>SUM(W73:W74)</f>
        <v>0</v>
      </c>
      <c r="X75" s="1259">
        <f>SUM(X73:X74)</f>
        <v>384</v>
      </c>
      <c r="Y75" s="496">
        <f t="shared" si="83"/>
        <v>2.4E-2</v>
      </c>
      <c r="Z75" s="1732">
        <f>SUM(Z73:Z74)</f>
        <v>129</v>
      </c>
      <c r="AA75" s="1259">
        <f>SUM(AA73:AA74)</f>
        <v>180</v>
      </c>
      <c r="AB75" s="1259">
        <f>SUM(AB73:AB74)</f>
        <v>0</v>
      </c>
      <c r="AC75" s="1259">
        <f>SUM(AC73:AC74)</f>
        <v>309</v>
      </c>
      <c r="AD75" s="496">
        <f>IF(X75&gt;0,(AC75-X75)/X75,(IF(AC75=0,"N/A",100%)))</f>
        <v>-0.1953125</v>
      </c>
      <c r="AE75" s="1732">
        <f>SUM(AE73:AE74)</f>
        <v>228</v>
      </c>
      <c r="AF75" s="1259">
        <f>SUM(AF73:AF74)</f>
        <v>18</v>
      </c>
      <c r="AG75" s="1259">
        <f>SUM(AG73:AG74)</f>
        <v>0</v>
      </c>
      <c r="AH75" s="1259">
        <f>SUM(AH73:AH74)</f>
        <v>246</v>
      </c>
      <c r="AI75" s="496">
        <f>IF(AC75&gt;0,(AH75-AC75)/AC75,(IF(AH75=0,"N/A",100%)))</f>
        <v>-0.20388349514563106</v>
      </c>
      <c r="AJ75" s="1732">
        <f>SUM(AJ73:AJ74)</f>
        <v>285</v>
      </c>
      <c r="AK75" s="1259">
        <f>SUM(AK73:AK74)</f>
        <v>10</v>
      </c>
      <c r="AL75" s="1259">
        <f>SUM(AL73:AL74)</f>
        <v>0</v>
      </c>
      <c r="AM75" s="1259">
        <f>SUM(AM73:AM74)</f>
        <v>295</v>
      </c>
      <c r="AN75" s="496">
        <f>IF(AH75&gt;0,(AM75-AH75)/AH75,(IF(AM75=0,"N/A",100%)))</f>
        <v>0.1991869918699187</v>
      </c>
      <c r="AO75" s="1732">
        <f>SUM(AO73:AO74)</f>
        <v>240</v>
      </c>
      <c r="AP75" s="1259">
        <f>SUM(AP73:AP74)</f>
        <v>0</v>
      </c>
      <c r="AQ75" s="1259">
        <f>SUM(AQ73:AQ74)</f>
        <v>0</v>
      </c>
      <c r="AR75" s="1259">
        <f>SUM(AR73:AR74)</f>
        <v>240</v>
      </c>
      <c r="AS75" s="496">
        <f>IF(AM75&gt;0,(AR75-AM75)/AM75,(IF(AR75=0,"N/A",100%)))</f>
        <v>-0.1864406779661017</v>
      </c>
    </row>
    <row r="76" spans="1:45" s="502" customFormat="1" ht="16.2" thickBot="1" x14ac:dyDescent="0.35">
      <c r="A76" s="971" t="s">
        <v>423</v>
      </c>
      <c r="B76" s="974">
        <f t="shared" ref="B76:I76" si="87">+B48+B56+B63+B71+B75</f>
        <v>701</v>
      </c>
      <c r="C76" s="974">
        <f t="shared" si="87"/>
        <v>304</v>
      </c>
      <c r="D76" s="974">
        <f t="shared" si="87"/>
        <v>159</v>
      </c>
      <c r="E76" s="989">
        <f t="shared" si="87"/>
        <v>1164</v>
      </c>
      <c r="F76" s="974">
        <f t="shared" si="87"/>
        <v>544</v>
      </c>
      <c r="G76" s="974">
        <f t="shared" si="87"/>
        <v>333</v>
      </c>
      <c r="H76" s="974">
        <f t="shared" si="87"/>
        <v>234</v>
      </c>
      <c r="I76" s="974">
        <f t="shared" si="87"/>
        <v>1111</v>
      </c>
      <c r="J76" s="975">
        <f>IF(E76&gt;0,(I76-E76)/E76,(IF(I76=0,"N/A",100%)))</f>
        <v>-4.5532646048109963E-2</v>
      </c>
      <c r="K76" s="988">
        <f t="shared" ref="K76:S76" si="88">+K48+K56+K63+K71+K75</f>
        <v>681</v>
      </c>
      <c r="L76" s="974">
        <f t="shared" si="88"/>
        <v>246</v>
      </c>
      <c r="M76" s="974">
        <f t="shared" si="88"/>
        <v>123</v>
      </c>
      <c r="N76" s="974">
        <f t="shared" si="88"/>
        <v>1050</v>
      </c>
      <c r="O76" s="975">
        <f>IF(I76&gt;0,(N76-I76)/I76,(IF(N76=0,"N/A",100%)))</f>
        <v>-5.4905490549054907E-2</v>
      </c>
      <c r="P76" s="1049">
        <f t="shared" si="88"/>
        <v>605</v>
      </c>
      <c r="Q76" s="1049">
        <f t="shared" si="88"/>
        <v>284</v>
      </c>
      <c r="R76" s="1049">
        <f t="shared" si="88"/>
        <v>336</v>
      </c>
      <c r="S76" s="1049">
        <f t="shared" si="88"/>
        <v>1225</v>
      </c>
      <c r="T76" s="1050">
        <f>IF(N76&gt;0,(S76-N76)/N76,(IF(S76=0,"N/A",100%)))</f>
        <v>0.16666666666666666</v>
      </c>
      <c r="U76" s="988">
        <f>+U48+U56+U63+U71+U75</f>
        <v>532</v>
      </c>
      <c r="V76" s="974">
        <f>+V48+V56+V63+V71+V75</f>
        <v>320</v>
      </c>
      <c r="W76" s="974">
        <f>+W48+W56+W63+W71+W75</f>
        <v>246</v>
      </c>
      <c r="X76" s="974">
        <f>+X48+X56+X63+X71+X75</f>
        <v>1098</v>
      </c>
      <c r="Y76" s="975">
        <f t="shared" si="83"/>
        <v>-0.1036734693877551</v>
      </c>
      <c r="Z76" s="988">
        <f>+Z48+Z56+Z63+Z71+Z75</f>
        <v>342</v>
      </c>
      <c r="AA76" s="974">
        <f>+AA48+AA56+AA63+AA71+AA75</f>
        <v>530</v>
      </c>
      <c r="AB76" s="974">
        <f>+AB48+AB56+AB63+AB71+AB75</f>
        <v>258</v>
      </c>
      <c r="AC76" s="974">
        <f>+AC48+AC56+AC63+AC71+AC75</f>
        <v>1130</v>
      </c>
      <c r="AD76" s="975">
        <f>IF(X76&gt;0,(AC76-X76)/X76,(IF(AC76=0,"N/A",100%)))</f>
        <v>2.9143897996357013E-2</v>
      </c>
      <c r="AE76" s="988">
        <f>+AE48+AE56+AE63+AE71+AE75</f>
        <v>420</v>
      </c>
      <c r="AF76" s="974">
        <f>+AF48+AF56+AF63+AF71+AF75</f>
        <v>218</v>
      </c>
      <c r="AG76" s="974">
        <f>+AG48+AG56+AG63+AG71+AG75</f>
        <v>84</v>
      </c>
      <c r="AH76" s="974">
        <f>+AH48+AH56+AH63+AH71+AH75</f>
        <v>722</v>
      </c>
      <c r="AI76" s="975">
        <f>IF(AC76&gt;0,(AH76-AC76)/AC76,(IF(AH76=0,"N/A",100%)))</f>
        <v>-0.36106194690265486</v>
      </c>
      <c r="AJ76" s="988">
        <f>+AJ48+AJ56+AJ63+AJ71+AJ75</f>
        <v>553</v>
      </c>
      <c r="AK76" s="974">
        <f>+AK48+AK56+AK63+AK71+AK75</f>
        <v>241</v>
      </c>
      <c r="AL76" s="974">
        <f>+AL48+AL56+AL63+AL71+AL75</f>
        <v>48</v>
      </c>
      <c r="AM76" s="974">
        <f>+AM48+AM56+AM63+AM71+AM75</f>
        <v>842</v>
      </c>
      <c r="AN76" s="975">
        <f>IF(AH76&gt;0,(AM76-AH76)/AH76,(IF(AM76=0,"N/A",100%)))</f>
        <v>0.16620498614958448</v>
      </c>
      <c r="AO76" s="988">
        <f>+AO48+AO56+AO63+AO71+AO75</f>
        <v>526</v>
      </c>
      <c r="AP76" s="974">
        <f>+AP48+AP56+AP63+AP71+AP75</f>
        <v>263</v>
      </c>
      <c r="AQ76" s="974">
        <f>+AQ48+AQ56+AQ63+AQ71+AQ75</f>
        <v>0</v>
      </c>
      <c r="AR76" s="974">
        <f>+AR48+AR56+AR63+AR71+AR75</f>
        <v>789</v>
      </c>
      <c r="AS76" s="975">
        <f>IF(AM76&gt;0,(AR76-AM76)/AM76,(IF(AR76=0,"N/A",100%)))</f>
        <v>-6.2945368171021379E-2</v>
      </c>
    </row>
    <row r="77" spans="1:45" ht="14.25" customHeight="1" x14ac:dyDescent="0.25">
      <c r="A77" s="507"/>
      <c r="B77" s="507"/>
      <c r="C77" s="507"/>
      <c r="D77" s="507"/>
      <c r="E77" s="507"/>
      <c r="F77" s="507"/>
      <c r="G77" s="507"/>
      <c r="H77" s="507"/>
      <c r="I77" s="507"/>
      <c r="J77" s="507"/>
      <c r="K77" s="1738"/>
      <c r="L77" s="1738"/>
      <c r="M77" s="1738"/>
      <c r="N77" s="1738"/>
      <c r="O77" s="1738"/>
    </row>
    <row r="78" spans="1:45" ht="14.25" customHeight="1" thickBot="1" x14ac:dyDescent="0.3">
      <c r="A78" s="507"/>
      <c r="B78" s="507"/>
      <c r="C78" s="507"/>
      <c r="D78" s="507"/>
      <c r="E78" s="507"/>
      <c r="F78" s="507"/>
      <c r="G78" s="507"/>
      <c r="H78" s="507"/>
      <c r="I78" s="507"/>
      <c r="J78" s="507"/>
      <c r="K78" s="1738"/>
      <c r="L78" s="1738"/>
      <c r="M78" s="1738"/>
      <c r="N78" s="1738"/>
      <c r="O78" s="1738"/>
    </row>
    <row r="79" spans="1:45" s="1546" customFormat="1" ht="18" thickBot="1" x14ac:dyDescent="0.35">
      <c r="A79" s="2161" t="s">
        <v>409</v>
      </c>
      <c r="B79" s="2162"/>
      <c r="C79" s="2162"/>
      <c r="D79" s="2162"/>
      <c r="E79" s="2162"/>
      <c r="F79" s="2162"/>
      <c r="G79" s="2162"/>
      <c r="H79" s="2162"/>
      <c r="I79" s="2162"/>
      <c r="J79" s="2162"/>
      <c r="K79" s="2162"/>
      <c r="L79" s="2162"/>
      <c r="M79" s="2162"/>
      <c r="N79" s="2162"/>
      <c r="O79" s="2162"/>
      <c r="P79" s="2162"/>
      <c r="Q79" s="2162"/>
      <c r="R79" s="2162"/>
      <c r="S79" s="2162"/>
      <c r="T79" s="2162"/>
      <c r="U79" s="2162"/>
      <c r="V79" s="2162"/>
      <c r="W79" s="2162"/>
      <c r="X79" s="2162"/>
      <c r="Y79" s="2162"/>
      <c r="Z79" s="2162"/>
      <c r="AA79" s="2162"/>
      <c r="AB79" s="2162"/>
      <c r="AC79" s="2162"/>
      <c r="AD79" s="2162"/>
      <c r="AE79" s="2162"/>
      <c r="AF79" s="2162"/>
      <c r="AG79" s="2162"/>
      <c r="AH79" s="2162"/>
      <c r="AI79" s="2162"/>
      <c r="AJ79" s="2162"/>
      <c r="AK79" s="2162"/>
      <c r="AL79" s="2162"/>
      <c r="AM79" s="2162"/>
      <c r="AN79" s="2162"/>
      <c r="AO79" s="2162"/>
      <c r="AP79" s="2162"/>
      <c r="AQ79" s="2162"/>
      <c r="AR79" s="2162"/>
      <c r="AS79" s="2163"/>
    </row>
    <row r="80" spans="1:45" ht="47.25" customHeight="1" x14ac:dyDescent="0.25">
      <c r="A80" s="2159" t="s">
        <v>1006</v>
      </c>
      <c r="B80" s="1710" t="s">
        <v>1008</v>
      </c>
      <c r="C80" s="1710" t="s">
        <v>1009</v>
      </c>
      <c r="D80" s="1710" t="s">
        <v>1010</v>
      </c>
      <c r="E80" s="680" t="s">
        <v>1011</v>
      </c>
      <c r="F80" s="1711" t="s">
        <v>1008</v>
      </c>
      <c r="G80" s="1710" t="s">
        <v>1009</v>
      </c>
      <c r="H80" s="1710" t="s">
        <v>1010</v>
      </c>
      <c r="I80" s="1712" t="s">
        <v>1011</v>
      </c>
      <c r="J80" s="584" t="s">
        <v>1012</v>
      </c>
      <c r="K80" s="1711" t="s">
        <v>1008</v>
      </c>
      <c r="L80" s="1710" t="s">
        <v>1009</v>
      </c>
      <c r="M80" s="1710" t="s">
        <v>1010</v>
      </c>
      <c r="N80" s="1247" t="s">
        <v>1011</v>
      </c>
      <c r="O80" s="584" t="s">
        <v>1012</v>
      </c>
      <c r="P80" s="1713" t="s">
        <v>1008</v>
      </c>
      <c r="Q80" s="1713" t="s">
        <v>1009</v>
      </c>
      <c r="R80" s="1713" t="s">
        <v>1010</v>
      </c>
      <c r="S80" s="1714" t="s">
        <v>1011</v>
      </c>
      <c r="T80" s="1715" t="s">
        <v>1012</v>
      </c>
      <c r="U80" s="1711" t="s">
        <v>1008</v>
      </c>
      <c r="V80" s="1710" t="s">
        <v>1009</v>
      </c>
      <c r="W80" s="1710" t="s">
        <v>1010</v>
      </c>
      <c r="X80" s="1712" t="s">
        <v>1011</v>
      </c>
      <c r="Y80" s="584" t="s">
        <v>1012</v>
      </c>
      <c r="Z80" s="1711" t="s">
        <v>1008</v>
      </c>
      <c r="AA80" s="1710" t="s">
        <v>1009</v>
      </c>
      <c r="AB80" s="1710" t="s">
        <v>1010</v>
      </c>
      <c r="AC80" s="1712" t="s">
        <v>1011</v>
      </c>
      <c r="AD80" s="584" t="s">
        <v>1012</v>
      </c>
      <c r="AE80" s="1711" t="s">
        <v>1008</v>
      </c>
      <c r="AF80" s="1710" t="s">
        <v>1009</v>
      </c>
      <c r="AG80" s="1710" t="s">
        <v>1010</v>
      </c>
      <c r="AH80" s="1712" t="s">
        <v>1011</v>
      </c>
      <c r="AI80" s="584" t="s">
        <v>1012</v>
      </c>
      <c r="AJ80" s="1711" t="s">
        <v>1008</v>
      </c>
      <c r="AK80" s="1710" t="s">
        <v>1009</v>
      </c>
      <c r="AL80" s="1710" t="s">
        <v>1010</v>
      </c>
      <c r="AM80" s="1712" t="s">
        <v>1011</v>
      </c>
      <c r="AN80" s="584" t="s">
        <v>1012</v>
      </c>
      <c r="AO80" s="1711" t="s">
        <v>1008</v>
      </c>
      <c r="AP80" s="1710" t="s">
        <v>1009</v>
      </c>
      <c r="AQ80" s="1710" t="s">
        <v>1010</v>
      </c>
      <c r="AR80" s="1712" t="s">
        <v>1011</v>
      </c>
      <c r="AS80" s="584" t="s">
        <v>1012</v>
      </c>
    </row>
    <row r="81" spans="1:45" ht="12.75" customHeight="1" x14ac:dyDescent="0.25">
      <c r="A81" s="2160"/>
      <c r="B81" s="2157" t="s">
        <v>1466</v>
      </c>
      <c r="C81" s="2157"/>
      <c r="D81" s="2157"/>
      <c r="E81" s="2158"/>
      <c r="F81" s="2156" t="s">
        <v>1467</v>
      </c>
      <c r="G81" s="2157"/>
      <c r="H81" s="2157"/>
      <c r="I81" s="2157"/>
      <c r="J81" s="2158"/>
      <c r="K81" s="2138" t="s">
        <v>1454</v>
      </c>
      <c r="L81" s="2139"/>
      <c r="M81" s="2139"/>
      <c r="N81" s="2139"/>
      <c r="O81" s="2153"/>
      <c r="P81" s="2139" t="s">
        <v>1455</v>
      </c>
      <c r="Q81" s="2139"/>
      <c r="R81" s="2139"/>
      <c r="S81" s="2139"/>
      <c r="T81" s="2153"/>
      <c r="U81" s="2156" t="s">
        <v>1456</v>
      </c>
      <c r="V81" s="2157"/>
      <c r="W81" s="2157"/>
      <c r="X81" s="2157"/>
      <c r="Y81" s="2158"/>
      <c r="Z81" s="2156" t="s">
        <v>1599</v>
      </c>
      <c r="AA81" s="2157"/>
      <c r="AB81" s="2157"/>
      <c r="AC81" s="2157"/>
      <c r="AD81" s="2158"/>
      <c r="AE81" s="2156" t="s">
        <v>1716</v>
      </c>
      <c r="AF81" s="2157"/>
      <c r="AG81" s="2157"/>
      <c r="AH81" s="2157"/>
      <c r="AI81" s="2158"/>
      <c r="AJ81" s="2156" t="str">
        <f>+AJ44</f>
        <v>Summer 2015</v>
      </c>
      <c r="AK81" s="2157"/>
      <c r="AL81" s="2157"/>
      <c r="AM81" s="2157"/>
      <c r="AN81" s="2158"/>
      <c r="AO81" s="2156" t="str">
        <f>+AO44</f>
        <v>Summer 2016</v>
      </c>
      <c r="AP81" s="2157"/>
      <c r="AQ81" s="2157"/>
      <c r="AR81" s="2157"/>
      <c r="AS81" s="2158"/>
    </row>
    <row r="82" spans="1:45" x14ac:dyDescent="0.25">
      <c r="A82" s="968" t="s">
        <v>411</v>
      </c>
      <c r="B82" s="1244"/>
      <c r="C82" s="1244"/>
      <c r="D82" s="1244"/>
      <c r="E82" s="972"/>
      <c r="F82" s="1716"/>
      <c r="G82" s="1244"/>
      <c r="H82" s="1244"/>
      <c r="I82" s="1244"/>
      <c r="J82" s="972"/>
      <c r="K82" s="1717"/>
      <c r="L82" s="1718"/>
      <c r="M82" s="1718"/>
      <c r="N82" s="1743"/>
      <c r="O82" s="1719"/>
      <c r="P82" s="1720"/>
      <c r="Q82" s="1721"/>
      <c r="R82" s="1721"/>
      <c r="S82" s="1721"/>
      <c r="T82" s="1722"/>
      <c r="U82" s="1717"/>
      <c r="V82" s="1718"/>
      <c r="W82" s="1718"/>
      <c r="X82" s="1718"/>
      <c r="Y82" s="1719"/>
      <c r="Z82" s="1717"/>
      <c r="AA82" s="1718"/>
      <c r="AB82" s="1718"/>
      <c r="AC82" s="1718"/>
      <c r="AD82" s="1719"/>
      <c r="AE82" s="1717"/>
      <c r="AF82" s="1718"/>
      <c r="AG82" s="1718"/>
      <c r="AH82" s="1718"/>
      <c r="AI82" s="1719"/>
      <c r="AJ82" s="1717"/>
      <c r="AK82" s="1718"/>
      <c r="AL82" s="1718"/>
      <c r="AM82" s="1718"/>
      <c r="AN82" s="1719"/>
      <c r="AO82" s="1717"/>
      <c r="AP82" s="1718"/>
      <c r="AQ82" s="1718"/>
      <c r="AR82" s="1718"/>
      <c r="AS82" s="1719"/>
    </row>
    <row r="83" spans="1:45" x14ac:dyDescent="0.25">
      <c r="A83" s="1745" t="s">
        <v>1060</v>
      </c>
      <c r="B83" s="1726">
        <v>216</v>
      </c>
      <c r="C83" s="1726">
        <v>63</v>
      </c>
      <c r="D83" s="1726">
        <v>57</v>
      </c>
      <c r="E83" s="1723">
        <f>SUM(B83:D83)</f>
        <v>336</v>
      </c>
      <c r="F83" s="1730">
        <v>216</v>
      </c>
      <c r="G83" s="1245">
        <v>94</v>
      </c>
      <c r="H83" s="1245">
        <v>42</v>
      </c>
      <c r="I83" s="1724">
        <f>SUM(F83:H83)</f>
        <v>352</v>
      </c>
      <c r="J83" s="491">
        <f>IF(E83&gt;0,(I83-E83)/E83,(IF(I83=0,"N/A",100%)))</f>
        <v>4.7619047619047616E-2</v>
      </c>
      <c r="K83" s="1725">
        <v>268</v>
      </c>
      <c r="L83" s="1724">
        <v>27</v>
      </c>
      <c r="M83" s="1724">
        <v>63</v>
      </c>
      <c r="N83" s="1741">
        <f>SUM(K83:M83)</f>
        <v>358</v>
      </c>
      <c r="O83" s="491">
        <f>IF(I83&gt;0,(N83-I83)/I83,(IF(N83=0,"N/A",100%)))</f>
        <v>1.7045454545454544E-2</v>
      </c>
      <c r="P83" s="1727">
        <v>260</v>
      </c>
      <c r="Q83" s="1727">
        <v>52</v>
      </c>
      <c r="R83" s="1727">
        <v>45</v>
      </c>
      <c r="S83" s="1727">
        <f>SUM(P83:R83)</f>
        <v>357</v>
      </c>
      <c r="T83" s="514">
        <f>IF(N83&gt;0,(S83-N83)/N83,(IF(S83=0,"N/A",100%)))</f>
        <v>-2.7932960893854749E-3</v>
      </c>
      <c r="U83" s="1725">
        <v>288</v>
      </c>
      <c r="V83" s="1724">
        <v>0</v>
      </c>
      <c r="W83" s="1724">
        <v>69</v>
      </c>
      <c r="X83" s="1724">
        <f>SUM(U83:W83)</f>
        <v>357</v>
      </c>
      <c r="Y83" s="491">
        <f t="shared" ref="Y83:Y102" si="89">IF(S83&gt;0,(X83-S83)/S83,(IF(X83=0,"N/A",100%)))</f>
        <v>0</v>
      </c>
      <c r="Z83" s="1725">
        <v>28</v>
      </c>
      <c r="AA83" s="1724">
        <v>196</v>
      </c>
      <c r="AB83" s="1724">
        <v>36</v>
      </c>
      <c r="AC83" s="1724">
        <f>SUM(Z83:AB83)</f>
        <v>260</v>
      </c>
      <c r="AD83" s="491">
        <f>IF(X83&gt;0,(AC83-X83)/X83,(IF(AC83=0,"N/A",100%)))</f>
        <v>-0.27170868347338933</v>
      </c>
      <c r="AE83" s="1725">
        <v>164</v>
      </c>
      <c r="AF83" s="1724">
        <v>0</v>
      </c>
      <c r="AG83" s="1724">
        <v>42</v>
      </c>
      <c r="AH83" s="1724">
        <f>SUM(AE83:AG83)</f>
        <v>206</v>
      </c>
      <c r="AI83" s="491">
        <f>IF(AC83&gt;0,(AH83-AC83)/AC83,(IF(AH83=0,"N/A",100%)))</f>
        <v>-0.2076923076923077</v>
      </c>
      <c r="AJ83" s="1725">
        <v>172</v>
      </c>
      <c r="AK83" s="1724">
        <v>0</v>
      </c>
      <c r="AL83" s="1724">
        <v>48</v>
      </c>
      <c r="AM83" s="1724">
        <f>SUM(AJ83:AL83)</f>
        <v>220</v>
      </c>
      <c r="AN83" s="491">
        <f>IF(AH83&gt;0,(AM83-AH83)/AH83,(IF(AM83=0,"N/A",100%)))</f>
        <v>6.7961165048543687E-2</v>
      </c>
      <c r="AO83" s="1725">
        <v>148</v>
      </c>
      <c r="AP83" s="1724">
        <v>0</v>
      </c>
      <c r="AQ83" s="1724">
        <v>24</v>
      </c>
      <c r="AR83" s="1724">
        <f>SUM(AO83:AQ83)</f>
        <v>172</v>
      </c>
      <c r="AS83" s="491">
        <f>IF(AM83&gt;0,(AR83-AM83)/AM83,(IF(AR83=0,"N/A",100%)))</f>
        <v>-0.21818181818181817</v>
      </c>
    </row>
    <row r="84" spans="1:45" x14ac:dyDescent="0.25">
      <c r="A84" s="969" t="s">
        <v>1354</v>
      </c>
      <c r="B84" s="1245">
        <v>0</v>
      </c>
      <c r="C84" s="1245">
        <v>0</v>
      </c>
      <c r="D84" s="1245">
        <v>0</v>
      </c>
      <c r="E84" s="1723">
        <f>SUM(B84:D84)</f>
        <v>0</v>
      </c>
      <c r="F84" s="1730">
        <v>0</v>
      </c>
      <c r="G84" s="1245">
        <v>0</v>
      </c>
      <c r="H84" s="1245">
        <v>0</v>
      </c>
      <c r="I84" s="1724">
        <f>SUM(F84:H84)</f>
        <v>0</v>
      </c>
      <c r="J84" s="491" t="str">
        <f>IF(E84&gt;0,(I84-E84)/E84,(IF(I84=0,"N/A",100%)))</f>
        <v>N/A</v>
      </c>
      <c r="K84" s="1725">
        <v>0</v>
      </c>
      <c r="L84" s="1724">
        <v>0</v>
      </c>
      <c r="M84" s="1724">
        <v>0</v>
      </c>
      <c r="N84" s="1741">
        <f>SUM(K84:M84)</f>
        <v>0</v>
      </c>
      <c r="O84" s="491" t="str">
        <f>IF(I84&gt;0,(N84-I84)/I84,(IF(N84=0,"N/A",100%)))</f>
        <v>N/A</v>
      </c>
      <c r="P84" s="1727">
        <v>0</v>
      </c>
      <c r="Q84" s="1727">
        <v>0</v>
      </c>
      <c r="R84" s="1727">
        <v>0</v>
      </c>
      <c r="S84" s="1727">
        <f>SUM(P84:R84)</f>
        <v>0</v>
      </c>
      <c r="T84" s="514" t="str">
        <f>IF(N84&gt;0,(S84-N84)/N84,(IF(S84=0,"N/A",100%)))</f>
        <v>N/A</v>
      </c>
      <c r="U84" s="1725">
        <v>0</v>
      </c>
      <c r="V84" s="1724">
        <v>0</v>
      </c>
      <c r="W84" s="1724">
        <v>0</v>
      </c>
      <c r="X84" s="1724">
        <f>SUM(U84:W84)</f>
        <v>0</v>
      </c>
      <c r="Y84" s="491" t="str">
        <f t="shared" si="89"/>
        <v>N/A</v>
      </c>
      <c r="Z84" s="1725">
        <v>0</v>
      </c>
      <c r="AA84" s="1724">
        <v>0</v>
      </c>
      <c r="AB84" s="1724">
        <v>0</v>
      </c>
      <c r="AC84" s="1724">
        <f>SUM(Z84:AB84)</f>
        <v>0</v>
      </c>
      <c r="AD84" s="491" t="str">
        <f>IF(X84&gt;0,(AC84-X84)/X84,(IF(AC84=0,"N/A",100%)))</f>
        <v>N/A</v>
      </c>
      <c r="AE84" s="1725">
        <v>0</v>
      </c>
      <c r="AF84" s="1724">
        <v>0</v>
      </c>
      <c r="AG84" s="1724">
        <v>0</v>
      </c>
      <c r="AH84" s="1724">
        <f>SUM(AE84:AG84)</f>
        <v>0</v>
      </c>
      <c r="AI84" s="491" t="str">
        <f>IF(AC84&gt;0,(AH84-AC84)/AC84,(IF(AH84=0,"N/A",100%)))</f>
        <v>N/A</v>
      </c>
      <c r="AJ84" s="1725">
        <v>0</v>
      </c>
      <c r="AK84" s="1724">
        <v>0</v>
      </c>
      <c r="AL84" s="1724">
        <v>0</v>
      </c>
      <c r="AM84" s="1724">
        <f>SUM(AJ84:AL84)</f>
        <v>0</v>
      </c>
      <c r="AN84" s="491" t="str">
        <f>IF(AH84&gt;0,(AM84-AH84)/AH84,(IF(AM84=0,"N/A",100%)))</f>
        <v>N/A</v>
      </c>
      <c r="AO84" s="1725">
        <v>0</v>
      </c>
      <c r="AP84" s="1724">
        <v>0</v>
      </c>
      <c r="AQ84" s="1724">
        <v>0</v>
      </c>
      <c r="AR84" s="1724">
        <f>SUM(AO84:AQ84)</f>
        <v>0</v>
      </c>
      <c r="AS84" s="491" t="str">
        <f>IF(AM84&gt;0,(AR84-AM84)/AM84,(IF(AR84=0,"N/A",100%)))</f>
        <v>N/A</v>
      </c>
    </row>
    <row r="85" spans="1:45" ht="13.8" x14ac:dyDescent="0.25">
      <c r="A85" s="970" t="s">
        <v>1015</v>
      </c>
      <c r="B85" s="1746">
        <f t="shared" ref="B85:I85" si="90">+B84+B83</f>
        <v>216</v>
      </c>
      <c r="C85" s="1746">
        <f t="shared" si="90"/>
        <v>63</v>
      </c>
      <c r="D85" s="1746">
        <f t="shared" si="90"/>
        <v>57</v>
      </c>
      <c r="E85" s="991">
        <f>+E84+E83</f>
        <v>336</v>
      </c>
      <c r="F85" s="1746">
        <f t="shared" si="90"/>
        <v>216</v>
      </c>
      <c r="G85" s="1746">
        <f t="shared" si="90"/>
        <v>94</v>
      </c>
      <c r="H85" s="1746">
        <f t="shared" si="90"/>
        <v>42</v>
      </c>
      <c r="I85" s="1746">
        <f t="shared" si="90"/>
        <v>352</v>
      </c>
      <c r="J85" s="496">
        <f>IF(E85&gt;0,(I85-E85)/E85,(IF(I85=0,"N/A",100%)))</f>
        <v>4.7619047619047616E-2</v>
      </c>
      <c r="K85" s="1747">
        <f t="shared" ref="K85:S85" si="91">+K84+K83</f>
        <v>268</v>
      </c>
      <c r="L85" s="1746">
        <f t="shared" si="91"/>
        <v>27</v>
      </c>
      <c r="M85" s="1746">
        <f t="shared" si="91"/>
        <v>63</v>
      </c>
      <c r="N85" s="1748">
        <f t="shared" si="91"/>
        <v>358</v>
      </c>
      <c r="O85" s="496">
        <f>IF(I85&gt;0,(N85-I85)/I85,(IF(N85=0,"N/A",100%)))</f>
        <v>1.7045454545454544E-2</v>
      </c>
      <c r="P85" s="1052">
        <f t="shared" si="91"/>
        <v>260</v>
      </c>
      <c r="Q85" s="1052">
        <f t="shared" si="91"/>
        <v>52</v>
      </c>
      <c r="R85" s="1052">
        <f t="shared" si="91"/>
        <v>45</v>
      </c>
      <c r="S85" s="1052">
        <f t="shared" si="91"/>
        <v>357</v>
      </c>
      <c r="T85" s="543">
        <f>IF(N85&gt;0,(S85-N85)/N85,(IF(S85=0,"N/A",100%)))</f>
        <v>-2.7932960893854749E-3</v>
      </c>
      <c r="U85" s="1747">
        <f>+U84+U83</f>
        <v>288</v>
      </c>
      <c r="V85" s="1746">
        <f>+V84+V83</f>
        <v>0</v>
      </c>
      <c r="W85" s="1746">
        <f>+W84+W83</f>
        <v>69</v>
      </c>
      <c r="X85" s="1746">
        <f>+X84+X83</f>
        <v>357</v>
      </c>
      <c r="Y85" s="496">
        <f t="shared" si="89"/>
        <v>0</v>
      </c>
      <c r="Z85" s="1747">
        <f>+Z84+Z83</f>
        <v>28</v>
      </c>
      <c r="AA85" s="1746">
        <f>+AA84+AA83</f>
        <v>196</v>
      </c>
      <c r="AB85" s="1746">
        <f>+AB84+AB83</f>
        <v>36</v>
      </c>
      <c r="AC85" s="1746">
        <f>+AC84+AC83</f>
        <v>260</v>
      </c>
      <c r="AD85" s="496">
        <f>IF(X85&gt;0,(AC85-X85)/X85,(IF(AC85=0,"N/A",100%)))</f>
        <v>-0.27170868347338933</v>
      </c>
      <c r="AE85" s="1747">
        <f>+AE84+AE83</f>
        <v>164</v>
      </c>
      <c r="AF85" s="1746">
        <f>+AF84+AF83</f>
        <v>0</v>
      </c>
      <c r="AG85" s="1746">
        <f>+AG84+AG83</f>
        <v>42</v>
      </c>
      <c r="AH85" s="1746">
        <f>+AH84+AH83</f>
        <v>206</v>
      </c>
      <c r="AI85" s="496">
        <f>IF(AC85&gt;0,(AH85-AC85)/AC85,(IF(AH85=0,"N/A",100%)))</f>
        <v>-0.2076923076923077</v>
      </c>
      <c r="AJ85" s="1747">
        <f>+AJ84+AJ83</f>
        <v>172</v>
      </c>
      <c r="AK85" s="1746">
        <f>+AK84+AK83</f>
        <v>0</v>
      </c>
      <c r="AL85" s="1746">
        <f>+AL84+AL83</f>
        <v>48</v>
      </c>
      <c r="AM85" s="1746">
        <f>+AM84+AM83</f>
        <v>220</v>
      </c>
      <c r="AN85" s="496">
        <f>IF(AH85&gt;0,(AM85-AH85)/AH85,(IF(AM85=0,"N/A",100%)))</f>
        <v>6.7961165048543687E-2</v>
      </c>
      <c r="AO85" s="1747">
        <f>+AO84+AO83</f>
        <v>148</v>
      </c>
      <c r="AP85" s="1746">
        <f>+AP84+AP83</f>
        <v>0</v>
      </c>
      <c r="AQ85" s="1746">
        <f>+AQ84+AQ83</f>
        <v>24</v>
      </c>
      <c r="AR85" s="1746">
        <f>+AR84+AR83</f>
        <v>172</v>
      </c>
      <c r="AS85" s="496">
        <f>IF(AM85&gt;0,(AR85-AM85)/AM85,(IF(AR85=0,"N/A",100%)))</f>
        <v>-0.21818181818181817</v>
      </c>
    </row>
    <row r="86" spans="1:45" x14ac:dyDescent="0.25">
      <c r="A86" s="968" t="s">
        <v>412</v>
      </c>
      <c r="B86" s="1244"/>
      <c r="C86" s="1244"/>
      <c r="D86" s="1244"/>
      <c r="E86" s="1719"/>
      <c r="F86" s="1716"/>
      <c r="G86" s="1244"/>
      <c r="H86" s="1244"/>
      <c r="I86" s="1718"/>
      <c r="J86" s="1719"/>
      <c r="K86" s="1717"/>
      <c r="L86" s="1718"/>
      <c r="M86" s="1718"/>
      <c r="N86" s="1743"/>
      <c r="O86" s="1719"/>
      <c r="P86" s="1720"/>
      <c r="Q86" s="1721"/>
      <c r="R86" s="1721"/>
      <c r="S86" s="1721"/>
      <c r="T86" s="1722"/>
      <c r="U86" s="1717"/>
      <c r="V86" s="1718"/>
      <c r="W86" s="1718"/>
      <c r="X86" s="1718"/>
      <c r="Y86" s="1719"/>
      <c r="Z86" s="1717"/>
      <c r="AA86" s="1718"/>
      <c r="AB86" s="1718"/>
      <c r="AC86" s="1718"/>
      <c r="AD86" s="1719"/>
      <c r="AE86" s="1717"/>
      <c r="AF86" s="1718"/>
      <c r="AG86" s="1718"/>
      <c r="AH86" s="1718"/>
      <c r="AI86" s="1719"/>
      <c r="AJ86" s="1717"/>
      <c r="AK86" s="1718"/>
      <c r="AL86" s="1718"/>
      <c r="AM86" s="1718"/>
      <c r="AN86" s="1719"/>
      <c r="AO86" s="1717"/>
      <c r="AP86" s="1718"/>
      <c r="AQ86" s="1718"/>
      <c r="AR86" s="1718"/>
      <c r="AS86" s="1719"/>
    </row>
    <row r="87" spans="1:45" x14ac:dyDescent="0.25">
      <c r="A87" s="969" t="s">
        <v>1355</v>
      </c>
      <c r="B87" s="1245">
        <v>57</v>
      </c>
      <c r="C87" s="1245">
        <v>0</v>
      </c>
      <c r="D87" s="1245">
        <v>0</v>
      </c>
      <c r="E87" s="1723">
        <f>SUM(B87:D87)</f>
        <v>57</v>
      </c>
      <c r="F87" s="1730">
        <v>69</v>
      </c>
      <c r="G87" s="1245">
        <v>0</v>
      </c>
      <c r="H87" s="1245">
        <v>0</v>
      </c>
      <c r="I87" s="1724">
        <f>SUM(F87:H87)</f>
        <v>69</v>
      </c>
      <c r="J87" s="491">
        <f>IF(E87&gt;0,(I87-E87)/E87,(IF(I87=0,"N/A",100%)))</f>
        <v>0.21052631578947367</v>
      </c>
      <c r="K87" s="1725">
        <v>105</v>
      </c>
      <c r="L87" s="1724">
        <v>0</v>
      </c>
      <c r="M87" s="1724">
        <v>0</v>
      </c>
      <c r="N87" s="1741">
        <f>SUM(K87:M87)</f>
        <v>105</v>
      </c>
      <c r="O87" s="491">
        <f>IF(I87&gt;0,(N87-I87)/I87,(IF(N87=0,"N/A",100%)))</f>
        <v>0.52173913043478259</v>
      </c>
      <c r="P87" s="1727">
        <v>63</v>
      </c>
      <c r="Q87" s="1727">
        <v>0</v>
      </c>
      <c r="R87" s="1727">
        <v>0</v>
      </c>
      <c r="S87" s="1727">
        <f>SUM(P87:R87)</f>
        <v>63</v>
      </c>
      <c r="T87" s="514">
        <f>IF(N87&gt;0,(S87-N87)/N87,(IF(S87=0,"N/A",100%)))</f>
        <v>-0.4</v>
      </c>
      <c r="U87" s="1725">
        <v>72</v>
      </c>
      <c r="V87" s="1724">
        <v>0</v>
      </c>
      <c r="W87" s="1724">
        <v>0</v>
      </c>
      <c r="X87" s="1724">
        <f>SUM(U87:W87)</f>
        <v>72</v>
      </c>
      <c r="Y87" s="491">
        <f t="shared" si="89"/>
        <v>0.14285714285714285</v>
      </c>
      <c r="Z87" s="1725">
        <v>45</v>
      </c>
      <c r="AA87" s="1724">
        <v>0</v>
      </c>
      <c r="AB87" s="1724">
        <v>0</v>
      </c>
      <c r="AC87" s="1724">
        <f>SUM(Z87:AB87)</f>
        <v>45</v>
      </c>
      <c r="AD87" s="491">
        <f>IF(X87&gt;0,(AC87-X87)/X87,(IF(AC87=0,"N/A",100%)))</f>
        <v>-0.375</v>
      </c>
      <c r="AE87" s="1725">
        <v>39</v>
      </c>
      <c r="AF87" s="1724">
        <v>0</v>
      </c>
      <c r="AG87" s="1724">
        <v>0</v>
      </c>
      <c r="AH87" s="1724">
        <f>SUM(AE87:AG87)</f>
        <v>39</v>
      </c>
      <c r="AI87" s="491">
        <f>IF(AC87&gt;0,(AH87-AC87)/AC87,(IF(AH87=0,"N/A",100%)))</f>
        <v>-0.13333333333333333</v>
      </c>
      <c r="AJ87" s="1725">
        <v>59</v>
      </c>
      <c r="AK87" s="1724">
        <v>0</v>
      </c>
      <c r="AL87" s="1724">
        <v>0</v>
      </c>
      <c r="AM87" s="1724">
        <f>SUM(AJ87:AL87)</f>
        <v>59</v>
      </c>
      <c r="AN87" s="491">
        <f>IF(AH87&gt;0,(AM87-AH87)/AH87,(IF(AM87=0,"N/A",100%)))</f>
        <v>0.51282051282051277</v>
      </c>
      <c r="AO87" s="1725">
        <v>58</v>
      </c>
      <c r="AP87" s="1724">
        <v>3</v>
      </c>
      <c r="AQ87" s="1724">
        <v>0</v>
      </c>
      <c r="AR87" s="1724">
        <f>SUM(AO87:AQ87)</f>
        <v>61</v>
      </c>
      <c r="AS87" s="491">
        <f>IF(AM87&gt;0,(AR87-AM87)/AM87,(IF(AR87=0,"N/A",100%)))</f>
        <v>3.3898305084745763E-2</v>
      </c>
    </row>
    <row r="88" spans="1:45" x14ac:dyDescent="0.25">
      <c r="A88" s="969" t="s">
        <v>854</v>
      </c>
      <c r="B88" s="1245">
        <v>153</v>
      </c>
      <c r="C88" s="1245">
        <v>0</v>
      </c>
      <c r="D88" s="1245">
        <v>0</v>
      </c>
      <c r="E88" s="1723">
        <f>SUM(B88:D88)</f>
        <v>153</v>
      </c>
      <c r="F88" s="1730">
        <v>156</v>
      </c>
      <c r="G88" s="1245">
        <v>15</v>
      </c>
      <c r="H88" s="1245">
        <v>0</v>
      </c>
      <c r="I88" s="1724">
        <f>SUM(F88:H88)</f>
        <v>171</v>
      </c>
      <c r="J88" s="491">
        <f>IF(E88&gt;0,(I88-E88)/E88,(IF(I88=0,"N/A",100%)))</f>
        <v>0.11764705882352941</v>
      </c>
      <c r="K88" s="1725">
        <v>240</v>
      </c>
      <c r="L88" s="1724">
        <v>0</v>
      </c>
      <c r="M88" s="1724">
        <v>0</v>
      </c>
      <c r="N88" s="1741">
        <f>SUM(K88:M88)</f>
        <v>240</v>
      </c>
      <c r="O88" s="491">
        <f>IF(I88&gt;0,(N88-I88)/I88,(IF(N88=0,"N/A",100%)))</f>
        <v>0.40350877192982454</v>
      </c>
      <c r="P88" s="1727">
        <v>225</v>
      </c>
      <c r="Q88" s="1727">
        <v>0</v>
      </c>
      <c r="R88" s="1727">
        <v>0</v>
      </c>
      <c r="S88" s="1727">
        <f>SUM(P88:R88)</f>
        <v>225</v>
      </c>
      <c r="T88" s="514">
        <f>IF(N88&gt;0,(S88-N88)/N88,(IF(S88=0,"N/A",100%)))</f>
        <v>-6.25E-2</v>
      </c>
      <c r="U88" s="1725">
        <v>153</v>
      </c>
      <c r="V88" s="1724">
        <v>12</v>
      </c>
      <c r="W88" s="1724">
        <v>0</v>
      </c>
      <c r="X88" s="1724">
        <f>SUM(U88:W88)</f>
        <v>165</v>
      </c>
      <c r="Y88" s="491">
        <f t="shared" si="89"/>
        <v>-0.26666666666666666</v>
      </c>
      <c r="Z88" s="1725">
        <v>126</v>
      </c>
      <c r="AA88" s="1724">
        <v>54</v>
      </c>
      <c r="AB88" s="1724">
        <v>0</v>
      </c>
      <c r="AC88" s="1724">
        <f>SUM(Z88:AB88)</f>
        <v>180</v>
      </c>
      <c r="AD88" s="491">
        <f>IF(X88&gt;0,(AC88-X88)/X88,(IF(AC88=0,"N/A",100%)))</f>
        <v>9.0909090909090912E-2</v>
      </c>
      <c r="AE88" s="1725">
        <v>138</v>
      </c>
      <c r="AF88" s="1724">
        <v>0</v>
      </c>
      <c r="AG88" s="1724">
        <v>0</v>
      </c>
      <c r="AH88" s="1724">
        <f>SUM(AE88:AG88)</f>
        <v>138</v>
      </c>
      <c r="AI88" s="491">
        <f>IF(AC88&gt;0,(AH88-AC88)/AC88,(IF(AH88=0,"N/A",100%)))</f>
        <v>-0.23333333333333334</v>
      </c>
      <c r="AJ88" s="1725">
        <v>153</v>
      </c>
      <c r="AK88" s="1724">
        <v>0</v>
      </c>
      <c r="AL88" s="1724">
        <v>0</v>
      </c>
      <c r="AM88" s="1724">
        <f>SUM(AJ88:AL88)</f>
        <v>153</v>
      </c>
      <c r="AN88" s="491">
        <f>IF(AH88&gt;0,(AM88-AH88)/AH88,(IF(AM88=0,"N/A",100%)))</f>
        <v>0.10869565217391304</v>
      </c>
      <c r="AO88" s="1725">
        <v>159</v>
      </c>
      <c r="AP88" s="1724">
        <v>15</v>
      </c>
      <c r="AQ88" s="1724">
        <v>0</v>
      </c>
      <c r="AR88" s="1724">
        <f>SUM(AO88:AQ88)</f>
        <v>174</v>
      </c>
      <c r="AS88" s="491">
        <f>IF(AM88&gt;0,(AR88-AM88)/AM88,(IF(AR88=0,"N/A",100%)))</f>
        <v>0.13725490196078433</v>
      </c>
    </row>
    <row r="89" spans="1:45" s="484" customFormat="1" ht="13.8" x14ac:dyDescent="0.25">
      <c r="A89" s="970" t="s">
        <v>1015</v>
      </c>
      <c r="B89" s="1259">
        <f t="shared" ref="B89:I89" si="92">SUM(B87:B88)</f>
        <v>210</v>
      </c>
      <c r="C89" s="1259">
        <f t="shared" si="92"/>
        <v>0</v>
      </c>
      <c r="D89" s="1259">
        <f t="shared" si="92"/>
        <v>0</v>
      </c>
      <c r="E89" s="495">
        <f>SUM(E87:E88)</f>
        <v>210</v>
      </c>
      <c r="F89" s="1259">
        <f t="shared" si="92"/>
        <v>225</v>
      </c>
      <c r="G89" s="1259">
        <f t="shared" si="92"/>
        <v>15</v>
      </c>
      <c r="H89" s="1259">
        <f t="shared" si="92"/>
        <v>0</v>
      </c>
      <c r="I89" s="1259">
        <f t="shared" si="92"/>
        <v>240</v>
      </c>
      <c r="J89" s="496">
        <f>IF(E89&gt;0,(I89-E89)/E89,(IF(I89=0,"N/A",100%)))</f>
        <v>0.14285714285714285</v>
      </c>
      <c r="K89" s="1732">
        <f t="shared" ref="K89:S89" si="93">SUM(K87:K88)</f>
        <v>345</v>
      </c>
      <c r="L89" s="1259">
        <f t="shared" si="93"/>
        <v>0</v>
      </c>
      <c r="M89" s="1259">
        <f t="shared" si="93"/>
        <v>0</v>
      </c>
      <c r="N89" s="1742">
        <f t="shared" si="93"/>
        <v>345</v>
      </c>
      <c r="O89" s="496">
        <f>IF(I89&gt;0,(N89-I89)/I89,(IF(N89=0,"N/A",100%)))</f>
        <v>0.4375</v>
      </c>
      <c r="P89" s="1048">
        <f t="shared" si="93"/>
        <v>288</v>
      </c>
      <c r="Q89" s="1048">
        <f t="shared" si="93"/>
        <v>0</v>
      </c>
      <c r="R89" s="1048">
        <f t="shared" si="93"/>
        <v>0</v>
      </c>
      <c r="S89" s="1048">
        <f t="shared" si="93"/>
        <v>288</v>
      </c>
      <c r="T89" s="543">
        <f>IF(N89&gt;0,(S89-N89)/N89,(IF(S89=0,"N/A",100%)))</f>
        <v>-0.16521739130434782</v>
      </c>
      <c r="U89" s="1732">
        <f>SUM(U87:U88)</f>
        <v>225</v>
      </c>
      <c r="V89" s="1259">
        <f>SUM(V87:V88)</f>
        <v>12</v>
      </c>
      <c r="W89" s="1259">
        <f>SUM(W87:W88)</f>
        <v>0</v>
      </c>
      <c r="X89" s="1259">
        <f>SUM(X87:X88)</f>
        <v>237</v>
      </c>
      <c r="Y89" s="496">
        <f t="shared" si="89"/>
        <v>-0.17708333333333334</v>
      </c>
      <c r="Z89" s="1732">
        <f>SUM(Z87:Z88)</f>
        <v>171</v>
      </c>
      <c r="AA89" s="1259">
        <f>SUM(AA87:AA88)</f>
        <v>54</v>
      </c>
      <c r="AB89" s="1259">
        <f>SUM(AB87:AB88)</f>
        <v>0</v>
      </c>
      <c r="AC89" s="1259">
        <f>SUM(AC87:AC88)</f>
        <v>225</v>
      </c>
      <c r="AD89" s="496">
        <f>IF(X89&gt;0,(AC89-X89)/X89,(IF(AC89=0,"N/A",100%)))</f>
        <v>-5.0632911392405063E-2</v>
      </c>
      <c r="AE89" s="1732">
        <f>SUM(AE87:AE88)</f>
        <v>177</v>
      </c>
      <c r="AF89" s="1259">
        <f>SUM(AF87:AF88)</f>
        <v>0</v>
      </c>
      <c r="AG89" s="1259">
        <f>SUM(AG87:AG88)</f>
        <v>0</v>
      </c>
      <c r="AH89" s="1259">
        <f>SUM(AH87:AH88)</f>
        <v>177</v>
      </c>
      <c r="AI89" s="496">
        <f>IF(AC89&gt;0,(AH89-AC89)/AC89,(IF(AH89=0,"N/A",100%)))</f>
        <v>-0.21333333333333335</v>
      </c>
      <c r="AJ89" s="1732">
        <f>SUM(AJ87:AJ88)</f>
        <v>212</v>
      </c>
      <c r="AK89" s="1259">
        <f>SUM(AK87:AK88)</f>
        <v>0</v>
      </c>
      <c r="AL89" s="1259">
        <f>SUM(AL87:AL88)</f>
        <v>0</v>
      </c>
      <c r="AM89" s="1259">
        <f>SUM(AM87:AM88)</f>
        <v>212</v>
      </c>
      <c r="AN89" s="496">
        <f>IF(AH89&gt;0,(AM89-AH89)/AH89,(IF(AM89=0,"N/A",100%)))</f>
        <v>0.19774011299435029</v>
      </c>
      <c r="AO89" s="1732">
        <f>SUM(AO87:AO88)</f>
        <v>217</v>
      </c>
      <c r="AP89" s="1259">
        <f>SUM(AP87:AP88)</f>
        <v>18</v>
      </c>
      <c r="AQ89" s="1259">
        <f>SUM(AQ87:AQ88)</f>
        <v>0</v>
      </c>
      <c r="AR89" s="1259">
        <f>SUM(AR87:AR88)</f>
        <v>235</v>
      </c>
      <c r="AS89" s="496">
        <f>IF(AM89&gt;0,(AR89-AM89)/AM89,(IF(AR89=0,"N/A",100%)))</f>
        <v>0.10849056603773585</v>
      </c>
    </row>
    <row r="90" spans="1:45" s="1546" customFormat="1" x14ac:dyDescent="0.25">
      <c r="A90" s="1749" t="s">
        <v>414</v>
      </c>
      <c r="B90" s="1672"/>
      <c r="C90" s="1672"/>
      <c r="D90" s="1672"/>
      <c r="E90" s="1750"/>
      <c r="F90" s="1751"/>
      <c r="G90" s="1672"/>
      <c r="H90" s="1672"/>
      <c r="I90" s="1752"/>
      <c r="J90" s="1750"/>
      <c r="K90" s="1753"/>
      <c r="L90" s="1752"/>
      <c r="M90" s="1752"/>
      <c r="N90" s="1754"/>
      <c r="O90" s="1750"/>
      <c r="P90" s="1755"/>
      <c r="Q90" s="1755"/>
      <c r="R90" s="1755"/>
      <c r="S90" s="1755"/>
      <c r="T90" s="1756"/>
      <c r="U90" s="1753"/>
      <c r="V90" s="1752"/>
      <c r="W90" s="1752"/>
      <c r="X90" s="1752"/>
      <c r="Y90" s="1750"/>
      <c r="Z90" s="1753"/>
      <c r="AA90" s="1752"/>
      <c r="AB90" s="1752"/>
      <c r="AC90" s="1752"/>
      <c r="AD90" s="1750"/>
      <c r="AE90" s="1753"/>
      <c r="AF90" s="1752"/>
      <c r="AG90" s="1752"/>
      <c r="AH90" s="1752"/>
      <c r="AI90" s="1750"/>
      <c r="AJ90" s="1753"/>
      <c r="AK90" s="1752"/>
      <c r="AL90" s="1752"/>
      <c r="AM90" s="1752"/>
      <c r="AN90" s="1750"/>
      <c r="AO90" s="1753"/>
      <c r="AP90" s="1752"/>
      <c r="AQ90" s="1752"/>
      <c r="AR90" s="1752"/>
      <c r="AS90" s="1750"/>
    </row>
    <row r="91" spans="1:45" x14ac:dyDescent="0.25">
      <c r="A91" s="969" t="s">
        <v>1061</v>
      </c>
      <c r="B91" s="1245">
        <v>192</v>
      </c>
      <c r="C91" s="1245">
        <v>0</v>
      </c>
      <c r="D91" s="1245">
        <v>0</v>
      </c>
      <c r="E91" s="1723">
        <f>SUM(B91:D91)</f>
        <v>192</v>
      </c>
      <c r="F91" s="1730">
        <v>328</v>
      </c>
      <c r="G91" s="1245">
        <v>0</v>
      </c>
      <c r="H91" s="1245">
        <v>0</v>
      </c>
      <c r="I91" s="1724">
        <f>SUM(F91:H91)</f>
        <v>328</v>
      </c>
      <c r="J91" s="491">
        <f t="shared" ref="J91:J96" si="94">IF(E91&gt;0,(I91-E91)/E91,(IF(I91=0,"N/A",100%)))</f>
        <v>0.70833333333333337</v>
      </c>
      <c r="K91" s="1725">
        <v>252</v>
      </c>
      <c r="L91" s="1724">
        <v>4</v>
      </c>
      <c r="M91" s="1724">
        <v>0</v>
      </c>
      <c r="N91" s="1741">
        <f>SUM(K91:M91)</f>
        <v>256</v>
      </c>
      <c r="O91" s="491">
        <f t="shared" ref="O91:O96" si="95">IF(I91&gt;0,(N91-I91)/I91,(IF(N91=0,"N/A",100%)))</f>
        <v>-0.21951219512195122</v>
      </c>
      <c r="P91" s="1727">
        <v>272</v>
      </c>
      <c r="Q91" s="1727">
        <v>0</v>
      </c>
      <c r="R91" s="1727">
        <v>0</v>
      </c>
      <c r="S91" s="1727">
        <f>SUM(P91:R91)</f>
        <v>272</v>
      </c>
      <c r="T91" s="514">
        <f t="shared" ref="T91:T96" si="96">IF(N91&gt;0,(S91-N91)/N91,(IF(S91=0,"N/A",100%)))</f>
        <v>6.25E-2</v>
      </c>
      <c r="U91" s="1725">
        <v>236</v>
      </c>
      <c r="V91" s="1724">
        <v>0</v>
      </c>
      <c r="W91" s="1724">
        <v>0</v>
      </c>
      <c r="X91" s="1724">
        <f>SUM(U91:W91)</f>
        <v>236</v>
      </c>
      <c r="Y91" s="491">
        <f t="shared" si="89"/>
        <v>-0.13235294117647059</v>
      </c>
      <c r="Z91" s="1725">
        <v>104</v>
      </c>
      <c r="AA91" s="1724">
        <v>56</v>
      </c>
      <c r="AB91" s="1724">
        <v>0</v>
      </c>
      <c r="AC91" s="1724">
        <f>SUM(Z91:AB91)</f>
        <v>160</v>
      </c>
      <c r="AD91" s="491">
        <f t="shared" ref="AD91:AD96" si="97">IF(X91&gt;0,(AC91-X91)/X91,(IF(AC91=0,"N/A",100%)))</f>
        <v>-0.32203389830508472</v>
      </c>
      <c r="AE91" s="1725">
        <v>176</v>
      </c>
      <c r="AF91" s="1724">
        <v>0</v>
      </c>
      <c r="AG91" s="1724">
        <v>0</v>
      </c>
      <c r="AH91" s="1724">
        <f>SUM(AE91:AG91)</f>
        <v>176</v>
      </c>
      <c r="AI91" s="491">
        <f t="shared" ref="AI91:AI96" si="98">IF(AC91&gt;0,(AH91-AC91)/AC91,(IF(AH91=0,"N/A",100%)))</f>
        <v>0.1</v>
      </c>
      <c r="AJ91" s="1725">
        <v>152</v>
      </c>
      <c r="AK91" s="1724">
        <v>0</v>
      </c>
      <c r="AL91" s="1724">
        <v>0</v>
      </c>
      <c r="AM91" s="1724">
        <f>SUM(AJ91:AL91)</f>
        <v>152</v>
      </c>
      <c r="AN91" s="491">
        <f t="shared" ref="AN91:AN96" si="99">IF(AH91&gt;0,(AM91-AH91)/AH91,(IF(AM91=0,"N/A",100%)))</f>
        <v>-0.13636363636363635</v>
      </c>
      <c r="AO91" s="1725">
        <v>132</v>
      </c>
      <c r="AP91" s="1724">
        <v>0</v>
      </c>
      <c r="AQ91" s="1724">
        <v>0</v>
      </c>
      <c r="AR91" s="1724">
        <f>SUM(AO91:AQ91)</f>
        <v>132</v>
      </c>
      <c r="AS91" s="491">
        <f t="shared" ref="AS91:AS96" si="100">IF(AM91&gt;0,(AR91-AM91)/AM91,(IF(AR91=0,"N/A",100%)))</f>
        <v>-0.13157894736842105</v>
      </c>
    </row>
    <row r="92" spans="1:45" x14ac:dyDescent="0.25">
      <c r="A92" s="969" t="s">
        <v>1062</v>
      </c>
      <c r="B92" s="1245">
        <v>25</v>
      </c>
      <c r="C92" s="1245">
        <v>0</v>
      </c>
      <c r="D92" s="1245">
        <v>0</v>
      </c>
      <c r="E92" s="1723">
        <f>SUM(B92:D92)</f>
        <v>25</v>
      </c>
      <c r="F92" s="1730">
        <v>18</v>
      </c>
      <c r="G92" s="1245">
        <v>0</v>
      </c>
      <c r="H92" s="1245">
        <v>0</v>
      </c>
      <c r="I92" s="1724">
        <f>SUM(F92:H92)</f>
        <v>18</v>
      </c>
      <c r="J92" s="491">
        <f t="shared" si="94"/>
        <v>-0.28000000000000003</v>
      </c>
      <c r="K92" s="1725">
        <v>18</v>
      </c>
      <c r="L92" s="1724">
        <v>0</v>
      </c>
      <c r="M92" s="1724">
        <v>0</v>
      </c>
      <c r="N92" s="1741">
        <f>SUM(K92:M92)</f>
        <v>18</v>
      </c>
      <c r="O92" s="491">
        <f t="shared" si="95"/>
        <v>0</v>
      </c>
      <c r="P92" s="1727">
        <v>0</v>
      </c>
      <c r="Q92" s="1727">
        <v>0</v>
      </c>
      <c r="R92" s="1727">
        <v>0</v>
      </c>
      <c r="S92" s="1727">
        <f>SUM(P92:R92)</f>
        <v>0</v>
      </c>
      <c r="T92" s="514">
        <f t="shared" si="96"/>
        <v>-1</v>
      </c>
      <c r="U92" s="1725">
        <v>0</v>
      </c>
      <c r="V92" s="1724">
        <v>0</v>
      </c>
      <c r="W92" s="1724">
        <v>0</v>
      </c>
      <c r="X92" s="1724">
        <f>SUM(U92:W92)</f>
        <v>0</v>
      </c>
      <c r="Y92" s="491" t="str">
        <f t="shared" si="89"/>
        <v>N/A</v>
      </c>
      <c r="Z92" s="1725">
        <v>0</v>
      </c>
      <c r="AA92" s="1724">
        <v>0</v>
      </c>
      <c r="AB92" s="1724">
        <v>0</v>
      </c>
      <c r="AC92" s="1724">
        <f>SUM(Z92:AB92)</f>
        <v>0</v>
      </c>
      <c r="AD92" s="491" t="str">
        <f t="shared" si="97"/>
        <v>N/A</v>
      </c>
      <c r="AE92" s="1725">
        <v>0</v>
      </c>
      <c r="AF92" s="1724">
        <v>0</v>
      </c>
      <c r="AG92" s="1724">
        <v>0</v>
      </c>
      <c r="AH92" s="1724">
        <f>SUM(AE92:AG92)</f>
        <v>0</v>
      </c>
      <c r="AI92" s="491" t="str">
        <f t="shared" si="98"/>
        <v>N/A</v>
      </c>
      <c r="AJ92" s="1725">
        <v>0</v>
      </c>
      <c r="AK92" s="1724">
        <v>0</v>
      </c>
      <c r="AL92" s="1724">
        <v>0</v>
      </c>
      <c r="AM92" s="1724">
        <f>SUM(AJ92:AL92)</f>
        <v>0</v>
      </c>
      <c r="AN92" s="491" t="str">
        <f t="shared" si="99"/>
        <v>N/A</v>
      </c>
      <c r="AO92" s="1725">
        <v>0</v>
      </c>
      <c r="AP92" s="1724">
        <v>0</v>
      </c>
      <c r="AQ92" s="1724">
        <v>0</v>
      </c>
      <c r="AR92" s="1724">
        <f>SUM(AO92:AQ92)</f>
        <v>0</v>
      </c>
      <c r="AS92" s="491" t="str">
        <f t="shared" si="100"/>
        <v>N/A</v>
      </c>
    </row>
    <row r="93" spans="1:45" x14ac:dyDescent="0.25">
      <c r="A93" s="969" t="s">
        <v>1063</v>
      </c>
      <c r="B93" s="1245">
        <v>0</v>
      </c>
      <c r="C93" s="1245">
        <v>0</v>
      </c>
      <c r="D93" s="1245">
        <v>0</v>
      </c>
      <c r="E93" s="1723">
        <f>SUM(B93:D93)</f>
        <v>0</v>
      </c>
      <c r="F93" s="1730">
        <v>0</v>
      </c>
      <c r="G93" s="1245">
        <v>0</v>
      </c>
      <c r="H93" s="1245">
        <v>0</v>
      </c>
      <c r="I93" s="1724">
        <f>SUM(F93:H93)</f>
        <v>0</v>
      </c>
      <c r="J93" s="491" t="str">
        <f t="shared" si="94"/>
        <v>N/A</v>
      </c>
      <c r="K93" s="1725">
        <v>0</v>
      </c>
      <c r="L93" s="1724">
        <v>0</v>
      </c>
      <c r="M93" s="1724">
        <v>0</v>
      </c>
      <c r="N93" s="1741">
        <f>SUM(K93:M93)</f>
        <v>0</v>
      </c>
      <c r="O93" s="491" t="str">
        <f t="shared" si="95"/>
        <v>N/A</v>
      </c>
      <c r="P93" s="1727">
        <v>0</v>
      </c>
      <c r="Q93" s="1727">
        <v>0</v>
      </c>
      <c r="R93" s="1727">
        <v>0</v>
      </c>
      <c r="S93" s="1727">
        <f>SUM(P93:R93)</f>
        <v>0</v>
      </c>
      <c r="T93" s="514" t="str">
        <f t="shared" si="96"/>
        <v>N/A</v>
      </c>
      <c r="U93" s="1725">
        <v>24</v>
      </c>
      <c r="V93" s="1724">
        <v>0</v>
      </c>
      <c r="W93" s="1724">
        <v>0</v>
      </c>
      <c r="X93" s="1724">
        <f>SUM(U93:W93)</f>
        <v>24</v>
      </c>
      <c r="Y93" s="491">
        <f t="shared" si="89"/>
        <v>1</v>
      </c>
      <c r="Z93" s="1725">
        <v>0</v>
      </c>
      <c r="AA93" s="1724">
        <v>0</v>
      </c>
      <c r="AB93" s="1724">
        <v>0</v>
      </c>
      <c r="AC93" s="1724">
        <f>SUM(Z93:AB93)</f>
        <v>0</v>
      </c>
      <c r="AD93" s="491">
        <f t="shared" si="97"/>
        <v>-1</v>
      </c>
      <c r="AE93" s="1725">
        <v>0</v>
      </c>
      <c r="AF93" s="1724">
        <v>0</v>
      </c>
      <c r="AG93" s="1724">
        <v>0</v>
      </c>
      <c r="AH93" s="1724">
        <f>SUM(AE93:AG93)</f>
        <v>0</v>
      </c>
      <c r="AI93" s="491" t="str">
        <f t="shared" si="98"/>
        <v>N/A</v>
      </c>
      <c r="AJ93" s="1725">
        <v>0</v>
      </c>
      <c r="AK93" s="1724">
        <v>0</v>
      </c>
      <c r="AL93" s="1724">
        <v>0</v>
      </c>
      <c r="AM93" s="1724">
        <f>SUM(AJ93:AL93)</f>
        <v>0</v>
      </c>
      <c r="AN93" s="491" t="str">
        <f t="shared" si="99"/>
        <v>N/A</v>
      </c>
      <c r="AO93" s="1725">
        <v>0</v>
      </c>
      <c r="AP93" s="1724">
        <v>0</v>
      </c>
      <c r="AQ93" s="1724">
        <v>0</v>
      </c>
      <c r="AR93" s="1724">
        <f>SUM(AO93:AQ93)</f>
        <v>0</v>
      </c>
      <c r="AS93" s="491" t="str">
        <f t="shared" si="100"/>
        <v>N/A</v>
      </c>
    </row>
    <row r="94" spans="1:45" x14ac:dyDescent="0.25">
      <c r="A94" s="969" t="s">
        <v>1064</v>
      </c>
      <c r="B94" s="1245">
        <v>28</v>
      </c>
      <c r="C94" s="1245">
        <v>0</v>
      </c>
      <c r="D94" s="1245">
        <v>0</v>
      </c>
      <c r="E94" s="1723">
        <f>SUM(B94:D94)</f>
        <v>28</v>
      </c>
      <c r="F94" s="1730">
        <v>64</v>
      </c>
      <c r="G94" s="1245">
        <v>0</v>
      </c>
      <c r="H94" s="1245">
        <v>0</v>
      </c>
      <c r="I94" s="1724">
        <f>SUM(F94:H94)</f>
        <v>64</v>
      </c>
      <c r="J94" s="491">
        <f t="shared" si="94"/>
        <v>1.2857142857142858</v>
      </c>
      <c r="K94" s="1725">
        <v>36</v>
      </c>
      <c r="L94" s="1724">
        <v>0</v>
      </c>
      <c r="M94" s="1724">
        <v>0</v>
      </c>
      <c r="N94" s="1741">
        <f>SUM(K94:M94)</f>
        <v>36</v>
      </c>
      <c r="O94" s="491">
        <f t="shared" si="95"/>
        <v>-0.4375</v>
      </c>
      <c r="P94" s="1727">
        <v>32</v>
      </c>
      <c r="Q94" s="1727">
        <v>0</v>
      </c>
      <c r="R94" s="1727">
        <v>0</v>
      </c>
      <c r="S94" s="1727">
        <f>SUM(P94:R94)</f>
        <v>32</v>
      </c>
      <c r="T94" s="514">
        <f t="shared" si="96"/>
        <v>-0.1111111111111111</v>
      </c>
      <c r="U94" s="1725">
        <v>60</v>
      </c>
      <c r="V94" s="1724">
        <v>0</v>
      </c>
      <c r="W94" s="1724">
        <v>0</v>
      </c>
      <c r="X94" s="1724">
        <f>SUM(U94:W94)</f>
        <v>60</v>
      </c>
      <c r="Y94" s="491">
        <f t="shared" si="89"/>
        <v>0.875</v>
      </c>
      <c r="Z94" s="1725">
        <v>0</v>
      </c>
      <c r="AA94" s="1724">
        <v>60</v>
      </c>
      <c r="AB94" s="1724">
        <v>0</v>
      </c>
      <c r="AC94" s="1724">
        <f>SUM(Z94:AB94)</f>
        <v>60</v>
      </c>
      <c r="AD94" s="491">
        <f t="shared" si="97"/>
        <v>0</v>
      </c>
      <c r="AE94" s="1725">
        <v>56</v>
      </c>
      <c r="AF94" s="1724">
        <v>0</v>
      </c>
      <c r="AG94" s="1724">
        <v>0</v>
      </c>
      <c r="AH94" s="1724">
        <f>SUM(AE94:AG94)</f>
        <v>56</v>
      </c>
      <c r="AI94" s="491">
        <f t="shared" si="98"/>
        <v>-6.6666666666666666E-2</v>
      </c>
      <c r="AJ94" s="1725">
        <v>24</v>
      </c>
      <c r="AK94" s="1724">
        <v>0</v>
      </c>
      <c r="AL94" s="1724">
        <v>0</v>
      </c>
      <c r="AM94" s="1724">
        <f>SUM(AJ94:AL94)</f>
        <v>24</v>
      </c>
      <c r="AN94" s="491">
        <f t="shared" si="99"/>
        <v>-0.5714285714285714</v>
      </c>
      <c r="AO94" s="1725">
        <v>0</v>
      </c>
      <c r="AP94" s="1724">
        <v>0</v>
      </c>
      <c r="AQ94" s="1724">
        <v>0</v>
      </c>
      <c r="AR94" s="1724">
        <f>SUM(AO94:AQ94)</f>
        <v>0</v>
      </c>
      <c r="AS94" s="491">
        <f t="shared" si="100"/>
        <v>-1</v>
      </c>
    </row>
    <row r="95" spans="1:45" x14ac:dyDescent="0.25">
      <c r="A95" s="969" t="s">
        <v>1065</v>
      </c>
      <c r="B95" s="1245">
        <v>104</v>
      </c>
      <c r="C95" s="1245">
        <v>0</v>
      </c>
      <c r="D95" s="1245">
        <v>0</v>
      </c>
      <c r="E95" s="1723">
        <f>SUM(B95:D95)</f>
        <v>104</v>
      </c>
      <c r="F95" s="1730">
        <v>132</v>
      </c>
      <c r="G95" s="1245">
        <v>0</v>
      </c>
      <c r="H95" s="1245">
        <v>0</v>
      </c>
      <c r="I95" s="1724">
        <f>SUM(F95:H95)</f>
        <v>132</v>
      </c>
      <c r="J95" s="491">
        <f t="shared" si="94"/>
        <v>0.26923076923076922</v>
      </c>
      <c r="K95" s="1725">
        <v>120</v>
      </c>
      <c r="L95" s="1724">
        <v>0</v>
      </c>
      <c r="M95" s="1724">
        <v>0</v>
      </c>
      <c r="N95" s="1741">
        <f>SUM(K95:M95)</f>
        <v>120</v>
      </c>
      <c r="O95" s="491">
        <f t="shared" si="95"/>
        <v>-9.0909090909090912E-2</v>
      </c>
      <c r="P95" s="1727">
        <v>112</v>
      </c>
      <c r="Q95" s="1727">
        <v>0</v>
      </c>
      <c r="R95" s="1727">
        <v>0</v>
      </c>
      <c r="S95" s="1727">
        <f>SUM(P95:R95)</f>
        <v>112</v>
      </c>
      <c r="T95" s="514">
        <f t="shared" si="96"/>
        <v>-6.6666666666666666E-2</v>
      </c>
      <c r="U95" s="1725">
        <v>152</v>
      </c>
      <c r="V95" s="1724">
        <v>0</v>
      </c>
      <c r="W95" s="1724">
        <v>0</v>
      </c>
      <c r="X95" s="1724">
        <f>SUM(U95:W95)</f>
        <v>152</v>
      </c>
      <c r="Y95" s="491">
        <f t="shared" si="89"/>
        <v>0.35714285714285715</v>
      </c>
      <c r="Z95" s="1725">
        <v>116</v>
      </c>
      <c r="AA95" s="1724">
        <v>0</v>
      </c>
      <c r="AB95" s="1724">
        <v>0</v>
      </c>
      <c r="AC95" s="1724">
        <f>SUM(Z95:AB95)</f>
        <v>116</v>
      </c>
      <c r="AD95" s="491">
        <f t="shared" si="97"/>
        <v>-0.23684210526315788</v>
      </c>
      <c r="AE95" s="1725">
        <v>76</v>
      </c>
      <c r="AF95" s="1724">
        <v>0</v>
      </c>
      <c r="AG95" s="1724">
        <v>0</v>
      </c>
      <c r="AH95" s="1724">
        <f>SUM(AE95:AG95)</f>
        <v>76</v>
      </c>
      <c r="AI95" s="491">
        <f t="shared" si="98"/>
        <v>-0.34482758620689657</v>
      </c>
      <c r="AJ95" s="1725">
        <v>36</v>
      </c>
      <c r="AK95" s="1724">
        <v>0</v>
      </c>
      <c r="AL95" s="1724">
        <v>0</v>
      </c>
      <c r="AM95" s="1724">
        <f>SUM(AJ95:AL95)</f>
        <v>36</v>
      </c>
      <c r="AN95" s="491">
        <f t="shared" si="99"/>
        <v>-0.52631578947368418</v>
      </c>
      <c r="AO95" s="1725">
        <v>48</v>
      </c>
      <c r="AP95" s="1724">
        <v>0</v>
      </c>
      <c r="AQ95" s="1724">
        <v>0</v>
      </c>
      <c r="AR95" s="1724">
        <f>SUM(AO95:AQ95)</f>
        <v>48</v>
      </c>
      <c r="AS95" s="491">
        <f t="shared" si="100"/>
        <v>0.33333333333333331</v>
      </c>
    </row>
    <row r="96" spans="1:45" s="484" customFormat="1" ht="13.8" x14ac:dyDescent="0.25">
      <c r="A96" s="970" t="s">
        <v>1015</v>
      </c>
      <c r="B96" s="1259">
        <f t="shared" ref="B96:I96" si="101">SUM(B91:B95)</f>
        <v>349</v>
      </c>
      <c r="C96" s="1259">
        <f t="shared" si="101"/>
        <v>0</v>
      </c>
      <c r="D96" s="1259">
        <f t="shared" si="101"/>
        <v>0</v>
      </c>
      <c r="E96" s="495">
        <f>SUM(E91:E95)</f>
        <v>349</v>
      </c>
      <c r="F96" s="1259">
        <f t="shared" si="101"/>
        <v>542</v>
      </c>
      <c r="G96" s="1259">
        <f t="shared" si="101"/>
        <v>0</v>
      </c>
      <c r="H96" s="1259">
        <f t="shared" si="101"/>
        <v>0</v>
      </c>
      <c r="I96" s="1259">
        <f t="shared" si="101"/>
        <v>542</v>
      </c>
      <c r="J96" s="496">
        <f t="shared" si="94"/>
        <v>0.55300859598853869</v>
      </c>
      <c r="K96" s="1732">
        <f t="shared" ref="K96:S96" si="102">SUM(K91:K95)</f>
        <v>426</v>
      </c>
      <c r="L96" s="1259">
        <f t="shared" si="102"/>
        <v>4</v>
      </c>
      <c r="M96" s="1259">
        <f t="shared" si="102"/>
        <v>0</v>
      </c>
      <c r="N96" s="1742">
        <f t="shared" si="102"/>
        <v>430</v>
      </c>
      <c r="O96" s="496">
        <f t="shared" si="95"/>
        <v>-0.20664206642066421</v>
      </c>
      <c r="P96" s="1048">
        <f t="shared" si="102"/>
        <v>416</v>
      </c>
      <c r="Q96" s="1048">
        <f t="shared" si="102"/>
        <v>0</v>
      </c>
      <c r="R96" s="1048">
        <f t="shared" si="102"/>
        <v>0</v>
      </c>
      <c r="S96" s="1048">
        <f t="shared" si="102"/>
        <v>416</v>
      </c>
      <c r="T96" s="543">
        <f t="shared" si="96"/>
        <v>-3.255813953488372E-2</v>
      </c>
      <c r="U96" s="1732">
        <f>SUM(U91:U95)</f>
        <v>472</v>
      </c>
      <c r="V96" s="1259">
        <f>SUM(V91:V95)</f>
        <v>0</v>
      </c>
      <c r="W96" s="1259">
        <f>SUM(W91:W95)</f>
        <v>0</v>
      </c>
      <c r="X96" s="1259">
        <f>SUM(X91:X95)</f>
        <v>472</v>
      </c>
      <c r="Y96" s="496">
        <f t="shared" si="89"/>
        <v>0.13461538461538461</v>
      </c>
      <c r="Z96" s="1732">
        <f>SUM(Z91:Z95)</f>
        <v>220</v>
      </c>
      <c r="AA96" s="1259">
        <f>SUM(AA91:AA95)</f>
        <v>116</v>
      </c>
      <c r="AB96" s="1259">
        <f>SUM(AB91:AB95)</f>
        <v>0</v>
      </c>
      <c r="AC96" s="1259">
        <f>SUM(AC91:AC95)</f>
        <v>336</v>
      </c>
      <c r="AD96" s="496">
        <f t="shared" si="97"/>
        <v>-0.28813559322033899</v>
      </c>
      <c r="AE96" s="1732">
        <f>SUM(AE91:AE95)</f>
        <v>308</v>
      </c>
      <c r="AF96" s="1259">
        <f>SUM(AF91:AF95)</f>
        <v>0</v>
      </c>
      <c r="AG96" s="1259">
        <f>SUM(AG91:AG95)</f>
        <v>0</v>
      </c>
      <c r="AH96" s="1259">
        <f>SUM(AH91:AH95)</f>
        <v>308</v>
      </c>
      <c r="AI96" s="496">
        <f t="shared" si="98"/>
        <v>-8.3333333333333329E-2</v>
      </c>
      <c r="AJ96" s="1732">
        <f>SUM(AJ91:AJ95)</f>
        <v>212</v>
      </c>
      <c r="AK96" s="1259">
        <f>SUM(AK91:AK95)</f>
        <v>0</v>
      </c>
      <c r="AL96" s="1259">
        <f>SUM(AL91:AL95)</f>
        <v>0</v>
      </c>
      <c r="AM96" s="1259">
        <f>SUM(AM91:AM95)</f>
        <v>212</v>
      </c>
      <c r="AN96" s="496">
        <f t="shared" si="99"/>
        <v>-0.31168831168831168</v>
      </c>
      <c r="AO96" s="1732">
        <f>SUM(AO91:AO95)</f>
        <v>180</v>
      </c>
      <c r="AP96" s="1259">
        <f>SUM(AP91:AP95)</f>
        <v>0</v>
      </c>
      <c r="AQ96" s="1259">
        <f>SUM(AQ91:AQ95)</f>
        <v>0</v>
      </c>
      <c r="AR96" s="1259">
        <f>SUM(AR91:AR95)</f>
        <v>180</v>
      </c>
      <c r="AS96" s="496">
        <f t="shared" si="100"/>
        <v>-0.15094339622641509</v>
      </c>
    </row>
    <row r="97" spans="1:45" s="1546" customFormat="1" x14ac:dyDescent="0.25">
      <c r="A97" s="1749" t="s">
        <v>413</v>
      </c>
      <c r="B97" s="1672"/>
      <c r="C97" s="1672"/>
      <c r="D97" s="1672"/>
      <c r="E97" s="1750"/>
      <c r="F97" s="1751"/>
      <c r="G97" s="1672"/>
      <c r="H97" s="1672"/>
      <c r="I97" s="1752"/>
      <c r="J97" s="1750"/>
      <c r="K97" s="1753"/>
      <c r="L97" s="1752"/>
      <c r="M97" s="1752"/>
      <c r="N97" s="1754"/>
      <c r="O97" s="1750"/>
      <c r="P97" s="1755"/>
      <c r="Q97" s="1755"/>
      <c r="R97" s="1755"/>
      <c r="S97" s="1755"/>
      <c r="T97" s="1756"/>
      <c r="U97" s="1753"/>
      <c r="V97" s="1752"/>
      <c r="W97" s="1752"/>
      <c r="X97" s="1752"/>
      <c r="Y97" s="1750"/>
      <c r="Z97" s="1753"/>
      <c r="AA97" s="1752"/>
      <c r="AB97" s="1752"/>
      <c r="AC97" s="1752"/>
      <c r="AD97" s="1750"/>
      <c r="AE97" s="1753"/>
      <c r="AF97" s="1752"/>
      <c r="AG97" s="1752"/>
      <c r="AH97" s="1752"/>
      <c r="AI97" s="1750"/>
      <c r="AJ97" s="1753"/>
      <c r="AK97" s="1752"/>
      <c r="AL97" s="1752"/>
      <c r="AM97" s="1752"/>
      <c r="AN97" s="1750"/>
      <c r="AO97" s="1753"/>
      <c r="AP97" s="1752"/>
      <c r="AQ97" s="1752"/>
      <c r="AR97" s="1752"/>
      <c r="AS97" s="1750"/>
    </row>
    <row r="98" spans="1:45" s="1546" customFormat="1" x14ac:dyDescent="0.25">
      <c r="A98" s="969" t="s">
        <v>1633</v>
      </c>
      <c r="B98" s="1245">
        <v>0</v>
      </c>
      <c r="C98" s="1245">
        <v>0</v>
      </c>
      <c r="D98" s="1245">
        <v>0</v>
      </c>
      <c r="E98" s="1723">
        <f>SUM(B98:D98)</f>
        <v>0</v>
      </c>
      <c r="F98" s="1730">
        <v>0</v>
      </c>
      <c r="G98" s="1245">
        <v>0</v>
      </c>
      <c r="H98" s="1245">
        <v>0</v>
      </c>
      <c r="I98" s="1724">
        <f>SUM(F98:H98)</f>
        <v>0</v>
      </c>
      <c r="J98" s="491" t="str">
        <f>IF(E98&gt;0,(I98-E98)/E98,(IF(I98=0,"N/A",100%)))</f>
        <v>N/A</v>
      </c>
      <c r="K98" s="1725">
        <v>0</v>
      </c>
      <c r="L98" s="1724">
        <v>0</v>
      </c>
      <c r="M98" s="1724">
        <v>0</v>
      </c>
      <c r="N98" s="1741">
        <f>SUM(K98:M98)</f>
        <v>0</v>
      </c>
      <c r="O98" s="491" t="str">
        <f>IF(I98&gt;0,(N98-I98)/I98,(IF(N98=0,"N/A",100%)))</f>
        <v>N/A</v>
      </c>
      <c r="P98" s="1727">
        <v>0</v>
      </c>
      <c r="Q98" s="1727">
        <v>0</v>
      </c>
      <c r="R98" s="1727">
        <v>0</v>
      </c>
      <c r="S98" s="1727">
        <f>SUM(P98:R98)</f>
        <v>0</v>
      </c>
      <c r="T98" s="514" t="str">
        <f>IF(N98&gt;0,(S98-N98)/N98,(IF(S98=0,"N/A",100%)))</f>
        <v>N/A</v>
      </c>
      <c r="U98" s="1725">
        <v>0</v>
      </c>
      <c r="V98" s="1724">
        <v>0</v>
      </c>
      <c r="W98" s="1724">
        <v>0</v>
      </c>
      <c r="X98" s="1724">
        <f>SUM(U98:W98)</f>
        <v>0</v>
      </c>
      <c r="Y98" s="491" t="str">
        <f>IF(S98&gt;0,(X98-S98)/S98,(IF(X98=0,"N/A",100%)))</f>
        <v>N/A</v>
      </c>
      <c r="Z98" s="1725">
        <v>0</v>
      </c>
      <c r="AA98" s="1725">
        <v>0</v>
      </c>
      <c r="AB98" s="1724">
        <v>0</v>
      </c>
      <c r="AC98" s="1724">
        <f>SUM(Z98:AB98)</f>
        <v>0</v>
      </c>
      <c r="AD98" s="491" t="str">
        <f>IF(X98&gt;0,(AC98-X98)/X98,(IF(AC98=0,"N/A",100%)))</f>
        <v>N/A</v>
      </c>
      <c r="AE98" s="1724">
        <v>0</v>
      </c>
      <c r="AF98" s="1724">
        <v>0</v>
      </c>
      <c r="AG98" s="1724">
        <v>12</v>
      </c>
      <c r="AH98" s="1724">
        <f>SUM(AE98:AG98)</f>
        <v>12</v>
      </c>
      <c r="AI98" s="491">
        <f>IF(AC98&gt;0,(AH98-AC98)/AC98,(IF(AH98=0,"N/A",100%)))</f>
        <v>1</v>
      </c>
      <c r="AJ98" s="1724">
        <v>0</v>
      </c>
      <c r="AK98" s="1724">
        <v>0</v>
      </c>
      <c r="AL98" s="1724">
        <v>12</v>
      </c>
      <c r="AM98" s="1724">
        <f>SUM(AJ98:AL98)</f>
        <v>12</v>
      </c>
      <c r="AN98" s="491">
        <f>IF(AH98&gt;0,(AM98-AH98)/AH98,(IF(AM98=0,"N/A",100%)))</f>
        <v>0</v>
      </c>
      <c r="AO98" s="1724">
        <v>0</v>
      </c>
      <c r="AP98" s="1724">
        <v>0</v>
      </c>
      <c r="AQ98" s="1724">
        <v>6</v>
      </c>
      <c r="AR98" s="1724">
        <f>SUM(AO98:AQ98)</f>
        <v>6</v>
      </c>
      <c r="AS98" s="491">
        <f>IF(AM98&gt;0,(AR98-AM98)/AM98,(IF(AR98=0,"N/A",100%)))</f>
        <v>-0.5</v>
      </c>
    </row>
    <row r="99" spans="1:45" x14ac:dyDescent="0.25">
      <c r="A99" s="969" t="s">
        <v>716</v>
      </c>
      <c r="B99" s="1245">
        <v>10</v>
      </c>
      <c r="C99" s="1245">
        <v>156</v>
      </c>
      <c r="D99" s="1245">
        <v>0</v>
      </c>
      <c r="E99" s="1723">
        <f>SUM(B99:D99)</f>
        <v>166</v>
      </c>
      <c r="F99" s="1730">
        <v>0</v>
      </c>
      <c r="G99" s="1245">
        <v>106</v>
      </c>
      <c r="H99" s="1245">
        <v>0</v>
      </c>
      <c r="I99" s="1724">
        <f>SUM(F99:H99)</f>
        <v>106</v>
      </c>
      <c r="J99" s="491">
        <f>IF(E99&gt;0,(I99-E99)/E99,(IF(I99=0,"N/A",100%)))</f>
        <v>-0.36144578313253012</v>
      </c>
      <c r="K99" s="1725">
        <v>15</v>
      </c>
      <c r="L99" s="1724">
        <v>47</v>
      </c>
      <c r="M99" s="1724">
        <v>0</v>
      </c>
      <c r="N99" s="1741">
        <f>SUM(K99:M99)</f>
        <v>62</v>
      </c>
      <c r="O99" s="491">
        <f>IF(I99&gt;0,(N99-I99)/I99,(IF(N99=0,"N/A",100%)))</f>
        <v>-0.41509433962264153</v>
      </c>
      <c r="P99" s="1727">
        <v>57</v>
      </c>
      <c r="Q99" s="1727">
        <v>81</v>
      </c>
      <c r="R99" s="1727">
        <v>0</v>
      </c>
      <c r="S99" s="1727">
        <f>SUM(P99:R99)</f>
        <v>138</v>
      </c>
      <c r="T99" s="514">
        <f>IF(N99&gt;0,(S99-N99)/N99,(IF(S99=0,"N/A",100%)))</f>
        <v>1.2258064516129032</v>
      </c>
      <c r="U99" s="1725">
        <v>9</v>
      </c>
      <c r="V99" s="1724">
        <v>68</v>
      </c>
      <c r="W99" s="1724">
        <v>0</v>
      </c>
      <c r="X99" s="1724">
        <f>SUM(U99:W99)</f>
        <v>77</v>
      </c>
      <c r="Y99" s="491">
        <f t="shared" si="89"/>
        <v>-0.4420289855072464</v>
      </c>
      <c r="Z99" s="1725">
        <v>0</v>
      </c>
      <c r="AA99" s="1724">
        <v>185</v>
      </c>
      <c r="AB99" s="1724">
        <v>0</v>
      </c>
      <c r="AC99" s="1724">
        <f>SUM(Z99:AB99)</f>
        <v>185</v>
      </c>
      <c r="AD99" s="491">
        <f>IF(X99&gt;0,(AC99-X99)/X99,(IF(AC99=0,"N/A",100%)))</f>
        <v>1.4025974025974026</v>
      </c>
      <c r="AE99" s="1725">
        <v>27</v>
      </c>
      <c r="AF99" s="1724">
        <v>75</v>
      </c>
      <c r="AG99" s="1724">
        <v>0</v>
      </c>
      <c r="AH99" s="1724">
        <f>SUM(AE99:AG99)</f>
        <v>102</v>
      </c>
      <c r="AI99" s="491">
        <f>IF(AC99&gt;0,(AH99-AC99)/AC99,(IF(AH99=0,"N/A",100%)))</f>
        <v>-0.44864864864864867</v>
      </c>
      <c r="AJ99" s="1725">
        <v>36</v>
      </c>
      <c r="AK99" s="1724">
        <v>78</v>
      </c>
      <c r="AL99" s="1724">
        <v>0</v>
      </c>
      <c r="AM99" s="1724">
        <f>SUM(AJ99:AL99)</f>
        <v>114</v>
      </c>
      <c r="AN99" s="491">
        <f>IF(AH99&gt;0,(AM99-AH99)/AH99,(IF(AM99=0,"N/A",100%)))</f>
        <v>0.11764705882352941</v>
      </c>
      <c r="AO99" s="1725">
        <v>6</v>
      </c>
      <c r="AP99" s="1724">
        <v>15</v>
      </c>
      <c r="AQ99" s="1724">
        <v>0</v>
      </c>
      <c r="AR99" s="1724">
        <f>SUM(AO99:AQ99)</f>
        <v>21</v>
      </c>
      <c r="AS99" s="491">
        <f>IF(AM99&gt;0,(AR99-AM99)/AM99,(IF(AR99=0,"N/A",100%)))</f>
        <v>-0.81578947368421051</v>
      </c>
    </row>
    <row r="100" spans="1:45" x14ac:dyDescent="0.25">
      <c r="A100" s="969" t="s">
        <v>1051</v>
      </c>
      <c r="B100" s="1245">
        <v>0</v>
      </c>
      <c r="C100" s="1245">
        <v>37</v>
      </c>
      <c r="D100" s="1245">
        <v>0</v>
      </c>
      <c r="E100" s="1723">
        <f>SUM(B100:D100)</f>
        <v>37</v>
      </c>
      <c r="F100" s="1730">
        <v>0</v>
      </c>
      <c r="G100" s="1245">
        <v>42</v>
      </c>
      <c r="H100" s="1245">
        <v>0</v>
      </c>
      <c r="I100" s="1724">
        <f>SUM(F100:H100)</f>
        <v>42</v>
      </c>
      <c r="J100" s="491">
        <f>IF(E100&gt;0,(I100-E100)/E100,(IF(I100=0,"N/A",100%)))</f>
        <v>0.13513513513513514</v>
      </c>
      <c r="K100" s="1725">
        <v>0</v>
      </c>
      <c r="L100" s="1724">
        <v>63</v>
      </c>
      <c r="M100" s="1724">
        <v>0</v>
      </c>
      <c r="N100" s="1741">
        <f>SUM(K100:M100)</f>
        <v>63</v>
      </c>
      <c r="O100" s="491">
        <f>IF(I100&gt;0,(N100-I100)/I100,(IF(N100=0,"N/A",100%)))</f>
        <v>0.5</v>
      </c>
      <c r="P100" s="1727">
        <v>0</v>
      </c>
      <c r="Q100" s="1727">
        <v>51</v>
      </c>
      <c r="R100" s="1727">
        <v>0</v>
      </c>
      <c r="S100" s="1727">
        <f>SUM(P100:R100)</f>
        <v>51</v>
      </c>
      <c r="T100" s="514">
        <f>IF(N100&gt;0,(S100-N100)/N100,(IF(S100=0,"N/A",100%)))</f>
        <v>-0.19047619047619047</v>
      </c>
      <c r="U100" s="1725">
        <v>0</v>
      </c>
      <c r="V100" s="1724">
        <v>75</v>
      </c>
      <c r="W100" s="1724">
        <v>0</v>
      </c>
      <c r="X100" s="1724">
        <f>SUM(U100:W100)</f>
        <v>75</v>
      </c>
      <c r="Y100" s="491">
        <f t="shared" si="89"/>
        <v>0.47058823529411764</v>
      </c>
      <c r="Z100" s="1725">
        <v>0</v>
      </c>
      <c r="AA100" s="1724">
        <v>15</v>
      </c>
      <c r="AB100" s="1724">
        <v>0</v>
      </c>
      <c r="AC100" s="1724">
        <f>SUM(Z100:AB100)</f>
        <v>15</v>
      </c>
      <c r="AD100" s="491">
        <f>IF(X100&gt;0,(AC100-X100)/X100,(IF(AC100=0,"N/A",100%)))</f>
        <v>-0.8</v>
      </c>
      <c r="AE100" s="1725">
        <v>0</v>
      </c>
      <c r="AF100" s="1724">
        <v>54</v>
      </c>
      <c r="AG100" s="1724">
        <v>0</v>
      </c>
      <c r="AH100" s="1724">
        <f>SUM(AE100:AG100)</f>
        <v>54</v>
      </c>
      <c r="AI100" s="491">
        <f>IF(AC100&gt;0,(AH100-AC100)/AC100,(IF(AH100=0,"N/A",100%)))</f>
        <v>2.6</v>
      </c>
      <c r="AJ100" s="1725">
        <v>0</v>
      </c>
      <c r="AK100" s="1724">
        <v>21</v>
      </c>
      <c r="AL100" s="1724">
        <v>0</v>
      </c>
      <c r="AM100" s="1724">
        <f>SUM(AJ100:AL100)</f>
        <v>21</v>
      </c>
      <c r="AN100" s="491">
        <f>IF(AH100&gt;0,(AM100-AH100)/AH100,(IF(AM100=0,"N/A",100%)))</f>
        <v>-0.61111111111111116</v>
      </c>
      <c r="AO100" s="1725">
        <v>20</v>
      </c>
      <c r="AP100" s="1724">
        <v>36</v>
      </c>
      <c r="AQ100" s="1724">
        <v>0</v>
      </c>
      <c r="AR100" s="1724">
        <f>SUM(AO100:AQ100)</f>
        <v>56</v>
      </c>
      <c r="AS100" s="491">
        <f>IF(AM100&gt;0,(AR100-AM100)/AM100,(IF(AR100=0,"N/A",100%)))</f>
        <v>1.6666666666666667</v>
      </c>
    </row>
    <row r="101" spans="1:45" s="484" customFormat="1" ht="13.8" x14ac:dyDescent="0.25">
      <c r="A101" s="970" t="s">
        <v>1015</v>
      </c>
      <c r="B101" s="1259">
        <f t="shared" ref="B101:I101" si="103">+B100+B99+B98</f>
        <v>10</v>
      </c>
      <c r="C101" s="1259">
        <f t="shared" si="103"/>
        <v>193</v>
      </c>
      <c r="D101" s="1259">
        <f t="shared" si="103"/>
        <v>0</v>
      </c>
      <c r="E101" s="1259">
        <f t="shared" si="103"/>
        <v>203</v>
      </c>
      <c r="F101" s="1259">
        <f t="shared" si="103"/>
        <v>0</v>
      </c>
      <c r="G101" s="1259">
        <f t="shared" si="103"/>
        <v>148</v>
      </c>
      <c r="H101" s="1259">
        <f t="shared" si="103"/>
        <v>0</v>
      </c>
      <c r="I101" s="1259">
        <f t="shared" si="103"/>
        <v>148</v>
      </c>
      <c r="J101" s="496">
        <f>IF(E101&gt;0,(I101-E101)/E101,(IF(I101=0,"N/A",100%)))</f>
        <v>-0.27093596059113301</v>
      </c>
      <c r="K101" s="1259">
        <f>+K100+K99+K98</f>
        <v>15</v>
      </c>
      <c r="L101" s="1259">
        <f>+L100+L99+L98</f>
        <v>110</v>
      </c>
      <c r="M101" s="1259">
        <f>+M100+M99+M98</f>
        <v>0</v>
      </c>
      <c r="N101" s="1259">
        <f>+N100+N99+N98</f>
        <v>125</v>
      </c>
      <c r="O101" s="496">
        <f>IF(I101&gt;0,(N101-I101)/I101,(IF(N101=0,"N/A",100%)))</f>
        <v>-0.1554054054054054</v>
      </c>
      <c r="P101" s="1259">
        <f>+P100+P99+P98</f>
        <v>57</v>
      </c>
      <c r="Q101" s="1259">
        <f>+Q100+Q99+Q98</f>
        <v>132</v>
      </c>
      <c r="R101" s="1259">
        <f>+R100+R99+R98</f>
        <v>0</v>
      </c>
      <c r="S101" s="1259">
        <f>+S100+S99+S98</f>
        <v>189</v>
      </c>
      <c r="T101" s="543">
        <f>IF(N101&gt;0,(S101-N101)/N101,(IF(S101=0,"N/A",100%)))</f>
        <v>0.51200000000000001</v>
      </c>
      <c r="U101" s="1259">
        <f>+U100+U99+U98</f>
        <v>9</v>
      </c>
      <c r="V101" s="1259">
        <f>+V100+V99+V98</f>
        <v>143</v>
      </c>
      <c r="W101" s="1259">
        <f>+W100+W99+W98</f>
        <v>0</v>
      </c>
      <c r="X101" s="1259">
        <f>+X100+X99+X98</f>
        <v>152</v>
      </c>
      <c r="Y101" s="496">
        <f t="shared" si="89"/>
        <v>-0.19576719576719576</v>
      </c>
      <c r="Z101" s="1259">
        <f>+Z100+Z99+Z98</f>
        <v>0</v>
      </c>
      <c r="AA101" s="1259">
        <f>+AA100+AA99+AA98</f>
        <v>200</v>
      </c>
      <c r="AB101" s="1259">
        <f>+AB100+AB99+AB98</f>
        <v>0</v>
      </c>
      <c r="AC101" s="1259">
        <f>+AC100+AC99+AC98</f>
        <v>200</v>
      </c>
      <c r="AD101" s="496">
        <f>IF(X101&gt;0,(AC101-X101)/X101,(IF(AC101=0,"N/A",100%)))</f>
        <v>0.31578947368421051</v>
      </c>
      <c r="AE101" s="1259">
        <f>+AE100+AE99+AE98</f>
        <v>27</v>
      </c>
      <c r="AF101" s="1259">
        <f>+AF100+AF99+AF98</f>
        <v>129</v>
      </c>
      <c r="AG101" s="1259">
        <f>+AG100+AG99+AG98</f>
        <v>12</v>
      </c>
      <c r="AH101" s="1259">
        <f>+AH100+AH99+AH98</f>
        <v>168</v>
      </c>
      <c r="AI101" s="496">
        <f>IF(AC101&gt;0,(AH101-AC101)/AC101,(IF(AH101=0,"N/A",100%)))</f>
        <v>-0.16</v>
      </c>
      <c r="AJ101" s="1259">
        <f>+AJ100+AJ99+AJ98</f>
        <v>36</v>
      </c>
      <c r="AK101" s="1259">
        <f>+AK100+AK99+AK98</f>
        <v>99</v>
      </c>
      <c r="AL101" s="1259">
        <f>+AL100+AL99+AL98</f>
        <v>12</v>
      </c>
      <c r="AM101" s="1259">
        <f>+AM100+AM99+AM98</f>
        <v>147</v>
      </c>
      <c r="AN101" s="496">
        <f>IF(AH101&gt;0,(AM101-AH101)/AH101,(IF(AM101=0,"N/A",100%)))</f>
        <v>-0.125</v>
      </c>
      <c r="AO101" s="1259">
        <f>+AO100+AO99+AO98</f>
        <v>26</v>
      </c>
      <c r="AP101" s="1259">
        <f>+AP100+AP99+AP98</f>
        <v>51</v>
      </c>
      <c r="AQ101" s="1259">
        <f>+AQ100+AQ99+AQ98</f>
        <v>6</v>
      </c>
      <c r="AR101" s="1259">
        <f>+AR100+AR99+AR98</f>
        <v>83</v>
      </c>
      <c r="AS101" s="496">
        <f>IF(AM101&gt;0,(AR101-AM101)/AM101,(IF(AR101=0,"N/A",100%)))</f>
        <v>-0.43537414965986393</v>
      </c>
    </row>
    <row r="102" spans="1:45" s="502" customFormat="1" ht="16.2" thickBot="1" x14ac:dyDescent="0.35">
      <c r="A102" s="971" t="s">
        <v>437</v>
      </c>
      <c r="B102" s="974">
        <f t="shared" ref="B102:I102" si="104">+B85+B89+B96+B101</f>
        <v>785</v>
      </c>
      <c r="C102" s="974">
        <f t="shared" si="104"/>
        <v>256</v>
      </c>
      <c r="D102" s="974">
        <f t="shared" si="104"/>
        <v>57</v>
      </c>
      <c r="E102" s="989">
        <f t="shared" si="104"/>
        <v>1098</v>
      </c>
      <c r="F102" s="974">
        <f t="shared" si="104"/>
        <v>983</v>
      </c>
      <c r="G102" s="974">
        <f t="shared" si="104"/>
        <v>257</v>
      </c>
      <c r="H102" s="974">
        <f t="shared" si="104"/>
        <v>42</v>
      </c>
      <c r="I102" s="974">
        <f t="shared" si="104"/>
        <v>1282</v>
      </c>
      <c r="J102" s="975">
        <f>IF(E102&gt;0,(I102-E102)/E102,(IF(I102=0,"N/A",100%)))</f>
        <v>0.16757741347905283</v>
      </c>
      <c r="K102" s="988">
        <f t="shared" ref="K102:S102" si="105">+K85+K89+K96+K101</f>
        <v>1054</v>
      </c>
      <c r="L102" s="974">
        <f t="shared" si="105"/>
        <v>141</v>
      </c>
      <c r="M102" s="974">
        <f t="shared" si="105"/>
        <v>63</v>
      </c>
      <c r="N102" s="990">
        <f t="shared" si="105"/>
        <v>1258</v>
      </c>
      <c r="O102" s="975">
        <f>IF(I102&gt;0,(N102-I102)/I102,(IF(N102=0,"N/A",100%)))</f>
        <v>-1.8720748829953199E-2</v>
      </c>
      <c r="P102" s="1049">
        <f t="shared" si="105"/>
        <v>1021</v>
      </c>
      <c r="Q102" s="1049">
        <f t="shared" si="105"/>
        <v>184</v>
      </c>
      <c r="R102" s="1049">
        <f t="shared" si="105"/>
        <v>45</v>
      </c>
      <c r="S102" s="1049">
        <f t="shared" si="105"/>
        <v>1250</v>
      </c>
      <c r="T102" s="1050">
        <f>IF(N102&gt;0,(S102-N102)/N102,(IF(S102=0,"N/A",100%)))</f>
        <v>-6.3593004769475362E-3</v>
      </c>
      <c r="U102" s="988">
        <f>+U85+U89+U96+U101</f>
        <v>994</v>
      </c>
      <c r="V102" s="974">
        <f>+V85+V89+V96+V101</f>
        <v>155</v>
      </c>
      <c r="W102" s="974">
        <f>+W85+W89+W96+W101</f>
        <v>69</v>
      </c>
      <c r="X102" s="974">
        <f>+X85+X89+X96+X101</f>
        <v>1218</v>
      </c>
      <c r="Y102" s="975">
        <f t="shared" si="89"/>
        <v>-2.5600000000000001E-2</v>
      </c>
      <c r="Z102" s="988">
        <f>+Z85+Z89+Z96+Z101</f>
        <v>419</v>
      </c>
      <c r="AA102" s="974">
        <f>+AA85+AA89+AA96+AA101</f>
        <v>566</v>
      </c>
      <c r="AB102" s="974">
        <f>+AB85+AB89+AB96+AB101</f>
        <v>36</v>
      </c>
      <c r="AC102" s="974">
        <f>+AC85+AC89+AC96+AC101</f>
        <v>1021</v>
      </c>
      <c r="AD102" s="975">
        <f>IF(X102&gt;0,(AC102-X102)/X102,(IF(AC102=0,"N/A",100%)))</f>
        <v>-0.16174055829228243</v>
      </c>
      <c r="AE102" s="988">
        <f>+AE85+AE89+AE96+AE101</f>
        <v>676</v>
      </c>
      <c r="AF102" s="974">
        <f>+AF85+AF89+AF96+AF101</f>
        <v>129</v>
      </c>
      <c r="AG102" s="974">
        <f>+AG85+AG89+AG96+AG101</f>
        <v>54</v>
      </c>
      <c r="AH102" s="974">
        <f>+AH85+AH89+AH96+AH101</f>
        <v>859</v>
      </c>
      <c r="AI102" s="975">
        <f>IF(AC102&gt;0,(AH102-AC102)/AC102,(IF(AH102=0,"N/A",100%)))</f>
        <v>-0.15866797257590598</v>
      </c>
      <c r="AJ102" s="988">
        <f>+AJ85+AJ89+AJ96+AJ101</f>
        <v>632</v>
      </c>
      <c r="AK102" s="974">
        <f>+AK85+AK89+AK96+AK101</f>
        <v>99</v>
      </c>
      <c r="AL102" s="974">
        <f>+AL85+AL89+AL96+AL101</f>
        <v>60</v>
      </c>
      <c r="AM102" s="974">
        <f>+AM85+AM89+AM96+AM101</f>
        <v>791</v>
      </c>
      <c r="AN102" s="975">
        <f>IF(AH102&gt;0,(AM102-AH102)/AH102,(IF(AM102=0,"N/A",100%)))</f>
        <v>-7.9161816065192084E-2</v>
      </c>
      <c r="AO102" s="988">
        <f>+AO85+AO89+AO96+AO101</f>
        <v>571</v>
      </c>
      <c r="AP102" s="974">
        <f>+AP85+AP89+AP96+AP101</f>
        <v>69</v>
      </c>
      <c r="AQ102" s="974">
        <f>+AQ85+AQ89+AQ96+AQ101</f>
        <v>30</v>
      </c>
      <c r="AR102" s="974">
        <f>+AR85+AR89+AR96+AR101</f>
        <v>670</v>
      </c>
      <c r="AS102" s="975">
        <f>IF(AM102&gt;0,(AR102-AM102)/AM102,(IF(AR102=0,"N/A",100%)))</f>
        <v>-0.15297092288242731</v>
      </c>
    </row>
    <row r="103" spans="1:45" ht="14.25" customHeight="1" x14ac:dyDescent="0.25">
      <c r="A103" s="1890"/>
      <c r="B103" s="1015"/>
      <c r="C103" s="1015"/>
      <c r="D103" s="1015"/>
      <c r="E103" s="1015"/>
      <c r="F103" s="1015"/>
      <c r="G103" s="1015"/>
      <c r="H103" s="1015"/>
      <c r="I103" s="1015"/>
      <c r="J103" s="1015"/>
      <c r="K103" s="2097"/>
      <c r="L103" s="2097"/>
      <c r="M103" s="2097"/>
      <c r="N103" s="1893"/>
      <c r="O103" s="1893"/>
      <c r="P103" s="1893"/>
      <c r="Q103" s="1893"/>
      <c r="R103" s="1893"/>
      <c r="S103" s="1893"/>
      <c r="T103" s="1893"/>
      <c r="U103" s="1893"/>
      <c r="V103" s="1893"/>
      <c r="W103" s="1893"/>
      <c r="X103" s="1893"/>
      <c r="Y103" s="1893"/>
      <c r="Z103" s="1893"/>
      <c r="AA103" s="1893"/>
      <c r="AB103" s="1893"/>
      <c r="AC103" s="1893"/>
      <c r="AD103" s="1893"/>
      <c r="AE103" s="1893"/>
      <c r="AF103" s="1893"/>
      <c r="AG103" s="1893"/>
      <c r="AH103" s="1893"/>
      <c r="AI103" s="1893"/>
      <c r="AJ103" s="1893"/>
      <c r="AK103" s="1893"/>
      <c r="AL103" s="1893"/>
      <c r="AM103" s="1893"/>
      <c r="AN103" s="1893"/>
      <c r="AO103" s="1893"/>
      <c r="AP103" s="1893"/>
      <c r="AQ103" s="1893"/>
      <c r="AR103" s="1893"/>
      <c r="AS103" s="1893"/>
    </row>
    <row r="104" spans="1:45" ht="14.25" customHeight="1" thickBot="1" x14ac:dyDescent="0.3">
      <c r="A104" s="2098"/>
      <c r="B104" s="2099"/>
      <c r="C104" s="2099"/>
      <c r="D104" s="2099"/>
      <c r="E104" s="2099"/>
      <c r="F104" s="2099"/>
      <c r="G104" s="2099"/>
      <c r="H104" s="2099"/>
      <c r="I104" s="2099"/>
      <c r="J104" s="2099"/>
      <c r="K104" s="2100"/>
      <c r="L104" s="2100"/>
      <c r="M104" s="2100"/>
      <c r="N104" s="2101"/>
      <c r="O104" s="2101"/>
      <c r="P104" s="2101"/>
      <c r="Q104" s="2101"/>
      <c r="R104" s="2101"/>
      <c r="S104" s="2101"/>
      <c r="T104" s="2101"/>
      <c r="U104" s="2101"/>
      <c r="V104" s="2101"/>
      <c r="W104" s="2101"/>
      <c r="X104" s="2101"/>
      <c r="Y104" s="2101"/>
      <c r="Z104" s="2101"/>
      <c r="AA104" s="2101"/>
      <c r="AB104" s="2101"/>
      <c r="AC104" s="2101"/>
      <c r="AD104" s="2101"/>
      <c r="AE104" s="2101"/>
      <c r="AF104" s="2101"/>
      <c r="AG104" s="2101"/>
      <c r="AH104" s="2101"/>
      <c r="AI104" s="2101"/>
      <c r="AJ104" s="2101"/>
      <c r="AK104" s="2101"/>
      <c r="AL104" s="2101"/>
      <c r="AM104" s="2101"/>
      <c r="AN104" s="2101"/>
      <c r="AO104" s="2101"/>
      <c r="AP104" s="2101"/>
      <c r="AQ104" s="2101"/>
      <c r="AR104" s="2101"/>
      <c r="AS104" s="2101"/>
    </row>
    <row r="105" spans="1:45" x14ac:dyDescent="0.25">
      <c r="A105" s="980" t="s">
        <v>984</v>
      </c>
      <c r="B105" s="981"/>
      <c r="C105" s="981"/>
      <c r="D105" s="981"/>
      <c r="E105" s="995"/>
      <c r="F105" s="992"/>
      <c r="G105" s="981"/>
      <c r="H105" s="981"/>
      <c r="I105" s="981"/>
      <c r="J105" s="995"/>
      <c r="K105" s="1757"/>
      <c r="L105" s="1758"/>
      <c r="M105" s="1758"/>
      <c r="N105" s="1759"/>
      <c r="O105" s="1760"/>
      <c r="P105" s="1757"/>
      <c r="Q105" s="1758"/>
      <c r="R105" s="1758"/>
      <c r="S105" s="1758"/>
      <c r="T105" s="1760"/>
      <c r="U105" s="1757"/>
      <c r="V105" s="1758"/>
      <c r="W105" s="1758"/>
      <c r="X105" s="1758"/>
      <c r="Y105" s="1760"/>
      <c r="Z105" s="1757"/>
      <c r="AA105" s="1758"/>
      <c r="AB105" s="1758"/>
      <c r="AC105" s="1758"/>
      <c r="AD105" s="1760"/>
      <c r="AE105" s="1757"/>
      <c r="AF105" s="1758"/>
      <c r="AG105" s="1758"/>
      <c r="AH105" s="1758"/>
      <c r="AI105" s="1760"/>
      <c r="AJ105" s="1757"/>
      <c r="AK105" s="1758"/>
      <c r="AL105" s="1758"/>
      <c r="AM105" s="1758"/>
      <c r="AN105" s="1760"/>
      <c r="AO105" s="1757"/>
      <c r="AP105" s="1758"/>
      <c r="AQ105" s="1758"/>
      <c r="AR105" s="1758"/>
      <c r="AS105" s="1760"/>
    </row>
    <row r="106" spans="1:45" x14ac:dyDescent="0.25">
      <c r="A106" s="969" t="s">
        <v>1052</v>
      </c>
      <c r="B106" s="1245">
        <v>0</v>
      </c>
      <c r="C106" s="1245">
        <v>0</v>
      </c>
      <c r="D106" s="1245">
        <v>0</v>
      </c>
      <c r="E106" s="1723">
        <f>SUM(B106:D106)</f>
        <v>0</v>
      </c>
      <c r="F106" s="1730">
        <v>0</v>
      </c>
      <c r="G106" s="1245">
        <v>0</v>
      </c>
      <c r="H106" s="1245">
        <v>0</v>
      </c>
      <c r="I106" s="1724">
        <f>SUM(F106:H106)</f>
        <v>0</v>
      </c>
      <c r="J106" s="491" t="str">
        <f>IF(E106&gt;0,(I106-E106)/E106,(IF(I106=0,"N/A",100%)))</f>
        <v>N/A</v>
      </c>
      <c r="K106" s="1725">
        <v>0</v>
      </c>
      <c r="L106" s="1724">
        <v>0</v>
      </c>
      <c r="M106" s="1724">
        <v>0</v>
      </c>
      <c r="N106" s="1741">
        <f>SUM(K106:M106)</f>
        <v>0</v>
      </c>
      <c r="O106" s="491" t="str">
        <f t="shared" ref="O106:O111" si="106">IF(I106&gt;0,(N106-I106)/I106,(IF(N106=0,"N/A",100%)))</f>
        <v>N/A</v>
      </c>
      <c r="P106" s="1725">
        <v>0</v>
      </c>
      <c r="Q106" s="1724">
        <v>0</v>
      </c>
      <c r="R106" s="1724">
        <v>0</v>
      </c>
      <c r="S106" s="1724">
        <f>SUM(P106:R106)</f>
        <v>0</v>
      </c>
      <c r="T106" s="491" t="str">
        <f t="shared" ref="T106:T111" si="107">IF(N106&gt;0,(S106-N106)/N106,(IF(S106=0,"N/A",100%)))</f>
        <v>N/A</v>
      </c>
      <c r="U106" s="1725">
        <v>0</v>
      </c>
      <c r="V106" s="1724">
        <v>0</v>
      </c>
      <c r="W106" s="1724">
        <v>0</v>
      </c>
      <c r="X106" s="1724">
        <f>SUM(U106:W106)</f>
        <v>0</v>
      </c>
      <c r="Y106" s="491" t="str">
        <f t="shared" ref="Y106:Y111" si="108">IF(S106&gt;0,(X106-S106)/S106,(IF(X106=0,"N/A",100%)))</f>
        <v>N/A</v>
      </c>
      <c r="Z106" s="1725">
        <v>0</v>
      </c>
      <c r="AA106" s="1724">
        <v>0</v>
      </c>
      <c r="AB106" s="1724">
        <v>0</v>
      </c>
      <c r="AC106" s="1724">
        <f>SUM(Z106:AB106)</f>
        <v>0</v>
      </c>
      <c r="AD106" s="491" t="str">
        <f t="shared" ref="AD106:AD111" si="109">IF(X106&gt;0,(AC106-X106)/X106,(IF(AC106=0,"N/A",100%)))</f>
        <v>N/A</v>
      </c>
      <c r="AE106" s="1725">
        <v>0</v>
      </c>
      <c r="AF106" s="1724">
        <v>0</v>
      </c>
      <c r="AG106" s="1724">
        <v>0</v>
      </c>
      <c r="AH106" s="1724">
        <f>SUM(AE106:AG106)</f>
        <v>0</v>
      </c>
      <c r="AI106" s="491" t="str">
        <f t="shared" ref="AI106:AI111" si="110">IF(AC106&gt;0,(AH106-AC106)/AC106,(IF(AH106=0,"N/A",100%)))</f>
        <v>N/A</v>
      </c>
      <c r="AJ106" s="1725">
        <v>0</v>
      </c>
      <c r="AK106" s="1724">
        <v>0</v>
      </c>
      <c r="AL106" s="1724">
        <v>0</v>
      </c>
      <c r="AM106" s="1724">
        <f>SUM(AJ106:AL106)</f>
        <v>0</v>
      </c>
      <c r="AN106" s="491" t="str">
        <f t="shared" ref="AN106:AN111" si="111">IF(AH106&gt;0,(AM106-AH106)/AH106,(IF(AM106=0,"N/A",100%)))</f>
        <v>N/A</v>
      </c>
      <c r="AO106" s="1725">
        <v>0</v>
      </c>
      <c r="AP106" s="1724">
        <v>0</v>
      </c>
      <c r="AQ106" s="1724">
        <v>0</v>
      </c>
      <c r="AR106" s="1724">
        <f>SUM(AO106:AQ106)</f>
        <v>0</v>
      </c>
      <c r="AS106" s="491" t="str">
        <f t="shared" ref="AS106:AS111" si="112">IF(AM106&gt;0,(AR106-AM106)/AM106,(IF(AR106=0,"N/A",100%)))</f>
        <v>N/A</v>
      </c>
    </row>
    <row r="107" spans="1:45" x14ac:dyDescent="0.25">
      <c r="A107" s="969" t="s">
        <v>1625</v>
      </c>
      <c r="B107" s="1245">
        <v>0</v>
      </c>
      <c r="C107" s="1245">
        <v>0</v>
      </c>
      <c r="D107" s="1245">
        <v>0</v>
      </c>
      <c r="E107" s="1723">
        <f>SUM(B107:D107)</f>
        <v>0</v>
      </c>
      <c r="F107" s="1245">
        <v>0</v>
      </c>
      <c r="G107" s="1245">
        <v>0</v>
      </c>
      <c r="H107" s="1245">
        <v>0</v>
      </c>
      <c r="I107" s="1724">
        <f>SUM(F107:H107)</f>
        <v>0</v>
      </c>
      <c r="J107" s="491"/>
      <c r="K107" s="1245">
        <v>0</v>
      </c>
      <c r="L107" s="1245">
        <v>0</v>
      </c>
      <c r="M107" s="1245">
        <v>0</v>
      </c>
      <c r="N107" s="1741">
        <f>SUM(K107:M107)</f>
        <v>0</v>
      </c>
      <c r="O107" s="491" t="str">
        <f t="shared" si="106"/>
        <v>N/A</v>
      </c>
      <c r="P107" s="1245">
        <v>0</v>
      </c>
      <c r="Q107" s="1245">
        <v>0</v>
      </c>
      <c r="R107" s="1245">
        <v>0</v>
      </c>
      <c r="S107" s="1724">
        <f>SUM(P107:R107)</f>
        <v>0</v>
      </c>
      <c r="T107" s="491" t="str">
        <f t="shared" si="107"/>
        <v>N/A</v>
      </c>
      <c r="U107" s="1245">
        <v>0</v>
      </c>
      <c r="V107" s="1245">
        <v>0</v>
      </c>
      <c r="W107" s="1245">
        <v>0</v>
      </c>
      <c r="X107" s="1724">
        <f>SUM(U107:W107)</f>
        <v>0</v>
      </c>
      <c r="Y107" s="491" t="str">
        <f t="shared" si="108"/>
        <v>N/A</v>
      </c>
      <c r="Z107" s="1245">
        <v>0</v>
      </c>
      <c r="AA107" s="1245">
        <v>0</v>
      </c>
      <c r="AB107" s="1245">
        <v>0</v>
      </c>
      <c r="AC107" s="1724">
        <f>SUM(Z107:AB107)</f>
        <v>0</v>
      </c>
      <c r="AD107" s="491" t="str">
        <f t="shared" si="109"/>
        <v>N/A</v>
      </c>
      <c r="AE107" s="1245">
        <v>0</v>
      </c>
      <c r="AF107" s="1245">
        <v>0</v>
      </c>
      <c r="AG107" s="1245">
        <v>0</v>
      </c>
      <c r="AH107" s="1724">
        <f>SUM(AE107:AG107)</f>
        <v>0</v>
      </c>
      <c r="AI107" s="491" t="str">
        <f t="shared" si="110"/>
        <v>N/A</v>
      </c>
      <c r="AJ107" s="1245">
        <v>0</v>
      </c>
      <c r="AK107" s="1245">
        <v>6</v>
      </c>
      <c r="AL107" s="1245">
        <v>0</v>
      </c>
      <c r="AM107" s="1724">
        <f>SUM(AJ107:AL107)</f>
        <v>6</v>
      </c>
      <c r="AN107" s="491">
        <f t="shared" si="111"/>
        <v>1</v>
      </c>
      <c r="AO107" s="1245">
        <v>9</v>
      </c>
      <c r="AP107" s="1245">
        <v>12</v>
      </c>
      <c r="AQ107" s="1245">
        <v>0</v>
      </c>
      <c r="AR107" s="1724">
        <f>SUM(AO107:AQ107)</f>
        <v>21</v>
      </c>
      <c r="AS107" s="491">
        <f t="shared" si="112"/>
        <v>2.5</v>
      </c>
    </row>
    <row r="108" spans="1:45" x14ac:dyDescent="0.25">
      <c r="A108" s="969" t="s">
        <v>1055</v>
      </c>
      <c r="B108" s="1245">
        <v>0</v>
      </c>
      <c r="C108" s="1245">
        <v>6</v>
      </c>
      <c r="D108" s="1245">
        <v>0</v>
      </c>
      <c r="E108" s="1723">
        <f>SUM(B108:D108)</f>
        <v>6</v>
      </c>
      <c r="F108" s="1730">
        <v>0</v>
      </c>
      <c r="G108" s="1245">
        <v>12</v>
      </c>
      <c r="H108" s="1245">
        <v>0</v>
      </c>
      <c r="I108" s="1724">
        <f>SUM(F108:H108)</f>
        <v>12</v>
      </c>
      <c r="J108" s="491">
        <f>IF(E108&gt;0,(I108-E108)/E108,(IF(I108=0,"N/A",100%)))</f>
        <v>1</v>
      </c>
      <c r="K108" s="1725">
        <v>0</v>
      </c>
      <c r="L108" s="1724">
        <v>0</v>
      </c>
      <c r="M108" s="1724">
        <v>0</v>
      </c>
      <c r="N108" s="1741">
        <f>SUM(K108:M108)</f>
        <v>0</v>
      </c>
      <c r="O108" s="491">
        <f t="shared" si="106"/>
        <v>-1</v>
      </c>
      <c r="P108" s="1725">
        <v>0</v>
      </c>
      <c r="Q108" s="1724">
        <v>36</v>
      </c>
      <c r="R108" s="1724">
        <v>0</v>
      </c>
      <c r="S108" s="1724">
        <f>SUM(P108:R108)</f>
        <v>36</v>
      </c>
      <c r="T108" s="491">
        <f t="shared" si="107"/>
        <v>1</v>
      </c>
      <c r="U108" s="1725">
        <v>0</v>
      </c>
      <c r="V108" s="1724">
        <v>32</v>
      </c>
      <c r="W108" s="1724">
        <v>0</v>
      </c>
      <c r="X108" s="1724">
        <f>SUM(U108:W108)</f>
        <v>32</v>
      </c>
      <c r="Y108" s="491">
        <f t="shared" si="108"/>
        <v>-0.1111111111111111</v>
      </c>
      <c r="Z108" s="1725">
        <v>0</v>
      </c>
      <c r="AA108" s="1724">
        <v>15</v>
      </c>
      <c r="AB108" s="1724">
        <v>0</v>
      </c>
      <c r="AC108" s="1724">
        <f>SUM(Z108:AB108)</f>
        <v>15</v>
      </c>
      <c r="AD108" s="491">
        <f t="shared" si="109"/>
        <v>-0.53125</v>
      </c>
      <c r="AE108" s="1725">
        <v>0</v>
      </c>
      <c r="AF108" s="1724">
        <v>6</v>
      </c>
      <c r="AG108" s="1724">
        <v>0</v>
      </c>
      <c r="AH108" s="1724">
        <f>SUM(AE108:AG108)</f>
        <v>6</v>
      </c>
      <c r="AI108" s="491">
        <f t="shared" si="110"/>
        <v>-0.6</v>
      </c>
      <c r="AJ108" s="1725">
        <v>0</v>
      </c>
      <c r="AK108" s="1724">
        <v>3</v>
      </c>
      <c r="AL108" s="1724">
        <v>0</v>
      </c>
      <c r="AM108" s="1724">
        <f>SUM(AJ108:AL108)</f>
        <v>3</v>
      </c>
      <c r="AN108" s="491">
        <f t="shared" si="111"/>
        <v>-0.5</v>
      </c>
      <c r="AO108" s="1725">
        <v>0</v>
      </c>
      <c r="AP108" s="1724">
        <v>0</v>
      </c>
      <c r="AQ108" s="1724">
        <v>0</v>
      </c>
      <c r="AR108" s="1724">
        <f>SUM(AO108:AQ108)</f>
        <v>0</v>
      </c>
      <c r="AS108" s="491">
        <f t="shared" si="112"/>
        <v>-1</v>
      </c>
    </row>
    <row r="109" spans="1:45" x14ac:dyDescent="0.25">
      <c r="A109" s="976" t="s">
        <v>1195</v>
      </c>
      <c r="B109" s="1761">
        <v>32</v>
      </c>
      <c r="C109" s="1761">
        <v>0</v>
      </c>
      <c r="D109" s="1761">
        <v>0</v>
      </c>
      <c r="E109" s="1723">
        <f>SUM(B109:D109)</f>
        <v>32</v>
      </c>
      <c r="F109" s="1730">
        <v>169</v>
      </c>
      <c r="G109" s="1245">
        <v>0</v>
      </c>
      <c r="H109" s="1245">
        <v>0</v>
      </c>
      <c r="I109" s="1724">
        <f>SUM(F109:H109)</f>
        <v>169</v>
      </c>
      <c r="J109" s="491">
        <f>IF(E109&gt;0,(I109-E109)/E109,(IF(I109=0,"N/A",100%)))</f>
        <v>4.28125</v>
      </c>
      <c r="K109" s="1725">
        <v>184</v>
      </c>
      <c r="L109" s="1724">
        <v>0</v>
      </c>
      <c r="M109" s="1724">
        <v>0</v>
      </c>
      <c r="N109" s="1741">
        <f>SUM(K109:M109)</f>
        <v>184</v>
      </c>
      <c r="O109" s="491">
        <f t="shared" si="106"/>
        <v>8.8757396449704137E-2</v>
      </c>
      <c r="P109" s="1725">
        <v>175</v>
      </c>
      <c r="Q109" s="1724">
        <v>0</v>
      </c>
      <c r="R109" s="1724">
        <v>0</v>
      </c>
      <c r="S109" s="1724">
        <f>SUM(P109:R109)</f>
        <v>175</v>
      </c>
      <c r="T109" s="491">
        <f t="shared" si="107"/>
        <v>-4.8913043478260872E-2</v>
      </c>
      <c r="U109" s="1725">
        <v>64</v>
      </c>
      <c r="V109" s="1724">
        <v>0</v>
      </c>
      <c r="W109" s="1724">
        <v>0</v>
      </c>
      <c r="X109" s="1724">
        <f>SUM(U109:W109)</f>
        <v>64</v>
      </c>
      <c r="Y109" s="491">
        <f t="shared" si="108"/>
        <v>-0.63428571428571423</v>
      </c>
      <c r="Z109" s="1725">
        <v>59</v>
      </c>
      <c r="AA109" s="1724">
        <v>0</v>
      </c>
      <c r="AB109" s="1724">
        <v>0</v>
      </c>
      <c r="AC109" s="1724">
        <f>SUM(Z109:AB109)</f>
        <v>59</v>
      </c>
      <c r="AD109" s="491">
        <f t="shared" si="109"/>
        <v>-7.8125E-2</v>
      </c>
      <c r="AE109" s="1725">
        <v>35.5</v>
      </c>
      <c r="AF109" s="1724">
        <v>0</v>
      </c>
      <c r="AG109" s="1724">
        <v>0</v>
      </c>
      <c r="AH109" s="1724">
        <f>SUM(AE109:AG109)</f>
        <v>35.5</v>
      </c>
      <c r="AI109" s="491">
        <f t="shared" si="110"/>
        <v>-0.39830508474576271</v>
      </c>
      <c r="AJ109" s="1725">
        <v>45.5</v>
      </c>
      <c r="AK109" s="1724">
        <v>0</v>
      </c>
      <c r="AL109" s="1724">
        <v>0</v>
      </c>
      <c r="AM109" s="1724">
        <f>SUM(AJ109:AL109)</f>
        <v>45.5</v>
      </c>
      <c r="AN109" s="491">
        <f t="shared" si="111"/>
        <v>0.28169014084507044</v>
      </c>
      <c r="AO109" s="1725">
        <v>40</v>
      </c>
      <c r="AP109" s="1724">
        <v>0</v>
      </c>
      <c r="AQ109" s="1724">
        <v>0</v>
      </c>
      <c r="AR109" s="1724">
        <f>SUM(AO109:AQ109)</f>
        <v>40</v>
      </c>
      <c r="AS109" s="491">
        <f t="shared" si="112"/>
        <v>-0.12087912087912088</v>
      </c>
    </row>
    <row r="110" spans="1:45" x14ac:dyDescent="0.25">
      <c r="A110" s="969" t="s">
        <v>421</v>
      </c>
      <c r="B110" s="1245">
        <v>0</v>
      </c>
      <c r="C110" s="1245">
        <v>0</v>
      </c>
      <c r="D110" s="1245">
        <v>0</v>
      </c>
      <c r="E110" s="1723">
        <f>SUM(B110:D110)</f>
        <v>0</v>
      </c>
      <c r="F110" s="1730">
        <v>3</v>
      </c>
      <c r="G110" s="1245">
        <v>0</v>
      </c>
      <c r="H110" s="1245">
        <v>0</v>
      </c>
      <c r="I110" s="1724">
        <f>SUM(F110:H110)</f>
        <v>3</v>
      </c>
      <c r="J110" s="491">
        <f>IF(E110&gt;0,(I110-E110)/E110,(IF(I110=0,"N/A",100%)))</f>
        <v>1</v>
      </c>
      <c r="K110" s="1725">
        <v>0</v>
      </c>
      <c r="L110" s="1724">
        <v>0</v>
      </c>
      <c r="M110" s="1724">
        <v>0</v>
      </c>
      <c r="N110" s="1741">
        <f>SUM(K110:M110)</f>
        <v>0</v>
      </c>
      <c r="O110" s="491">
        <f t="shared" si="106"/>
        <v>-1</v>
      </c>
      <c r="P110" s="1725">
        <v>0</v>
      </c>
      <c r="Q110" s="1724">
        <v>0</v>
      </c>
      <c r="R110" s="1724">
        <v>0</v>
      </c>
      <c r="S110" s="1724">
        <f>SUM(P110:R110)</f>
        <v>0</v>
      </c>
      <c r="T110" s="491" t="str">
        <f t="shared" si="107"/>
        <v>N/A</v>
      </c>
      <c r="U110" s="1725">
        <v>0</v>
      </c>
      <c r="V110" s="1724">
        <v>0</v>
      </c>
      <c r="W110" s="1724">
        <v>0</v>
      </c>
      <c r="X110" s="1724">
        <f>SUM(U110:W110)</f>
        <v>0</v>
      </c>
      <c r="Y110" s="491" t="str">
        <f t="shared" si="108"/>
        <v>N/A</v>
      </c>
      <c r="Z110" s="1725">
        <v>0</v>
      </c>
      <c r="AA110" s="1724">
        <v>0</v>
      </c>
      <c r="AB110" s="1724">
        <v>0</v>
      </c>
      <c r="AC110" s="1724">
        <f>SUM(Z110:AB110)</f>
        <v>0</v>
      </c>
      <c r="AD110" s="491" t="str">
        <f t="shared" si="109"/>
        <v>N/A</v>
      </c>
      <c r="AE110" s="1725">
        <v>0</v>
      </c>
      <c r="AF110" s="1724">
        <v>0</v>
      </c>
      <c r="AG110" s="1724">
        <v>0</v>
      </c>
      <c r="AH110" s="1724">
        <f>SUM(AE110:AG110)</f>
        <v>0</v>
      </c>
      <c r="AI110" s="491" t="str">
        <f t="shared" si="110"/>
        <v>N/A</v>
      </c>
      <c r="AJ110" s="1725">
        <v>0</v>
      </c>
      <c r="AK110" s="1724">
        <v>0</v>
      </c>
      <c r="AL110" s="1724">
        <v>0</v>
      </c>
      <c r="AM110" s="1724">
        <f>SUM(AJ110:AL110)</f>
        <v>0</v>
      </c>
      <c r="AN110" s="491" t="str">
        <f t="shared" si="111"/>
        <v>N/A</v>
      </c>
      <c r="AO110" s="1725"/>
      <c r="AP110" s="1724"/>
      <c r="AQ110" s="1724">
        <v>0</v>
      </c>
      <c r="AR110" s="1724">
        <f>SUM(AO110:AQ110)</f>
        <v>0</v>
      </c>
      <c r="AS110" s="491" t="str">
        <f t="shared" si="112"/>
        <v>N/A</v>
      </c>
    </row>
    <row r="111" spans="1:45" s="484" customFormat="1" ht="14.4" thickBot="1" x14ac:dyDescent="0.3">
      <c r="A111" s="984" t="s">
        <v>1015</v>
      </c>
      <c r="B111" s="985">
        <f t="shared" ref="B111:H111" si="113">SUM(B106:B110)</f>
        <v>32</v>
      </c>
      <c r="C111" s="985">
        <f t="shared" si="113"/>
        <v>6</v>
      </c>
      <c r="D111" s="985">
        <f t="shared" si="113"/>
        <v>0</v>
      </c>
      <c r="E111" s="1024">
        <f t="shared" si="113"/>
        <v>38</v>
      </c>
      <c r="F111" s="994">
        <f t="shared" si="113"/>
        <v>172</v>
      </c>
      <c r="G111" s="985">
        <f t="shared" si="113"/>
        <v>12</v>
      </c>
      <c r="H111" s="985">
        <f t="shared" si="113"/>
        <v>0</v>
      </c>
      <c r="I111" s="994">
        <f>SUM(I106:I110)</f>
        <v>184</v>
      </c>
      <c r="J111" s="986">
        <f>IF(E111&gt;0,(I111-E111)/E111,(IF(I111=0,"N/A",100%)))</f>
        <v>3.8421052631578947</v>
      </c>
      <c r="K111" s="994">
        <f t="shared" ref="K111:S111" si="114">SUM(K106:K110)</f>
        <v>184</v>
      </c>
      <c r="L111" s="985">
        <f t="shared" si="114"/>
        <v>0</v>
      </c>
      <c r="M111" s="985">
        <f t="shared" si="114"/>
        <v>0</v>
      </c>
      <c r="N111" s="1051">
        <f t="shared" si="114"/>
        <v>184</v>
      </c>
      <c r="O111" s="986">
        <f t="shared" si="106"/>
        <v>0</v>
      </c>
      <c r="P111" s="994">
        <f t="shared" si="114"/>
        <v>175</v>
      </c>
      <c r="Q111" s="985">
        <f t="shared" si="114"/>
        <v>36</v>
      </c>
      <c r="R111" s="985">
        <f t="shared" si="114"/>
        <v>0</v>
      </c>
      <c r="S111" s="985">
        <f t="shared" si="114"/>
        <v>211</v>
      </c>
      <c r="T111" s="986">
        <f t="shared" si="107"/>
        <v>0.14673913043478262</v>
      </c>
      <c r="U111" s="994">
        <f>SUM(U106:U110)</f>
        <v>64</v>
      </c>
      <c r="V111" s="985">
        <f>SUM(V106:V110)</f>
        <v>32</v>
      </c>
      <c r="W111" s="985">
        <f>SUM(W106:W110)</f>
        <v>0</v>
      </c>
      <c r="X111" s="985">
        <f>SUM(X106:X110)</f>
        <v>96</v>
      </c>
      <c r="Y111" s="986">
        <f t="shared" si="108"/>
        <v>-0.54502369668246442</v>
      </c>
      <c r="Z111" s="994">
        <f>SUM(Z106:Z110)</f>
        <v>59</v>
      </c>
      <c r="AA111" s="985">
        <f>SUM(AA106:AA110)</f>
        <v>15</v>
      </c>
      <c r="AB111" s="985">
        <f>SUM(AB106:AB110)</f>
        <v>0</v>
      </c>
      <c r="AC111" s="985">
        <f>SUM(AC106:AC110)</f>
        <v>74</v>
      </c>
      <c r="AD111" s="986">
        <f t="shared" si="109"/>
        <v>-0.22916666666666666</v>
      </c>
      <c r="AE111" s="994">
        <f>SUM(AE106:AE110)</f>
        <v>35.5</v>
      </c>
      <c r="AF111" s="985">
        <f>SUM(AF106:AF110)</f>
        <v>6</v>
      </c>
      <c r="AG111" s="985">
        <f>SUM(AG106:AG110)</f>
        <v>0</v>
      </c>
      <c r="AH111" s="985">
        <f>SUM(AH106:AH110)</f>
        <v>41.5</v>
      </c>
      <c r="AI111" s="986">
        <f t="shared" si="110"/>
        <v>-0.4391891891891892</v>
      </c>
      <c r="AJ111" s="994">
        <f>SUM(AJ106:AJ110)</f>
        <v>45.5</v>
      </c>
      <c r="AK111" s="985">
        <f>SUM(AK106:AK110)</f>
        <v>9</v>
      </c>
      <c r="AL111" s="985">
        <f>SUM(AL106:AL110)</f>
        <v>0</v>
      </c>
      <c r="AM111" s="985">
        <f>SUM(AM106:AM110)</f>
        <v>54.5</v>
      </c>
      <c r="AN111" s="986">
        <f t="shared" si="111"/>
        <v>0.31325301204819278</v>
      </c>
      <c r="AO111" s="994">
        <f>SUM(AO106:AO110)</f>
        <v>49</v>
      </c>
      <c r="AP111" s="985">
        <f>SUM(AP106:AP110)</f>
        <v>12</v>
      </c>
      <c r="AQ111" s="985">
        <f>SUM(AQ106:AQ110)</f>
        <v>0</v>
      </c>
      <c r="AR111" s="985">
        <f>SUM(AR106:AR110)</f>
        <v>61</v>
      </c>
      <c r="AS111" s="986">
        <f t="shared" si="112"/>
        <v>0.11926605504587157</v>
      </c>
    </row>
    <row r="112" spans="1:45" s="484" customFormat="1" ht="13.8" x14ac:dyDescent="0.25">
      <c r="A112" s="1014"/>
      <c r="B112" s="1015"/>
      <c r="C112" s="1015"/>
      <c r="D112" s="1015"/>
      <c r="E112" s="1015"/>
      <c r="F112" s="1014"/>
      <c r="G112" s="1014"/>
      <c r="H112" s="1014"/>
      <c r="I112" s="1016"/>
      <c r="J112" s="1017"/>
      <c r="K112" s="1016"/>
      <c r="L112" s="1016"/>
      <c r="M112" s="1016"/>
      <c r="N112" s="1016"/>
      <c r="O112" s="1017"/>
      <c r="P112" s="1016"/>
      <c r="Q112" s="1016"/>
      <c r="R112" s="1016"/>
      <c r="S112" s="1016"/>
      <c r="T112" s="1017"/>
      <c r="U112" s="1016"/>
      <c r="V112" s="1016"/>
      <c r="W112" s="1016"/>
      <c r="X112" s="1016"/>
      <c r="Y112" s="1017"/>
      <c r="Z112" s="1016"/>
      <c r="AA112" s="1016"/>
      <c r="AB112" s="1016"/>
      <c r="AC112" s="1016"/>
      <c r="AD112" s="1017"/>
    </row>
    <row r="113" spans="1:45" s="484" customFormat="1" ht="14.4" thickBot="1" x14ac:dyDescent="0.3">
      <c r="A113" s="518"/>
      <c r="B113" s="518"/>
      <c r="C113" s="518"/>
      <c r="D113" s="518"/>
      <c r="E113" s="519"/>
      <c r="F113" s="518"/>
      <c r="G113" s="518"/>
      <c r="H113" s="518"/>
      <c r="I113" s="519"/>
      <c r="J113" s="520"/>
      <c r="K113" s="519"/>
      <c r="L113" s="519"/>
      <c r="M113" s="519"/>
      <c r="N113" s="519"/>
      <c r="O113" s="520"/>
      <c r="P113" s="519"/>
      <c r="Q113" s="519"/>
      <c r="R113" s="519"/>
      <c r="S113" s="519"/>
      <c r="T113" s="520"/>
      <c r="U113" s="519"/>
      <c r="V113" s="519"/>
      <c r="W113" s="519"/>
      <c r="X113" s="519"/>
      <c r="Y113" s="520"/>
      <c r="Z113" s="519"/>
      <c r="AA113" s="519"/>
      <c r="AB113" s="519"/>
      <c r="AC113" s="519"/>
      <c r="AD113" s="520"/>
    </row>
    <row r="114" spans="1:45" s="523" customFormat="1" ht="17.399999999999999" thickBot="1" x14ac:dyDescent="0.35">
      <c r="A114" s="977" t="s">
        <v>1003</v>
      </c>
      <c r="B114" s="978">
        <f t="shared" ref="B114:I114" si="115">+B111+B102+B76+B39+B22</f>
        <v>1980</v>
      </c>
      <c r="C114" s="978">
        <f t="shared" si="115"/>
        <v>1875</v>
      </c>
      <c r="D114" s="978">
        <f t="shared" si="115"/>
        <v>903</v>
      </c>
      <c r="E114" s="997">
        <f>+E111+E102+E76+E39+E22</f>
        <v>4758</v>
      </c>
      <c r="F114" s="978">
        <f t="shared" si="115"/>
        <v>2153</v>
      </c>
      <c r="G114" s="978">
        <f t="shared" si="115"/>
        <v>1665</v>
      </c>
      <c r="H114" s="978">
        <f t="shared" si="115"/>
        <v>870</v>
      </c>
      <c r="I114" s="978">
        <f t="shared" si="115"/>
        <v>4688</v>
      </c>
      <c r="J114" s="996">
        <f>IF(E114&gt;0,(I114-E114)/E114,(IF(I114=0,"N/A",100%)))</f>
        <v>-1.4712063892391762E-2</v>
      </c>
      <c r="K114" s="978">
        <f t="shared" ref="K114:S114" si="116">+K111+K102+K76+K39+K22</f>
        <v>2598</v>
      </c>
      <c r="L114" s="978">
        <f t="shared" si="116"/>
        <v>1428</v>
      </c>
      <c r="M114" s="978">
        <f t="shared" si="116"/>
        <v>1131</v>
      </c>
      <c r="N114" s="978">
        <f t="shared" si="116"/>
        <v>5157</v>
      </c>
      <c r="O114" s="979">
        <f>IF(I114&gt;0,(N114-I114)/I114,(IF(N114=0,"N/A",100%)))</f>
        <v>0.10004266211604096</v>
      </c>
      <c r="P114" s="1054">
        <f t="shared" si="116"/>
        <v>2505</v>
      </c>
      <c r="Q114" s="978">
        <f t="shared" si="116"/>
        <v>1563</v>
      </c>
      <c r="R114" s="978">
        <f t="shared" si="116"/>
        <v>1113</v>
      </c>
      <c r="S114" s="978">
        <f t="shared" si="116"/>
        <v>5181</v>
      </c>
      <c r="T114" s="979">
        <f>IF(N114&gt;0,(S114-N114)/N114,(IF(S114=0,"N/A",100%)))</f>
        <v>4.6538685282140778E-3</v>
      </c>
      <c r="U114" s="1054">
        <f>+U111+U102+U76+U39+U22</f>
        <v>2260</v>
      </c>
      <c r="V114" s="978">
        <f>+V111+V102+V76+V39+V22</f>
        <v>2061</v>
      </c>
      <c r="W114" s="978">
        <f>+W111+W102+W76+W39+W22</f>
        <v>1143</v>
      </c>
      <c r="X114" s="978">
        <f>+X111+X102+X76+X39+X22</f>
        <v>5464</v>
      </c>
      <c r="Y114" s="979">
        <f>IF(S114&gt;0,(X114-S114)/S114,(IF(X114=0,"N/A",100%)))</f>
        <v>5.4622659718201121E-2</v>
      </c>
      <c r="Z114" s="1054">
        <f>+Z111+Z102+Z76+Z39+Z22</f>
        <v>1019</v>
      </c>
      <c r="AA114" s="978">
        <f>+AA111+AA102+AA76+AA39+AA22</f>
        <v>2812</v>
      </c>
      <c r="AB114" s="978">
        <f>+AB111+AB102+AB76+AB39+AB22</f>
        <v>984</v>
      </c>
      <c r="AC114" s="978">
        <f>+AC111+AC102+AC76+AC39+AC22</f>
        <v>4815</v>
      </c>
      <c r="AD114" s="979">
        <f>IF(X114&gt;0,(AC114-X114)/X114,(IF(AC114=0,"N/A",100%)))</f>
        <v>-0.1187774524158126</v>
      </c>
      <c r="AE114" s="1054">
        <f>+AE111+AE102+AE76+AE39+AE22</f>
        <v>1683.5</v>
      </c>
      <c r="AF114" s="978">
        <f>+AF111+AF102+AF76+AF39+AF22</f>
        <v>1474</v>
      </c>
      <c r="AG114" s="978">
        <f>+AG111+AG102+AG76+AG39+AG22</f>
        <v>696</v>
      </c>
      <c r="AH114" s="978">
        <f>+AH111+AH102+AH76+AH39+AH22</f>
        <v>3853.5</v>
      </c>
      <c r="AI114" s="979">
        <f>IF(AC114&gt;0,(AH114-AC114)/AC114,(IF(AH114=0,"N/A",100%)))</f>
        <v>-0.19968847352024921</v>
      </c>
      <c r="AJ114" s="1054">
        <f>+AJ111+AJ102+AJ76+AJ39+AJ22</f>
        <v>1839.5</v>
      </c>
      <c r="AK114" s="978">
        <f>+AK111+AK102+AK76+AK39+AK22</f>
        <v>1515</v>
      </c>
      <c r="AL114" s="978">
        <f>+AL111+AL102+AL76+AL39+AL22</f>
        <v>564</v>
      </c>
      <c r="AM114" s="978">
        <f>+AM111+AM102+AM76+AM39+AM22</f>
        <v>3918.5</v>
      </c>
      <c r="AN114" s="979">
        <f>IF(AH114&gt;0,(AM114-AH114)/AH114,(IF(AM114=0,"N/A",100%)))</f>
        <v>1.6867782535357468E-2</v>
      </c>
      <c r="AO114" s="1054">
        <f>+AO111+AO102+AO76+AO39+AO22</f>
        <v>1643</v>
      </c>
      <c r="AP114" s="978">
        <f>+AP111+AP102+AP76+AP39+AP22</f>
        <v>1321</v>
      </c>
      <c r="AQ114" s="978">
        <f>+AQ111+AQ102+AQ76+AQ39+AQ22</f>
        <v>430</v>
      </c>
      <c r="AR114" s="978">
        <f>+AR111+AR102+AR76+AR39+AR22</f>
        <v>3394</v>
      </c>
      <c r="AS114" s="979">
        <f>IF(AM114&gt;0,(AR114-AM114)/AM114,(IF(AR114=0,"N/A",100%)))</f>
        <v>-0.13385223937731275</v>
      </c>
    </row>
    <row r="115" spans="1:45" x14ac:dyDescent="0.25">
      <c r="A115" s="2144" t="s">
        <v>1066</v>
      </c>
      <c r="B115" s="2144"/>
      <c r="C115" s="2144"/>
      <c r="D115" s="2144"/>
      <c r="E115" s="2144"/>
      <c r="F115" s="2144"/>
      <c r="G115" s="2144"/>
      <c r="H115" s="2144"/>
      <c r="I115" s="2144"/>
      <c r="J115" s="2144"/>
      <c r="K115" s="2144"/>
      <c r="L115" s="2144"/>
      <c r="M115" s="2144"/>
      <c r="N115" s="2144"/>
      <c r="O115" s="1676"/>
      <c r="P115" s="659"/>
      <c r="S115" s="659"/>
    </row>
    <row r="116" spans="1:45" x14ac:dyDescent="0.25">
      <c r="A116" s="2141"/>
      <c r="B116" s="2141"/>
      <c r="C116" s="2141"/>
      <c r="D116" s="2141"/>
      <c r="E116" s="2141"/>
      <c r="F116" s="2141"/>
      <c r="G116" s="2141"/>
      <c r="H116" s="2141"/>
      <c r="I116" s="2141"/>
      <c r="J116" s="2141"/>
      <c r="K116" s="2141"/>
      <c r="L116" s="2141"/>
      <c r="M116" s="2141"/>
      <c r="N116" s="2141"/>
      <c r="O116" s="1675"/>
      <c r="P116" s="659"/>
      <c r="Q116" s="659"/>
      <c r="R116" s="659"/>
      <c r="S116" s="659"/>
      <c r="Z116" s="659"/>
      <c r="AA116" s="659"/>
      <c r="AC116" s="659"/>
    </row>
    <row r="117" spans="1:45" x14ac:dyDescent="0.25">
      <c r="A117" s="681"/>
      <c r="C117" s="681"/>
      <c r="D117" s="681"/>
      <c r="E117" s="681"/>
      <c r="F117" s="1762"/>
      <c r="G117" s="1762"/>
      <c r="H117" s="1762"/>
      <c r="I117" s="1762"/>
      <c r="J117" s="1762"/>
      <c r="K117" s="1738"/>
      <c r="L117" s="1738"/>
      <c r="M117" s="1738"/>
      <c r="N117" s="1738"/>
      <c r="O117" s="1738"/>
      <c r="P117" s="1738"/>
      <c r="Q117" s="1738"/>
      <c r="R117" s="1738"/>
      <c r="S117" s="1738"/>
      <c r="T117" s="659"/>
      <c r="U117" s="1738"/>
      <c r="V117" s="1738"/>
      <c r="W117" s="1738"/>
      <c r="X117" s="1738"/>
      <c r="Y117" s="659"/>
      <c r="AC117" s="681"/>
      <c r="AD117" s="681"/>
      <c r="AE117" s="681"/>
      <c r="AF117" s="681"/>
      <c r="AG117" s="681"/>
      <c r="AH117" s="681"/>
    </row>
    <row r="118" spans="1:45" x14ac:dyDescent="0.25">
      <c r="A118" s="681"/>
      <c r="B118" s="681"/>
      <c r="C118" s="681"/>
      <c r="D118" s="681"/>
      <c r="E118" s="681"/>
      <c r="F118" s="681"/>
      <c r="G118" s="681"/>
      <c r="H118" s="681"/>
      <c r="I118" s="681"/>
      <c r="J118" s="681"/>
      <c r="K118" s="1738"/>
      <c r="L118" s="1738"/>
      <c r="M118" s="1738"/>
      <c r="N118" s="1738"/>
      <c r="O118" s="1738"/>
      <c r="P118" s="659"/>
      <c r="AC118" s="681"/>
      <c r="AD118" s="681"/>
      <c r="AE118" s="681"/>
      <c r="AF118" s="681"/>
      <c r="AG118" s="681"/>
      <c r="AH118" s="681"/>
    </row>
    <row r="119" spans="1:45" x14ac:dyDescent="0.25">
      <c r="A119" s="681"/>
      <c r="B119" s="681"/>
      <c r="C119" s="681"/>
      <c r="D119" s="681"/>
      <c r="E119" s="681"/>
      <c r="F119" s="681"/>
      <c r="G119" s="681"/>
      <c r="H119" s="681"/>
      <c r="I119" s="681"/>
      <c r="J119" s="681"/>
      <c r="K119" s="681"/>
      <c r="L119" s="681"/>
      <c r="M119" s="681"/>
      <c r="N119" s="681"/>
      <c r="O119" s="681"/>
      <c r="AC119" s="681"/>
      <c r="AD119" s="681"/>
      <c r="AE119" s="681"/>
      <c r="AF119" s="681"/>
      <c r="AG119" s="681"/>
      <c r="AH119" s="681"/>
    </row>
    <row r="120" spans="1:45" x14ac:dyDescent="0.25">
      <c r="A120" s="681"/>
      <c r="B120" s="1738"/>
      <c r="C120" s="681"/>
      <c r="D120" s="681"/>
      <c r="E120" s="681"/>
      <c r="F120" s="1738"/>
      <c r="G120" s="681"/>
      <c r="H120" s="681"/>
      <c r="I120" s="681"/>
      <c r="J120" s="681"/>
      <c r="K120" s="1738"/>
      <c r="L120" s="681"/>
      <c r="M120" s="681"/>
      <c r="N120" s="681"/>
      <c r="O120" s="681"/>
      <c r="P120" s="1738"/>
      <c r="U120" s="1738"/>
      <c r="AC120" s="681"/>
      <c r="AD120" s="681"/>
      <c r="AE120" s="681"/>
      <c r="AF120" s="681"/>
      <c r="AG120" s="681"/>
      <c r="AH120" s="681"/>
    </row>
    <row r="121" spans="1:45" x14ac:dyDescent="0.25">
      <c r="A121" s="681"/>
      <c r="B121" s="681"/>
      <c r="C121" s="681"/>
      <c r="D121" s="681"/>
      <c r="E121" s="681"/>
      <c r="F121" s="681"/>
      <c r="G121" s="681"/>
      <c r="H121" s="681"/>
      <c r="I121" s="681"/>
      <c r="J121" s="681"/>
      <c r="K121" s="681"/>
      <c r="L121" s="681"/>
      <c r="M121" s="681"/>
      <c r="N121" s="681"/>
      <c r="O121" s="681"/>
      <c r="AC121" s="681"/>
      <c r="AD121" s="681"/>
      <c r="AE121" s="681"/>
      <c r="AF121" s="681"/>
      <c r="AG121" s="681"/>
      <c r="AH121" s="681"/>
    </row>
    <row r="122" spans="1:45" x14ac:dyDescent="0.25">
      <c r="A122" s="681"/>
      <c r="B122" s="681"/>
      <c r="C122" s="681"/>
      <c r="D122" s="681"/>
      <c r="E122" s="681"/>
      <c r="F122" s="681"/>
      <c r="G122" s="681"/>
      <c r="H122" s="681"/>
      <c r="I122" s="681"/>
      <c r="J122" s="681"/>
      <c r="K122" s="681"/>
      <c r="L122" s="681"/>
      <c r="M122" s="681"/>
      <c r="N122" s="681"/>
      <c r="O122" s="681"/>
      <c r="AC122" s="681"/>
      <c r="AD122" s="681"/>
      <c r="AE122" s="681"/>
      <c r="AF122" s="681"/>
      <c r="AG122" s="681"/>
      <c r="AH122" s="681"/>
    </row>
    <row r="123" spans="1:45" x14ac:dyDescent="0.25">
      <c r="A123" s="681"/>
      <c r="B123" s="681"/>
      <c r="C123" s="681"/>
      <c r="D123" s="681"/>
      <c r="E123" s="681"/>
      <c r="F123" s="681"/>
      <c r="G123" s="681"/>
      <c r="H123" s="681"/>
      <c r="I123" s="681"/>
      <c r="J123" s="681"/>
      <c r="K123" s="681"/>
      <c r="L123" s="681"/>
      <c r="M123" s="681"/>
      <c r="N123" s="1738"/>
      <c r="O123" s="1738"/>
      <c r="P123" s="681"/>
      <c r="Q123" s="681"/>
      <c r="R123" s="681"/>
      <c r="W123" s="681"/>
      <c r="X123" s="681"/>
      <c r="Y123" s="681"/>
      <c r="AC123" s="681"/>
      <c r="AD123" s="681"/>
      <c r="AE123" s="681"/>
      <c r="AF123" s="681"/>
      <c r="AG123" s="681"/>
      <c r="AH123" s="681"/>
    </row>
    <row r="124" spans="1:45" x14ac:dyDescent="0.25">
      <c r="A124" s="681"/>
      <c r="B124" s="681"/>
      <c r="C124" s="681"/>
      <c r="D124" s="681"/>
      <c r="E124" s="681"/>
      <c r="F124" s="681"/>
      <c r="G124" s="681"/>
      <c r="H124" s="681"/>
      <c r="I124" s="681"/>
      <c r="J124" s="681"/>
      <c r="K124" s="681"/>
      <c r="L124" s="681"/>
      <c r="M124" s="681"/>
      <c r="N124" s="1738"/>
      <c r="O124" s="1738"/>
      <c r="P124" s="681"/>
      <c r="Q124" s="681"/>
      <c r="R124" s="681"/>
      <c r="W124" s="681"/>
      <c r="X124" s="681"/>
      <c r="Y124" s="681"/>
      <c r="AC124" s="681"/>
      <c r="AD124" s="681"/>
      <c r="AE124" s="681"/>
      <c r="AF124" s="681"/>
      <c r="AG124" s="681"/>
      <c r="AH124" s="681"/>
    </row>
    <row r="125" spans="1:45" x14ac:dyDescent="0.25">
      <c r="A125" s="681"/>
      <c r="B125" s="681"/>
      <c r="C125" s="681"/>
      <c r="D125" s="681"/>
      <c r="E125" s="681"/>
      <c r="F125" s="681"/>
      <c r="G125" s="681"/>
      <c r="H125" s="681"/>
      <c r="I125" s="681"/>
      <c r="J125" s="681"/>
      <c r="K125" s="681"/>
      <c r="L125" s="681"/>
      <c r="M125" s="681"/>
      <c r="N125" s="681"/>
      <c r="O125" s="681"/>
      <c r="P125" s="681"/>
      <c r="Q125" s="681"/>
      <c r="R125" s="681"/>
      <c r="W125" s="681"/>
      <c r="X125" s="681"/>
      <c r="Y125" s="681"/>
      <c r="AC125" s="681"/>
      <c r="AD125" s="681"/>
      <c r="AE125" s="681"/>
      <c r="AF125" s="681"/>
      <c r="AG125" s="681"/>
      <c r="AH125" s="681"/>
    </row>
    <row r="126" spans="1:45" x14ac:dyDescent="0.25">
      <c r="A126" s="681"/>
      <c r="B126" s="681"/>
      <c r="C126" s="681"/>
      <c r="D126" s="681"/>
      <c r="E126" s="681"/>
      <c r="F126" s="681"/>
      <c r="G126" s="681"/>
      <c r="H126" s="681"/>
      <c r="I126" s="681"/>
      <c r="J126" s="681"/>
      <c r="K126" s="681"/>
      <c r="L126" s="681"/>
      <c r="M126" s="681"/>
      <c r="N126" s="681"/>
      <c r="O126" s="681"/>
      <c r="P126" s="681"/>
      <c r="Q126" s="681"/>
      <c r="R126" s="681"/>
      <c r="W126" s="681"/>
      <c r="X126" s="681"/>
      <c r="Y126" s="681"/>
      <c r="AC126" s="681"/>
      <c r="AD126" s="681"/>
      <c r="AE126" s="681"/>
      <c r="AF126" s="681"/>
      <c r="AG126" s="681"/>
      <c r="AH126" s="681"/>
    </row>
    <row r="127" spans="1:45" x14ac:dyDescent="0.25">
      <c r="A127" s="681"/>
      <c r="B127" s="681"/>
      <c r="C127" s="681"/>
      <c r="D127" s="681"/>
      <c r="E127" s="681"/>
      <c r="F127" s="681"/>
      <c r="G127" s="681"/>
      <c r="H127" s="681"/>
      <c r="I127" s="681"/>
      <c r="J127" s="681"/>
      <c r="K127" s="681"/>
      <c r="L127" s="681"/>
      <c r="M127" s="681"/>
      <c r="N127" s="681"/>
      <c r="O127" s="681"/>
      <c r="P127" s="681"/>
      <c r="Q127" s="681"/>
      <c r="R127" s="681"/>
      <c r="W127" s="681"/>
      <c r="X127" s="681"/>
      <c r="Y127" s="681"/>
      <c r="AC127" s="681"/>
      <c r="AD127" s="681"/>
      <c r="AE127" s="681"/>
      <c r="AF127" s="681"/>
      <c r="AG127" s="681"/>
      <c r="AH127" s="681"/>
    </row>
    <row r="128" spans="1:45" x14ac:dyDescent="0.25">
      <c r="A128" s="681"/>
      <c r="B128" s="681"/>
      <c r="C128" s="681"/>
      <c r="D128" s="681"/>
      <c r="E128" s="681"/>
      <c r="F128" s="681"/>
      <c r="G128" s="681"/>
      <c r="H128" s="681"/>
      <c r="I128" s="681"/>
      <c r="J128" s="681"/>
      <c r="K128" s="681"/>
      <c r="L128" s="681"/>
      <c r="M128" s="681"/>
      <c r="N128" s="681"/>
      <c r="O128" s="681"/>
      <c r="P128" s="681"/>
      <c r="Q128" s="681"/>
      <c r="R128" s="681"/>
      <c r="W128" s="681"/>
      <c r="X128" s="681"/>
      <c r="Y128" s="681"/>
      <c r="AC128" s="681"/>
      <c r="AD128" s="681"/>
      <c r="AE128" s="681"/>
      <c r="AF128" s="681"/>
      <c r="AG128" s="681"/>
      <c r="AH128" s="681"/>
    </row>
    <row r="129" spans="1:34" x14ac:dyDescent="0.25">
      <c r="A129" s="681"/>
      <c r="B129" s="681"/>
      <c r="C129" s="681"/>
      <c r="D129" s="681"/>
      <c r="E129" s="681"/>
      <c r="F129" s="681"/>
      <c r="G129" s="681"/>
      <c r="H129" s="681"/>
      <c r="I129" s="681"/>
      <c r="J129" s="681"/>
      <c r="K129" s="681"/>
      <c r="L129" s="681"/>
      <c r="M129" s="681"/>
      <c r="N129" s="681"/>
      <c r="O129" s="681"/>
      <c r="P129" s="681"/>
      <c r="Q129" s="681"/>
      <c r="R129" s="681"/>
      <c r="W129" s="681"/>
      <c r="X129" s="681"/>
      <c r="Y129" s="681"/>
      <c r="AC129" s="681"/>
      <c r="AD129" s="681"/>
      <c r="AE129" s="681"/>
      <c r="AF129" s="681"/>
      <c r="AG129" s="681"/>
      <c r="AH129" s="681"/>
    </row>
    <row r="130" spans="1:34" x14ac:dyDescent="0.25">
      <c r="A130" s="681"/>
      <c r="B130" s="681"/>
      <c r="C130" s="681"/>
      <c r="D130" s="681"/>
      <c r="E130" s="681"/>
      <c r="F130" s="681"/>
      <c r="G130" s="681"/>
      <c r="H130" s="681"/>
      <c r="I130" s="681"/>
      <c r="J130" s="681"/>
      <c r="K130" s="681"/>
      <c r="L130" s="681"/>
      <c r="M130" s="681"/>
      <c r="N130" s="681"/>
      <c r="O130" s="681"/>
      <c r="P130" s="681"/>
      <c r="Q130" s="681"/>
      <c r="R130" s="681"/>
      <c r="W130" s="681"/>
      <c r="X130" s="681"/>
      <c r="Y130" s="681"/>
      <c r="AC130" s="681"/>
      <c r="AD130" s="681"/>
      <c r="AE130" s="681"/>
      <c r="AF130" s="681"/>
      <c r="AG130" s="681"/>
      <c r="AH130" s="681"/>
    </row>
    <row r="131" spans="1:34" x14ac:dyDescent="0.25">
      <c r="A131" s="681"/>
      <c r="B131" s="681"/>
      <c r="C131" s="681"/>
      <c r="D131" s="681"/>
      <c r="E131" s="681"/>
      <c r="F131" s="681"/>
      <c r="G131" s="681"/>
      <c r="H131" s="681"/>
      <c r="I131" s="681"/>
      <c r="J131" s="681"/>
      <c r="K131" s="681"/>
      <c r="L131" s="681"/>
      <c r="M131" s="681"/>
      <c r="N131" s="681"/>
      <c r="O131" s="681"/>
      <c r="P131" s="681"/>
      <c r="Q131" s="681"/>
      <c r="R131" s="681"/>
      <c r="W131" s="681"/>
      <c r="X131" s="681"/>
      <c r="Y131" s="681"/>
      <c r="AC131" s="681"/>
      <c r="AD131" s="681"/>
      <c r="AE131" s="681"/>
      <c r="AF131" s="681"/>
      <c r="AG131" s="681"/>
      <c r="AH131" s="681"/>
    </row>
    <row r="132" spans="1:34" x14ac:dyDescent="0.25">
      <c r="A132" s="681"/>
      <c r="B132" s="681"/>
      <c r="C132" s="681"/>
      <c r="D132" s="681"/>
      <c r="E132" s="681"/>
      <c r="F132" s="681"/>
      <c r="G132" s="681"/>
      <c r="H132" s="681"/>
      <c r="I132" s="681"/>
      <c r="J132" s="681"/>
      <c r="K132" s="681"/>
      <c r="L132" s="681"/>
      <c r="M132" s="681"/>
      <c r="N132" s="681"/>
      <c r="O132" s="681"/>
      <c r="P132" s="681"/>
      <c r="Q132" s="681"/>
      <c r="R132" s="681"/>
      <c r="W132" s="681"/>
      <c r="X132" s="681"/>
      <c r="Y132" s="681"/>
      <c r="AC132" s="681"/>
      <c r="AD132" s="681"/>
      <c r="AE132" s="681"/>
      <c r="AF132" s="681"/>
      <c r="AG132" s="681"/>
      <c r="AH132" s="681"/>
    </row>
    <row r="133" spans="1:34" x14ac:dyDescent="0.25">
      <c r="A133" s="681"/>
      <c r="B133" s="681"/>
      <c r="C133" s="681"/>
      <c r="D133" s="681"/>
      <c r="E133" s="681"/>
      <c r="F133" s="681"/>
      <c r="G133" s="681"/>
      <c r="H133" s="681"/>
      <c r="I133" s="681"/>
      <c r="J133" s="681"/>
      <c r="K133" s="681"/>
      <c r="L133" s="681"/>
      <c r="M133" s="681"/>
      <c r="N133" s="681"/>
      <c r="O133" s="681"/>
      <c r="P133" s="681"/>
      <c r="Q133" s="681"/>
      <c r="R133" s="681"/>
      <c r="W133" s="681"/>
      <c r="X133" s="681"/>
      <c r="Y133" s="681"/>
      <c r="AC133" s="681"/>
      <c r="AD133" s="681"/>
      <c r="AE133" s="681"/>
      <c r="AF133" s="681"/>
      <c r="AG133" s="681"/>
      <c r="AH133" s="681"/>
    </row>
  </sheetData>
  <mergeCells count="47">
    <mergeCell ref="AO5:AS5"/>
    <mergeCell ref="AO27:AS27"/>
    <mergeCell ref="AO44:AS44"/>
    <mergeCell ref="AO81:AS81"/>
    <mergeCell ref="A79:AS79"/>
    <mergeCell ref="B27:E27"/>
    <mergeCell ref="F27:J27"/>
    <mergeCell ref="K27:O27"/>
    <mergeCell ref="P27:T27"/>
    <mergeCell ref="U81:Y81"/>
    <mergeCell ref="Z81:AD81"/>
    <mergeCell ref="AE81:AI81"/>
    <mergeCell ref="A43:A44"/>
    <mergeCell ref="B44:E44"/>
    <mergeCell ref="F44:J44"/>
    <mergeCell ref="K44:O44"/>
    <mergeCell ref="A1:AS1"/>
    <mergeCell ref="A3:AS3"/>
    <mergeCell ref="A25:AS25"/>
    <mergeCell ref="A42:AS42"/>
    <mergeCell ref="U27:Y27"/>
    <mergeCell ref="Z27:AD27"/>
    <mergeCell ref="AE27:AI27"/>
    <mergeCell ref="A4:A5"/>
    <mergeCell ref="B5:E5"/>
    <mergeCell ref="F5:J5"/>
    <mergeCell ref="K5:O5"/>
    <mergeCell ref="P5:T5"/>
    <mergeCell ref="U5:Y5"/>
    <mergeCell ref="Z5:AD5"/>
    <mergeCell ref="AE5:AI5"/>
    <mergeCell ref="A26:A27"/>
    <mergeCell ref="A116:N116"/>
    <mergeCell ref="AJ5:AN5"/>
    <mergeCell ref="AJ27:AN27"/>
    <mergeCell ref="AJ44:AN44"/>
    <mergeCell ref="AJ81:AN81"/>
    <mergeCell ref="A80:A81"/>
    <mergeCell ref="B81:E81"/>
    <mergeCell ref="F81:J81"/>
    <mergeCell ref="K81:O81"/>
    <mergeCell ref="P81:T81"/>
    <mergeCell ref="P44:T44"/>
    <mergeCell ref="U44:Y44"/>
    <mergeCell ref="Z44:AD44"/>
    <mergeCell ref="AE44:AI44"/>
    <mergeCell ref="A115:N115"/>
  </mergeCells>
  <printOptions horizontalCentered="1" verticalCentered="1"/>
  <pageMargins left="0.25" right="0.49" top="0.2" bottom="0.38" header="0.17" footer="0.25"/>
  <pageSetup scale="55" orientation="landscape" horizontalDpi="4294967293" r:id="rId1"/>
  <headerFooter alignWithMargins="0">
    <oddFooter>&amp;RSource: Office of Institutional Research</oddFooter>
  </headerFooter>
  <rowBreaks count="2" manualBreakCount="2">
    <brk id="41" max="14" man="1"/>
    <brk id="115" max="17"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32"/>
  <sheetViews>
    <sheetView zoomScale="62" zoomScaleNormal="62" workbookViewId="0">
      <selection sqref="A1:AS1"/>
    </sheetView>
  </sheetViews>
  <sheetFormatPr defaultColWidth="6.6640625" defaultRowHeight="13.2" x14ac:dyDescent="0.25"/>
  <cols>
    <col min="1" max="1" width="55.6640625" style="280" customWidth="1"/>
    <col min="2" max="10" width="10.6640625" style="280" hidden="1" customWidth="1"/>
    <col min="11" max="11" width="10.6640625" style="1794" hidden="1" customWidth="1"/>
    <col min="12" max="15" width="10.6640625" style="280" hidden="1" customWidth="1"/>
    <col min="16" max="20" width="10.88671875" style="280" hidden="1" customWidth="1"/>
    <col min="21" max="80" width="10.88671875" style="280" customWidth="1"/>
    <col min="81" max="16384" width="6.6640625" style="280"/>
  </cols>
  <sheetData>
    <row r="1" spans="1:45" ht="24.75" customHeight="1" x14ac:dyDescent="0.35">
      <c r="A1" s="2137" t="s">
        <v>477</v>
      </c>
      <c r="B1" s="2137"/>
      <c r="C1" s="2137"/>
      <c r="D1" s="2137"/>
      <c r="E1" s="2137"/>
      <c r="F1" s="2137"/>
      <c r="G1" s="2137"/>
      <c r="H1" s="2137"/>
      <c r="I1" s="2137"/>
      <c r="J1" s="2137"/>
      <c r="K1" s="2137"/>
      <c r="L1" s="2137"/>
      <c r="M1" s="2137"/>
      <c r="N1" s="2137"/>
      <c r="O1" s="2137"/>
      <c r="P1" s="2137"/>
      <c r="Q1" s="2137"/>
      <c r="R1" s="2137"/>
      <c r="S1" s="2137"/>
      <c r="T1" s="2137"/>
      <c r="U1" s="2137"/>
      <c r="V1" s="2137"/>
      <c r="W1" s="2137"/>
      <c r="X1" s="2137"/>
      <c r="Y1" s="2137"/>
      <c r="Z1" s="2137"/>
      <c r="AA1" s="2137"/>
      <c r="AB1" s="2137"/>
      <c r="AC1" s="2137"/>
      <c r="AD1" s="2137"/>
      <c r="AE1" s="2137"/>
      <c r="AF1" s="2137"/>
      <c r="AG1" s="2137"/>
      <c r="AH1" s="2137"/>
      <c r="AI1" s="2137"/>
      <c r="AJ1" s="2137"/>
      <c r="AK1" s="2137"/>
      <c r="AL1" s="2137"/>
      <c r="AM1" s="2137"/>
      <c r="AN1" s="2137"/>
      <c r="AO1" s="2137"/>
      <c r="AP1" s="2137"/>
      <c r="AQ1" s="2137"/>
      <c r="AR1" s="2137"/>
      <c r="AS1" s="2137"/>
    </row>
    <row r="2" spans="1:45" ht="12.75" customHeight="1" thickBot="1" x14ac:dyDescent="0.3">
      <c r="A2" s="120"/>
      <c r="B2" s="120"/>
      <c r="C2" s="120"/>
      <c r="D2" s="120"/>
      <c r="E2" s="120"/>
      <c r="F2" s="120"/>
      <c r="G2" s="120"/>
      <c r="H2" s="120"/>
      <c r="I2" s="120"/>
      <c r="J2" s="120"/>
      <c r="K2" s="122"/>
      <c r="L2" s="122"/>
      <c r="M2" s="122"/>
      <c r="N2" s="122"/>
      <c r="O2" s="122"/>
      <c r="P2" s="122"/>
      <c r="Q2" s="122"/>
      <c r="R2" s="122"/>
      <c r="S2" s="122"/>
      <c r="T2" s="122"/>
      <c r="U2" s="122"/>
      <c r="V2" s="122"/>
      <c r="W2" s="122"/>
      <c r="X2" s="122"/>
      <c r="Y2" s="122"/>
      <c r="Z2" s="122"/>
      <c r="AA2" s="122"/>
      <c r="AB2" s="122"/>
    </row>
    <row r="3" spans="1:45" s="1546" customFormat="1" ht="18" thickBot="1" x14ac:dyDescent="0.35">
      <c r="A3" s="2161" t="s">
        <v>428</v>
      </c>
      <c r="B3" s="2162"/>
      <c r="C3" s="2162"/>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3"/>
    </row>
    <row r="4" spans="1:45" ht="45.75" customHeight="1" x14ac:dyDescent="0.25">
      <c r="A4" s="2167" t="s">
        <v>1006</v>
      </c>
      <c r="B4" s="1710" t="s">
        <v>1008</v>
      </c>
      <c r="C4" s="1710" t="s">
        <v>1009</v>
      </c>
      <c r="D4" s="1710" t="s">
        <v>1010</v>
      </c>
      <c r="E4" s="680" t="s">
        <v>1011</v>
      </c>
      <c r="F4" s="1711" t="s">
        <v>1008</v>
      </c>
      <c r="G4" s="1710" t="s">
        <v>1009</v>
      </c>
      <c r="H4" s="1710" t="s">
        <v>1010</v>
      </c>
      <c r="I4" s="1712" t="s">
        <v>1011</v>
      </c>
      <c r="J4" s="680" t="s">
        <v>1012</v>
      </c>
      <c r="K4" s="1711" t="s">
        <v>1008</v>
      </c>
      <c r="L4" s="1711" t="s">
        <v>1009</v>
      </c>
      <c r="M4" s="1711" t="s">
        <v>1010</v>
      </c>
      <c r="N4" s="1712" t="s">
        <v>1069</v>
      </c>
      <c r="O4" s="1763" t="s">
        <v>1012</v>
      </c>
      <c r="P4" s="1711" t="s">
        <v>1008</v>
      </c>
      <c r="Q4" s="1711" t="s">
        <v>1009</v>
      </c>
      <c r="R4" s="1711" t="s">
        <v>1010</v>
      </c>
      <c r="S4" s="1712" t="s">
        <v>1069</v>
      </c>
      <c r="T4" s="1763" t="s">
        <v>1071</v>
      </c>
      <c r="U4" s="1711" t="s">
        <v>1008</v>
      </c>
      <c r="V4" s="1711" t="s">
        <v>1009</v>
      </c>
      <c r="W4" s="1711" t="s">
        <v>1010</v>
      </c>
      <c r="X4" s="1712" t="s">
        <v>1069</v>
      </c>
      <c r="Y4" s="1763" t="s">
        <v>1071</v>
      </c>
      <c r="Z4" s="1711" t="s">
        <v>1008</v>
      </c>
      <c r="AA4" s="1711" t="s">
        <v>1009</v>
      </c>
      <c r="AB4" s="1711" t="s">
        <v>1010</v>
      </c>
      <c r="AC4" s="1712" t="s">
        <v>1069</v>
      </c>
      <c r="AD4" s="1763" t="s">
        <v>1071</v>
      </c>
      <c r="AE4" s="1711" t="s">
        <v>1008</v>
      </c>
      <c r="AF4" s="1711" t="s">
        <v>1009</v>
      </c>
      <c r="AG4" s="1711" t="s">
        <v>1010</v>
      </c>
      <c r="AH4" s="1712" t="s">
        <v>1069</v>
      </c>
      <c r="AI4" s="1763" t="s">
        <v>1071</v>
      </c>
      <c r="AJ4" s="2092" t="s">
        <v>1008</v>
      </c>
      <c r="AK4" s="2093" t="s">
        <v>1009</v>
      </c>
      <c r="AL4" s="2093" t="s">
        <v>1010</v>
      </c>
      <c r="AM4" s="1820" t="s">
        <v>1069</v>
      </c>
      <c r="AN4" s="1821" t="s">
        <v>1071</v>
      </c>
      <c r="AO4" s="2092" t="s">
        <v>1008</v>
      </c>
      <c r="AP4" s="2093" t="s">
        <v>1009</v>
      </c>
      <c r="AQ4" s="2093" t="s">
        <v>1010</v>
      </c>
      <c r="AR4" s="1820" t="s">
        <v>1069</v>
      </c>
      <c r="AS4" s="1821" t="s">
        <v>1071</v>
      </c>
    </row>
    <row r="5" spans="1:45" ht="12.75" customHeight="1" x14ac:dyDescent="0.25">
      <c r="A5" s="2168"/>
      <c r="B5" s="2157" t="s">
        <v>1466</v>
      </c>
      <c r="C5" s="2157"/>
      <c r="D5" s="2157"/>
      <c r="E5" s="2158"/>
      <c r="F5" s="2157" t="s">
        <v>1467</v>
      </c>
      <c r="G5" s="2157"/>
      <c r="H5" s="2157"/>
      <c r="I5" s="2157"/>
      <c r="J5" s="2158"/>
      <c r="K5" s="2138" t="s">
        <v>1454</v>
      </c>
      <c r="L5" s="2139"/>
      <c r="M5" s="2139"/>
      <c r="N5" s="2139"/>
      <c r="O5" s="2153"/>
      <c r="P5" s="2139" t="s">
        <v>1455</v>
      </c>
      <c r="Q5" s="2139"/>
      <c r="R5" s="2139"/>
      <c r="S5" s="2139"/>
      <c r="T5" s="2153"/>
      <c r="U5" s="2139" t="s">
        <v>1456</v>
      </c>
      <c r="V5" s="2139"/>
      <c r="W5" s="2139"/>
      <c r="X5" s="2139"/>
      <c r="Y5" s="2153"/>
      <c r="Z5" s="2139" t="s">
        <v>1599</v>
      </c>
      <c r="AA5" s="2139"/>
      <c r="AB5" s="2139"/>
      <c r="AC5" s="2139"/>
      <c r="AD5" s="2153"/>
      <c r="AE5" s="2156" t="s">
        <v>1716</v>
      </c>
      <c r="AF5" s="2157"/>
      <c r="AG5" s="2157"/>
      <c r="AH5" s="2157"/>
      <c r="AI5" s="2158"/>
      <c r="AJ5" s="2138" t="s">
        <v>1717</v>
      </c>
      <c r="AK5" s="2139"/>
      <c r="AL5" s="2139"/>
      <c r="AM5" s="2139"/>
      <c r="AN5" s="2140"/>
      <c r="AO5" s="2138" t="s">
        <v>1779</v>
      </c>
      <c r="AP5" s="2139"/>
      <c r="AQ5" s="2139"/>
      <c r="AR5" s="2139"/>
      <c r="AS5" s="2140"/>
    </row>
    <row r="6" spans="1:45" x14ac:dyDescent="0.25">
      <c r="A6" s="477" t="s">
        <v>431</v>
      </c>
      <c r="B6" s="1764"/>
      <c r="C6" s="1764"/>
      <c r="D6" s="1764"/>
      <c r="E6" s="1002"/>
      <c r="F6" s="1764"/>
      <c r="G6" s="1764"/>
      <c r="H6" s="1764"/>
      <c r="I6" s="1764"/>
      <c r="J6" s="1002"/>
      <c r="K6" s="1765"/>
      <c r="L6" s="1766"/>
      <c r="M6" s="1766"/>
      <c r="N6" s="1767"/>
      <c r="O6" s="1722"/>
      <c r="P6" s="1765"/>
      <c r="Q6" s="1766"/>
      <c r="R6" s="1766"/>
      <c r="S6" s="1766"/>
      <c r="T6" s="1768"/>
      <c r="U6" s="1765"/>
      <c r="V6" s="1766"/>
      <c r="W6" s="1766"/>
      <c r="X6" s="1766"/>
      <c r="Y6" s="1768"/>
      <c r="Z6" s="1765"/>
      <c r="AA6" s="1766"/>
      <c r="AB6" s="1766"/>
      <c r="AC6" s="1766"/>
      <c r="AD6" s="1768"/>
      <c r="AE6" s="1765"/>
      <c r="AF6" s="1766"/>
      <c r="AG6" s="1766"/>
      <c r="AH6" s="1766"/>
      <c r="AI6" s="1768"/>
      <c r="AJ6" s="1815"/>
      <c r="AK6" s="1766"/>
      <c r="AL6" s="1766"/>
      <c r="AM6" s="1766"/>
      <c r="AN6" s="1768"/>
      <c r="AO6" s="1815"/>
      <c r="AP6" s="1766"/>
      <c r="AQ6" s="1766"/>
      <c r="AR6" s="1766"/>
      <c r="AS6" s="1768"/>
    </row>
    <row r="7" spans="1:45" x14ac:dyDescent="0.25">
      <c r="A7" s="478" t="s">
        <v>1016</v>
      </c>
      <c r="B7" s="1769">
        <f>+'NEW Summer CHP by DISC '!B7/15</f>
        <v>1.6</v>
      </c>
      <c r="C7" s="1769">
        <f>+'NEW Summer CHP by DISC '!C7/15</f>
        <v>0</v>
      </c>
      <c r="D7" s="1769">
        <f>+'NEW Summer CHP by DISC '!D7/12</f>
        <v>0</v>
      </c>
      <c r="E7" s="1770">
        <f>SUM(B7:D7)</f>
        <v>1.6</v>
      </c>
      <c r="F7" s="1769">
        <f>+'NEW Summer CHP by DISC '!F7/15</f>
        <v>2.8</v>
      </c>
      <c r="G7" s="1769">
        <f>+'NEW Summer CHP by DISC '!G7/15</f>
        <v>0</v>
      </c>
      <c r="H7" s="1769">
        <f>+'NEW Summer CHP by DISC '!H7/12</f>
        <v>0</v>
      </c>
      <c r="I7" s="1724">
        <f>SUM(F7:H7)</f>
        <v>2.8</v>
      </c>
      <c r="J7" s="1679">
        <f t="shared" ref="J7:J20" si="0">IF(E7&gt;0,(I7-E7)/E7,(IF(I7=0,"N/A",100%)))</f>
        <v>0.74999999999999978</v>
      </c>
      <c r="K7" s="1769">
        <f>+'NEW Summer CHP by DISC '!K7/15</f>
        <v>5.6</v>
      </c>
      <c r="L7" s="1769">
        <f>+'NEW Summer CHP by DISC '!L7/15</f>
        <v>2.6</v>
      </c>
      <c r="M7" s="1769">
        <f>+'NEW Summer CHP by DISC '!M7/12</f>
        <v>0</v>
      </c>
      <c r="N7" s="1771">
        <f t="shared" ref="N7:N14" si="1">SUM(K7:M7)</f>
        <v>8.1999999999999993</v>
      </c>
      <c r="O7" s="1679">
        <f t="shared" ref="O7:O15" si="2">IF(I7&gt;0,(N7-I7)/I7,(IF(N7=0,"N/A",100%)))</f>
        <v>1.9285714285714286</v>
      </c>
      <c r="P7" s="1769">
        <f>+'NEW Summer CHP by DISC '!P7/15</f>
        <v>4</v>
      </c>
      <c r="Q7" s="1769">
        <f>+'NEW Summer CHP by DISC '!Q7/15</f>
        <v>0.6</v>
      </c>
      <c r="R7" s="1769">
        <f>+'NEW Summer CHP by DISC '!R7/12</f>
        <v>0</v>
      </c>
      <c r="S7" s="1769">
        <f t="shared" ref="S7:S14" si="3">SUM(P7:R7)</f>
        <v>4.5999999999999996</v>
      </c>
      <c r="T7" s="1679">
        <f t="shared" ref="T7:T15" si="4">IF(N7&gt;0,(S7-N7)/N7,(IF(S7=0,"N/A",100%)))</f>
        <v>-0.43902439024390244</v>
      </c>
      <c r="U7" s="1769">
        <f>+'NEW Summer CHP by DISC '!U7/15</f>
        <v>3.6</v>
      </c>
      <c r="V7" s="1769">
        <f>+'NEW Summer CHP by DISC '!V7/15</f>
        <v>0.4</v>
      </c>
      <c r="W7" s="1769">
        <f>+'NEW Summer CHP by DISC '!W7/12</f>
        <v>0</v>
      </c>
      <c r="X7" s="1769">
        <f t="shared" ref="X7:X14" si="5">SUM(U7:W7)</f>
        <v>4</v>
      </c>
      <c r="Y7" s="1679">
        <f t="shared" ref="Y7:Y15" si="6">IF(S7&gt;0,(X7-S7)/S7,(IF(X7=0,"N/A",100%)))</f>
        <v>-0.13043478260869559</v>
      </c>
      <c r="Z7" s="1769">
        <f>+'NEW Summer CHP by DISC '!Z7/15</f>
        <v>0</v>
      </c>
      <c r="AA7" s="1769">
        <f>+'NEW Summer CHP by DISC '!AA7/15</f>
        <v>6.2</v>
      </c>
      <c r="AB7" s="1769">
        <f>+'NEW Summer CHP by DISC '!AB7/12</f>
        <v>0</v>
      </c>
      <c r="AC7" s="1769">
        <f t="shared" ref="AC7:AC14" si="7">SUM(Z7:AB7)</f>
        <v>6.2</v>
      </c>
      <c r="AD7" s="1679">
        <f t="shared" ref="AD7:AD15" si="8">IF(X7&gt;0,(AC7-X7)/X7,(IF(AC7=0,"N/A",100%)))</f>
        <v>0.55000000000000004</v>
      </c>
      <c r="AE7" s="1769">
        <f>+'NEW Summer CHP by DISC '!AE7/15</f>
        <v>6</v>
      </c>
      <c r="AF7" s="1769">
        <f>+'NEW Summer CHP by DISC '!AF7/15</f>
        <v>0.6</v>
      </c>
      <c r="AG7" s="1769">
        <f>+'NEW Summer CHP by DISC '!AG7/12</f>
        <v>0</v>
      </c>
      <c r="AH7" s="1769">
        <f t="shared" ref="AH7:AH14" si="9">SUM(AE7:AG7)</f>
        <v>6.6</v>
      </c>
      <c r="AI7" s="1679">
        <f t="shared" ref="AI7:AI15" si="10">IF(AC7&gt;0,(AH7-AC7)/AC7,(IF(AH7=0,"N/A",100%)))</f>
        <v>6.4516129032257979E-2</v>
      </c>
      <c r="AJ7" s="1788">
        <f>+'NEW Summer CHP by DISC '!AJ7/15</f>
        <v>5</v>
      </c>
      <c r="AK7" s="1769">
        <f>+'NEW Summer CHP by DISC '!AK7/15</f>
        <v>2.6</v>
      </c>
      <c r="AL7" s="1769">
        <f>+'NEW Summer CHP by DISC '!AL7/12</f>
        <v>0</v>
      </c>
      <c r="AM7" s="1769">
        <f t="shared" ref="AM7:AM14" si="11">SUM(AJ7:AL7)</f>
        <v>7.6</v>
      </c>
      <c r="AN7" s="1679">
        <f t="shared" ref="AN7:AN15" si="12">IF(AH7&gt;0,(AM7-AH7)/AH7,(IF(AM7=0,"N/A",100%)))</f>
        <v>0.15151515151515152</v>
      </c>
      <c r="AO7" s="1788">
        <f>+'NEW Summer CHP by DISC '!AO7/15</f>
        <v>5.4</v>
      </c>
      <c r="AP7" s="1769">
        <f>+'NEW Summer CHP by DISC '!AP7/15</f>
        <v>2.2000000000000002</v>
      </c>
      <c r="AQ7" s="1769">
        <f>+'NEW Summer CHP by DISC '!AQ7/12</f>
        <v>0</v>
      </c>
      <c r="AR7" s="1769">
        <f t="shared" ref="AR7:AR14" si="13">SUM(AO7:AQ7)</f>
        <v>7.6000000000000005</v>
      </c>
      <c r="AS7" s="1679">
        <f t="shared" ref="AS7:AS15" si="14">IF(AM7&gt;0,(AR7-AM7)/AM7,(IF(AR7=0,"N/A",100%)))</f>
        <v>1.1686558153949016E-16</v>
      </c>
    </row>
    <row r="8" spans="1:45" s="1731" customFormat="1" x14ac:dyDescent="0.25">
      <c r="A8" s="479" t="s">
        <v>1017</v>
      </c>
      <c r="B8" s="1769">
        <f>+'NEW Summer CHP by DISC '!B8/15</f>
        <v>1.4</v>
      </c>
      <c r="C8" s="1769">
        <f>+'NEW Summer CHP by DISC '!C8/15</f>
        <v>8.2666666666666675</v>
      </c>
      <c r="D8" s="1769">
        <f>+'NEW Summer CHP by DISC '!D8/12</f>
        <v>0</v>
      </c>
      <c r="E8" s="1770">
        <f t="shared" ref="E8:E14" si="15">SUM(B8:D8)</f>
        <v>9.6666666666666679</v>
      </c>
      <c r="F8" s="1769">
        <f>+'NEW Summer CHP by DISC '!F8/15</f>
        <v>1.2</v>
      </c>
      <c r="G8" s="1769">
        <f>+'NEW Summer CHP by DISC '!G8/15</f>
        <v>10.066666666666666</v>
      </c>
      <c r="H8" s="1769">
        <f>+'NEW Summer CHP by DISC '!H8/12</f>
        <v>0</v>
      </c>
      <c r="I8" s="1771">
        <f t="shared" ref="I8:I14" si="16">SUM(F8:H8)</f>
        <v>11.266666666666666</v>
      </c>
      <c r="J8" s="1679">
        <f t="shared" si="0"/>
        <v>0.16551724137931009</v>
      </c>
      <c r="K8" s="1769">
        <f>+'NEW Summer CHP by DISC '!K8/15</f>
        <v>5</v>
      </c>
      <c r="L8" s="1769">
        <f>+'NEW Summer CHP by DISC '!L8/15</f>
        <v>12.466666666666667</v>
      </c>
      <c r="M8" s="1769">
        <f>+'NEW Summer CHP by DISC '!M8/12</f>
        <v>0</v>
      </c>
      <c r="N8" s="1771">
        <f t="shared" si="1"/>
        <v>17.466666666666669</v>
      </c>
      <c r="O8" s="1679">
        <f t="shared" si="2"/>
        <v>0.55029585798816594</v>
      </c>
      <c r="P8" s="1769">
        <f>+'NEW Summer CHP by DISC '!P8/15</f>
        <v>7.6</v>
      </c>
      <c r="Q8" s="1769">
        <f>+'NEW Summer CHP by DISC '!Q8/15</f>
        <v>15.533333333333333</v>
      </c>
      <c r="R8" s="1769">
        <f>+'NEW Summer CHP by DISC '!R8/12</f>
        <v>0</v>
      </c>
      <c r="S8" s="1769">
        <f t="shared" si="3"/>
        <v>23.133333333333333</v>
      </c>
      <c r="T8" s="1679">
        <f t="shared" si="4"/>
        <v>0.32442748091603035</v>
      </c>
      <c r="U8" s="1769">
        <f>+'NEW Summer CHP by DISC '!U8/15</f>
        <v>5</v>
      </c>
      <c r="V8" s="1769">
        <f>+'NEW Summer CHP by DISC '!V8/15</f>
        <v>20.933333333333334</v>
      </c>
      <c r="W8" s="1769">
        <f>+'NEW Summer CHP by DISC '!W8/12</f>
        <v>0</v>
      </c>
      <c r="X8" s="1769">
        <f t="shared" si="5"/>
        <v>25.933333333333334</v>
      </c>
      <c r="Y8" s="1679">
        <f t="shared" si="6"/>
        <v>0.12103746397694527</v>
      </c>
      <c r="Z8" s="1769">
        <f>+'NEW Summer CHP by DISC '!Z8/15</f>
        <v>2.2000000000000002</v>
      </c>
      <c r="AA8" s="1769">
        <f>+'NEW Summer CHP by DISC '!AA8/15</f>
        <v>16.266666666666666</v>
      </c>
      <c r="AB8" s="1769">
        <f>+'NEW Summer CHP by DISC '!AB8/12</f>
        <v>0</v>
      </c>
      <c r="AC8" s="1769">
        <f t="shared" si="7"/>
        <v>18.466666666666665</v>
      </c>
      <c r="AD8" s="1679">
        <f t="shared" si="8"/>
        <v>-0.28791773778920315</v>
      </c>
      <c r="AE8" s="1769">
        <f>+'NEW Summer CHP by DISC '!AE8/15</f>
        <v>6.2</v>
      </c>
      <c r="AF8" s="1769">
        <f>+'NEW Summer CHP by DISC '!AF8/15</f>
        <v>8.1999999999999993</v>
      </c>
      <c r="AG8" s="1769">
        <f>+'NEW Summer CHP by DISC '!AG8/12</f>
        <v>0</v>
      </c>
      <c r="AH8" s="1769">
        <f t="shared" si="9"/>
        <v>14.399999999999999</v>
      </c>
      <c r="AI8" s="1679">
        <f t="shared" si="10"/>
        <v>-0.22021660649819494</v>
      </c>
      <c r="AJ8" s="1788">
        <f>+'NEW Summer CHP by DISC '!AJ8/15</f>
        <v>5.8</v>
      </c>
      <c r="AK8" s="1769">
        <f>+'NEW Summer CHP by DISC '!AK8/15</f>
        <v>8.2666666666666675</v>
      </c>
      <c r="AL8" s="1769">
        <f>+'NEW Summer CHP by DISC '!AL8/12</f>
        <v>0</v>
      </c>
      <c r="AM8" s="1769">
        <f t="shared" si="11"/>
        <v>14.066666666666666</v>
      </c>
      <c r="AN8" s="1679">
        <f t="shared" si="12"/>
        <v>-2.3148148148148067E-2</v>
      </c>
      <c r="AO8" s="1788">
        <f>+'NEW Summer CHP by DISC '!AO8/15</f>
        <v>6.6</v>
      </c>
      <c r="AP8" s="1769">
        <f>+'NEW Summer CHP by DISC '!AP8/15</f>
        <v>8.6</v>
      </c>
      <c r="AQ8" s="1769">
        <f>+'NEW Summer CHP by DISC '!AQ8/12</f>
        <v>0</v>
      </c>
      <c r="AR8" s="1769">
        <f t="shared" si="13"/>
        <v>15.2</v>
      </c>
      <c r="AS8" s="1679">
        <f t="shared" si="14"/>
        <v>8.0568720379146891E-2</v>
      </c>
    </row>
    <row r="9" spans="1:45" x14ac:dyDescent="0.25">
      <c r="A9" s="478" t="s">
        <v>1018</v>
      </c>
      <c r="B9" s="1769">
        <f>+'NEW Summer CHP by DISC '!B9/15</f>
        <v>0.73333333333333328</v>
      </c>
      <c r="C9" s="1769">
        <f>+'NEW Summer CHP by DISC '!C9/15</f>
        <v>0</v>
      </c>
      <c r="D9" s="1769">
        <f>+'NEW Summer CHP by DISC '!D9/12</f>
        <v>0</v>
      </c>
      <c r="E9" s="1770">
        <f t="shared" si="15"/>
        <v>0.73333333333333328</v>
      </c>
      <c r="F9" s="1769">
        <f>+'NEW Summer CHP by DISC '!F9/15</f>
        <v>0.4</v>
      </c>
      <c r="G9" s="1769">
        <f>+'NEW Summer CHP by DISC '!G9/15</f>
        <v>0</v>
      </c>
      <c r="H9" s="1769">
        <f>+'NEW Summer CHP by DISC '!H9/12</f>
        <v>0</v>
      </c>
      <c r="I9" s="1771">
        <f t="shared" si="16"/>
        <v>0.4</v>
      </c>
      <c r="J9" s="1679">
        <f t="shared" si="0"/>
        <v>-0.45454545454545447</v>
      </c>
      <c r="K9" s="1769">
        <f>+'NEW Summer CHP by DISC '!K9/15</f>
        <v>6.6666666666666666E-2</v>
      </c>
      <c r="L9" s="1769">
        <f>+'NEW Summer CHP by DISC '!L9/15</f>
        <v>0</v>
      </c>
      <c r="M9" s="1769">
        <f>+'NEW Summer CHP by DISC '!M9/12</f>
        <v>0</v>
      </c>
      <c r="N9" s="1771">
        <f t="shared" si="1"/>
        <v>6.6666666666666666E-2</v>
      </c>
      <c r="O9" s="1679">
        <f t="shared" si="2"/>
        <v>-0.83333333333333337</v>
      </c>
      <c r="P9" s="1769">
        <f>+'NEW Summer CHP by DISC '!P9/15</f>
        <v>0.2</v>
      </c>
      <c r="Q9" s="1769">
        <f>+'NEW Summer CHP by DISC '!Q9/15</f>
        <v>0</v>
      </c>
      <c r="R9" s="1769">
        <f>+'NEW Summer CHP by DISC '!R9/12</f>
        <v>0</v>
      </c>
      <c r="S9" s="1769">
        <f t="shared" si="3"/>
        <v>0.2</v>
      </c>
      <c r="T9" s="1679">
        <f t="shared" si="4"/>
        <v>2.0000000000000004</v>
      </c>
      <c r="U9" s="1769">
        <f>+'NEW Summer CHP by DISC '!U9/15</f>
        <v>0.26666666666666666</v>
      </c>
      <c r="V9" s="1769">
        <f>+'NEW Summer CHP by DISC '!V9/15</f>
        <v>0</v>
      </c>
      <c r="W9" s="1769">
        <f>+'NEW Summer CHP by DISC '!W9/12</f>
        <v>0</v>
      </c>
      <c r="X9" s="1769">
        <f t="shared" si="5"/>
        <v>0.26666666666666666</v>
      </c>
      <c r="Y9" s="1679">
        <f t="shared" si="6"/>
        <v>0.33333333333333326</v>
      </c>
      <c r="Z9" s="1769">
        <f>+'NEW Summer CHP by DISC '!Z9/15</f>
        <v>0</v>
      </c>
      <c r="AA9" s="1769">
        <f>+'NEW Summer CHP by DISC '!AA9/15</f>
        <v>0.6</v>
      </c>
      <c r="AB9" s="1769">
        <f>+'NEW Summer CHP by DISC '!AB9/12</f>
        <v>0</v>
      </c>
      <c r="AC9" s="1769">
        <f t="shared" si="7"/>
        <v>0.6</v>
      </c>
      <c r="AD9" s="1679">
        <f t="shared" si="8"/>
        <v>1.25</v>
      </c>
      <c r="AE9" s="1769">
        <f>+'NEW Summer CHP by DISC '!AE9/15</f>
        <v>0.33333333333333331</v>
      </c>
      <c r="AF9" s="1769">
        <f>+'NEW Summer CHP by DISC '!AF9/15</f>
        <v>0</v>
      </c>
      <c r="AG9" s="1769">
        <f>+'NEW Summer CHP by DISC '!AG9/12</f>
        <v>0</v>
      </c>
      <c r="AH9" s="1769">
        <f t="shared" si="9"/>
        <v>0.33333333333333331</v>
      </c>
      <c r="AI9" s="1679">
        <f t="shared" si="10"/>
        <v>-0.44444444444444448</v>
      </c>
      <c r="AJ9" s="1788">
        <f>+'NEW Summer CHP by DISC '!AJ9/15</f>
        <v>0</v>
      </c>
      <c r="AK9" s="1769">
        <f>+'NEW Summer CHP by DISC '!AK9/15</f>
        <v>0</v>
      </c>
      <c r="AL9" s="1769">
        <f>+'NEW Summer CHP by DISC '!AL9/12</f>
        <v>0</v>
      </c>
      <c r="AM9" s="1769">
        <f t="shared" si="11"/>
        <v>0</v>
      </c>
      <c r="AN9" s="1679">
        <f t="shared" si="12"/>
        <v>-1</v>
      </c>
      <c r="AO9" s="1788">
        <f>+'NEW Summer CHP by DISC '!AO9/15</f>
        <v>0</v>
      </c>
      <c r="AP9" s="1769">
        <f>+'NEW Summer CHP by DISC '!AP9/15</f>
        <v>0</v>
      </c>
      <c r="AQ9" s="1769">
        <f>+'NEW Summer CHP by DISC '!AQ9/12</f>
        <v>0</v>
      </c>
      <c r="AR9" s="1769">
        <f t="shared" si="13"/>
        <v>0</v>
      </c>
      <c r="AS9" s="1679" t="str">
        <f t="shared" si="14"/>
        <v>N/A</v>
      </c>
    </row>
    <row r="10" spans="1:45" x14ac:dyDescent="0.25">
      <c r="A10" s="478" t="s">
        <v>1019</v>
      </c>
      <c r="B10" s="1769">
        <f>+'NEW Summer CHP by DISC '!B10/15</f>
        <v>6.6</v>
      </c>
      <c r="C10" s="1769">
        <f>+'NEW Summer CHP by DISC '!C10/15</f>
        <v>3.4</v>
      </c>
      <c r="D10" s="1769">
        <f>+'NEW Summer CHP by DISC '!D10/12</f>
        <v>0</v>
      </c>
      <c r="E10" s="1770">
        <f t="shared" si="15"/>
        <v>10</v>
      </c>
      <c r="F10" s="1769">
        <f>+'NEW Summer CHP by DISC '!F10/15</f>
        <v>1.4</v>
      </c>
      <c r="G10" s="1769">
        <f>+'NEW Summer CHP by DISC '!G10/15</f>
        <v>0</v>
      </c>
      <c r="H10" s="1769">
        <f>+'NEW Summer CHP by DISC '!H10/12</f>
        <v>0</v>
      </c>
      <c r="I10" s="1771">
        <f t="shared" si="16"/>
        <v>1.4</v>
      </c>
      <c r="J10" s="1679">
        <f t="shared" si="0"/>
        <v>-0.86</v>
      </c>
      <c r="K10" s="1769">
        <f>+'NEW Summer CHP by DISC '!K10/15</f>
        <v>5.8</v>
      </c>
      <c r="L10" s="1769">
        <f>+'NEW Summer CHP by DISC '!L10/15</f>
        <v>0</v>
      </c>
      <c r="M10" s="1769">
        <f>+'NEW Summer CHP by DISC '!M10/12</f>
        <v>0</v>
      </c>
      <c r="N10" s="1771">
        <f t="shared" si="1"/>
        <v>5.8</v>
      </c>
      <c r="O10" s="1679">
        <f t="shared" si="2"/>
        <v>3.1428571428571432</v>
      </c>
      <c r="P10" s="1769">
        <f>+'NEW Summer CHP by DISC '!P10/15</f>
        <v>7.2</v>
      </c>
      <c r="Q10" s="1769">
        <f>+'NEW Summer CHP by DISC '!Q10/15</f>
        <v>0</v>
      </c>
      <c r="R10" s="1769">
        <f>+'NEW Summer CHP by DISC '!R10/12</f>
        <v>0</v>
      </c>
      <c r="S10" s="1769">
        <f t="shared" si="3"/>
        <v>7.2</v>
      </c>
      <c r="T10" s="1679">
        <f t="shared" si="4"/>
        <v>0.24137931034482765</v>
      </c>
      <c r="U10" s="1769">
        <f>+'NEW Summer CHP by DISC '!U10/15</f>
        <v>7.4</v>
      </c>
      <c r="V10" s="1769">
        <f>+'NEW Summer CHP by DISC '!V10/15</f>
        <v>0</v>
      </c>
      <c r="W10" s="1769">
        <f>+'NEW Summer CHP by DISC '!W10/12</f>
        <v>0</v>
      </c>
      <c r="X10" s="1769">
        <f t="shared" si="5"/>
        <v>7.4</v>
      </c>
      <c r="Y10" s="1679">
        <f t="shared" si="6"/>
        <v>2.7777777777777801E-2</v>
      </c>
      <c r="Z10" s="1769">
        <f>+'NEW Summer CHP by DISC '!Z10/15</f>
        <v>0.4</v>
      </c>
      <c r="AA10" s="1769">
        <f>+'NEW Summer CHP by DISC '!AA10/15</f>
        <v>2.2000000000000002</v>
      </c>
      <c r="AB10" s="1769">
        <f>+'NEW Summer CHP by DISC '!AB10/12</f>
        <v>0</v>
      </c>
      <c r="AC10" s="1769">
        <f t="shared" si="7"/>
        <v>2.6</v>
      </c>
      <c r="AD10" s="1679">
        <f t="shared" si="8"/>
        <v>-0.64864864864864868</v>
      </c>
      <c r="AE10" s="1769">
        <f>+'NEW Summer CHP by DISC '!AE10/15</f>
        <v>3.6</v>
      </c>
      <c r="AF10" s="1769">
        <f>+'NEW Summer CHP by DISC '!AF10/15</f>
        <v>0</v>
      </c>
      <c r="AG10" s="1769">
        <f>+'NEW Summer CHP by DISC '!AG10/12</f>
        <v>0</v>
      </c>
      <c r="AH10" s="1769">
        <f t="shared" si="9"/>
        <v>3.6</v>
      </c>
      <c r="AI10" s="1679">
        <f t="shared" si="10"/>
        <v>0.38461538461538458</v>
      </c>
      <c r="AJ10" s="1788">
        <f>+'NEW Summer CHP by DISC '!AJ10/15</f>
        <v>3.8</v>
      </c>
      <c r="AK10" s="1769">
        <f>+'NEW Summer CHP by DISC '!AK10/15</f>
        <v>0</v>
      </c>
      <c r="AL10" s="1769">
        <f>+'NEW Summer CHP by DISC '!AL10/12</f>
        <v>0</v>
      </c>
      <c r="AM10" s="1769">
        <f t="shared" si="11"/>
        <v>3.8</v>
      </c>
      <c r="AN10" s="1679">
        <f t="shared" si="12"/>
        <v>5.5555555555555483E-2</v>
      </c>
      <c r="AO10" s="1788">
        <f>+'NEW Summer CHP by DISC '!AO10/15</f>
        <v>5.6</v>
      </c>
      <c r="AP10" s="1769">
        <f>+'NEW Summer CHP by DISC '!AP10/15</f>
        <v>0.6</v>
      </c>
      <c r="AQ10" s="1769">
        <f>+'NEW Summer CHP by DISC '!AQ10/12</f>
        <v>0</v>
      </c>
      <c r="AR10" s="1769">
        <f t="shared" si="13"/>
        <v>6.1999999999999993</v>
      </c>
      <c r="AS10" s="1679">
        <f t="shared" si="14"/>
        <v>0.63157894736842091</v>
      </c>
    </row>
    <row r="11" spans="1:45" x14ac:dyDescent="0.25">
      <c r="A11" s="478" t="s">
        <v>1020</v>
      </c>
      <c r="B11" s="1769">
        <f>+'NEW Summer CHP by DISC '!B11/15</f>
        <v>0</v>
      </c>
      <c r="C11" s="1769">
        <f>+'NEW Summer CHP by DISC '!C11/15</f>
        <v>3.4</v>
      </c>
      <c r="D11" s="1769">
        <f>+'NEW Summer CHP by DISC '!D11/12</f>
        <v>0</v>
      </c>
      <c r="E11" s="1770">
        <f t="shared" si="15"/>
        <v>3.4</v>
      </c>
      <c r="F11" s="1769">
        <f>+'NEW Summer CHP by DISC '!F11/15</f>
        <v>0</v>
      </c>
      <c r="G11" s="1769">
        <f>+'NEW Summer CHP by DISC '!G11/15</f>
        <v>3</v>
      </c>
      <c r="H11" s="1769">
        <f>+'NEW Summer CHP by DISC '!H11/12</f>
        <v>0</v>
      </c>
      <c r="I11" s="1771">
        <f t="shared" si="16"/>
        <v>3</v>
      </c>
      <c r="J11" s="1679">
        <f t="shared" si="0"/>
        <v>-0.11764705882352938</v>
      </c>
      <c r="K11" s="1769">
        <f>+'NEW Summer CHP by DISC '!K11/15</f>
        <v>0</v>
      </c>
      <c r="L11" s="1769">
        <f>+'NEW Summer CHP by DISC '!L11/15</f>
        <v>2.4</v>
      </c>
      <c r="M11" s="1769">
        <f>+'NEW Summer CHP by DISC '!M11/12</f>
        <v>0</v>
      </c>
      <c r="N11" s="1771">
        <f t="shared" si="1"/>
        <v>2.4</v>
      </c>
      <c r="O11" s="1679">
        <f t="shared" si="2"/>
        <v>-0.20000000000000004</v>
      </c>
      <c r="P11" s="1769">
        <f>+'NEW Summer CHP by DISC '!P11/15</f>
        <v>0</v>
      </c>
      <c r="Q11" s="1769">
        <f>+'NEW Summer CHP by DISC '!Q11/15</f>
        <v>3.6</v>
      </c>
      <c r="R11" s="1769">
        <f>+'NEW Summer CHP by DISC '!R11/12</f>
        <v>0</v>
      </c>
      <c r="S11" s="1769">
        <f t="shared" si="3"/>
        <v>3.6</v>
      </c>
      <c r="T11" s="1679">
        <f t="shared" si="4"/>
        <v>0.50000000000000011</v>
      </c>
      <c r="U11" s="1769">
        <f>+'NEW Summer CHP by DISC '!U11/15</f>
        <v>0.6</v>
      </c>
      <c r="V11" s="1769">
        <f>+'NEW Summer CHP by DISC '!V11/15</f>
        <v>7.2</v>
      </c>
      <c r="W11" s="1769">
        <f>+'NEW Summer CHP by DISC '!W11/12</f>
        <v>0</v>
      </c>
      <c r="X11" s="1769">
        <f t="shared" si="5"/>
        <v>7.8</v>
      </c>
      <c r="Y11" s="1679">
        <f t="shared" si="6"/>
        <v>1.1666666666666665</v>
      </c>
      <c r="Z11" s="1769">
        <f>+'NEW Summer CHP by DISC '!Z11/15</f>
        <v>2.2000000000000002</v>
      </c>
      <c r="AA11" s="1769">
        <f>+'NEW Summer CHP by DISC '!AA11/15</f>
        <v>3.6</v>
      </c>
      <c r="AB11" s="1769">
        <f>+'NEW Summer CHP by DISC '!AB11/12</f>
        <v>0</v>
      </c>
      <c r="AC11" s="1769">
        <f t="shared" si="7"/>
        <v>5.8000000000000007</v>
      </c>
      <c r="AD11" s="1679">
        <f t="shared" si="8"/>
        <v>-0.25641025641025628</v>
      </c>
      <c r="AE11" s="1769">
        <f>+'NEW Summer CHP by DISC '!AE11/15</f>
        <v>1.8</v>
      </c>
      <c r="AF11" s="1769">
        <f>+'NEW Summer CHP by DISC '!AF11/15</f>
        <v>3.6</v>
      </c>
      <c r="AG11" s="1769">
        <f>+'NEW Summer CHP by DISC '!AG11/12</f>
        <v>0</v>
      </c>
      <c r="AH11" s="1769">
        <f t="shared" si="9"/>
        <v>5.4</v>
      </c>
      <c r="AI11" s="1679">
        <f t="shared" si="10"/>
        <v>-6.8965517241379365E-2</v>
      </c>
      <c r="AJ11" s="1788">
        <f>+'NEW Summer CHP by DISC '!AJ11/15</f>
        <v>1.2</v>
      </c>
      <c r="AK11" s="1769">
        <f>+'NEW Summer CHP by DISC '!AK11/15</f>
        <v>3.4</v>
      </c>
      <c r="AL11" s="1769">
        <f>+'NEW Summer CHP by DISC '!AL11/12</f>
        <v>0</v>
      </c>
      <c r="AM11" s="1769">
        <f t="shared" si="11"/>
        <v>4.5999999999999996</v>
      </c>
      <c r="AN11" s="1679">
        <f t="shared" si="12"/>
        <v>-0.14814814814814828</v>
      </c>
      <c r="AO11" s="1788">
        <f>+'NEW Summer CHP by DISC '!AO11/15</f>
        <v>1</v>
      </c>
      <c r="AP11" s="1769">
        <f>+'NEW Summer CHP by DISC '!AP11/15</f>
        <v>3.6</v>
      </c>
      <c r="AQ11" s="1769">
        <f>+'NEW Summer CHP by DISC '!AQ11/12</f>
        <v>0</v>
      </c>
      <c r="AR11" s="1769">
        <f t="shared" si="13"/>
        <v>4.5999999999999996</v>
      </c>
      <c r="AS11" s="1679">
        <f t="shared" si="14"/>
        <v>0</v>
      </c>
    </row>
    <row r="12" spans="1:45" x14ac:dyDescent="0.25">
      <c r="A12" s="478" t="s">
        <v>1021</v>
      </c>
      <c r="B12" s="1769">
        <f>+'NEW Summer CHP by DISC '!B12/15</f>
        <v>3.1333333333333333</v>
      </c>
      <c r="C12" s="1769">
        <f>+'NEW Summer CHP by DISC '!C12/15</f>
        <v>0.6</v>
      </c>
      <c r="D12" s="1769">
        <f>+'NEW Summer CHP by DISC '!D12/12</f>
        <v>0</v>
      </c>
      <c r="E12" s="1770">
        <f t="shared" si="15"/>
        <v>3.7333333333333334</v>
      </c>
      <c r="F12" s="1769">
        <f>+'NEW Summer CHP by DISC '!F12/15</f>
        <v>3.2</v>
      </c>
      <c r="G12" s="1769">
        <f>+'NEW Summer CHP by DISC '!G12/15</f>
        <v>1</v>
      </c>
      <c r="H12" s="1769">
        <f>+'NEW Summer CHP by DISC '!H12/12</f>
        <v>0</v>
      </c>
      <c r="I12" s="1771">
        <f t="shared" si="16"/>
        <v>4.2</v>
      </c>
      <c r="J12" s="1679">
        <f t="shared" si="0"/>
        <v>0.12500000000000003</v>
      </c>
      <c r="K12" s="1769">
        <f>+'NEW Summer CHP by DISC '!K12/15</f>
        <v>4.2</v>
      </c>
      <c r="L12" s="1769">
        <f>+'NEW Summer CHP by DISC '!L12/15</f>
        <v>0.4</v>
      </c>
      <c r="M12" s="1769">
        <f>+'NEW Summer CHP by DISC '!M12/12</f>
        <v>0</v>
      </c>
      <c r="N12" s="1771">
        <f t="shared" si="1"/>
        <v>4.6000000000000005</v>
      </c>
      <c r="O12" s="1679">
        <f t="shared" si="2"/>
        <v>9.5238095238095316E-2</v>
      </c>
      <c r="P12" s="1769">
        <f>+'NEW Summer CHP by DISC '!P12/15</f>
        <v>3</v>
      </c>
      <c r="Q12" s="1769">
        <f>+'NEW Summer CHP by DISC '!Q12/15</f>
        <v>2.4</v>
      </c>
      <c r="R12" s="1769">
        <f>+'NEW Summer CHP by DISC '!R12/12</f>
        <v>0</v>
      </c>
      <c r="S12" s="1769">
        <f t="shared" si="3"/>
        <v>5.4</v>
      </c>
      <c r="T12" s="1679">
        <f t="shared" si="4"/>
        <v>0.17391304347826081</v>
      </c>
      <c r="U12" s="1769">
        <f>+'NEW Summer CHP by DISC '!U12/15</f>
        <v>2.1333333333333333</v>
      </c>
      <c r="V12" s="1769">
        <f>+'NEW Summer CHP by DISC '!V12/15</f>
        <v>2</v>
      </c>
      <c r="W12" s="1769">
        <f>+'NEW Summer CHP by DISC '!W12/12</f>
        <v>0</v>
      </c>
      <c r="X12" s="1769">
        <f t="shared" si="5"/>
        <v>4.1333333333333329</v>
      </c>
      <c r="Y12" s="1679">
        <f t="shared" si="6"/>
        <v>-0.23456790123456803</v>
      </c>
      <c r="Z12" s="1769">
        <f>+'NEW Summer CHP by DISC '!Z12/15</f>
        <v>0.6</v>
      </c>
      <c r="AA12" s="1769">
        <f>+'NEW Summer CHP by DISC '!AA12/15</f>
        <v>4</v>
      </c>
      <c r="AB12" s="1769">
        <f>+'NEW Summer CHP by DISC '!AB12/12</f>
        <v>0</v>
      </c>
      <c r="AC12" s="1769">
        <f t="shared" si="7"/>
        <v>4.5999999999999996</v>
      </c>
      <c r="AD12" s="1679">
        <f t="shared" si="8"/>
        <v>0.11290322580645165</v>
      </c>
      <c r="AE12" s="1769">
        <f>+'NEW Summer CHP by DISC '!AE12/15</f>
        <v>1.5333333333333334</v>
      </c>
      <c r="AF12" s="1769">
        <f>+'NEW Summer CHP by DISC '!AF12/15</f>
        <v>1.6</v>
      </c>
      <c r="AG12" s="1769">
        <f>+'NEW Summer CHP by DISC '!AG12/12</f>
        <v>0</v>
      </c>
      <c r="AH12" s="1769">
        <f t="shared" si="9"/>
        <v>3.1333333333333337</v>
      </c>
      <c r="AI12" s="1679">
        <f t="shared" si="10"/>
        <v>-0.31884057971014479</v>
      </c>
      <c r="AJ12" s="1788">
        <f>+'NEW Summer CHP by DISC '!AJ12/15</f>
        <v>1.4666666666666666</v>
      </c>
      <c r="AK12" s="1769">
        <f>+'NEW Summer CHP by DISC '!AK12/15</f>
        <v>2</v>
      </c>
      <c r="AL12" s="1769">
        <f>+'NEW Summer CHP by DISC '!AL12/12</f>
        <v>0</v>
      </c>
      <c r="AM12" s="1769">
        <f t="shared" si="11"/>
        <v>3.4666666666666668</v>
      </c>
      <c r="AN12" s="1679">
        <f t="shared" si="12"/>
        <v>0.10638297872340415</v>
      </c>
      <c r="AO12" s="1788">
        <f>+'NEW Summer CHP by DISC '!AO12/15</f>
        <v>1.5333333333333334</v>
      </c>
      <c r="AP12" s="1769">
        <f>+'NEW Summer CHP by DISC '!AP12/15</f>
        <v>3.2</v>
      </c>
      <c r="AQ12" s="1769">
        <f>+'NEW Summer CHP by DISC '!AQ12/12</f>
        <v>0</v>
      </c>
      <c r="AR12" s="1769">
        <f t="shared" si="13"/>
        <v>4.7333333333333334</v>
      </c>
      <c r="AS12" s="1679">
        <f t="shared" si="14"/>
        <v>0.36538461538461536</v>
      </c>
    </row>
    <row r="13" spans="1:45" x14ac:dyDescent="0.25">
      <c r="A13" s="478" t="s">
        <v>1022</v>
      </c>
      <c r="B13" s="1769">
        <f>+'NEW Summer CHP by DISC '!B13/15</f>
        <v>0</v>
      </c>
      <c r="C13" s="1769">
        <f>+'NEW Summer CHP by DISC '!C13/15</f>
        <v>10.4</v>
      </c>
      <c r="D13" s="1769">
        <f>+'NEW Summer CHP by DISC '!D13/12</f>
        <v>0</v>
      </c>
      <c r="E13" s="1770">
        <f t="shared" si="15"/>
        <v>10.4</v>
      </c>
      <c r="F13" s="1769">
        <f>+'NEW Summer CHP by DISC '!F13/15</f>
        <v>0</v>
      </c>
      <c r="G13" s="1769">
        <f>+'NEW Summer CHP by DISC '!G13/15</f>
        <v>9.8000000000000007</v>
      </c>
      <c r="H13" s="1769">
        <f>+'NEW Summer CHP by DISC '!H13/12</f>
        <v>0</v>
      </c>
      <c r="I13" s="1771">
        <f t="shared" si="16"/>
        <v>9.8000000000000007</v>
      </c>
      <c r="J13" s="1679">
        <f t="shared" si="0"/>
        <v>-5.7692307692307654E-2</v>
      </c>
      <c r="K13" s="1769">
        <f>+'NEW Summer CHP by DISC '!K13/15</f>
        <v>0</v>
      </c>
      <c r="L13" s="1769">
        <f>+'NEW Summer CHP by DISC '!L13/15</f>
        <v>6.6</v>
      </c>
      <c r="M13" s="1769">
        <f>+'NEW Summer CHP by DISC '!M13/12</f>
        <v>0</v>
      </c>
      <c r="N13" s="1771">
        <f t="shared" si="1"/>
        <v>6.6</v>
      </c>
      <c r="O13" s="1679">
        <f t="shared" si="2"/>
        <v>-0.32653061224489804</v>
      </c>
      <c r="P13" s="1769">
        <f>+'NEW Summer CHP by DISC '!P13/15</f>
        <v>0</v>
      </c>
      <c r="Q13" s="1769">
        <f>+'NEW Summer CHP by DISC '!Q13/15</f>
        <v>10.4</v>
      </c>
      <c r="R13" s="1769">
        <f>+'NEW Summer CHP by DISC '!R13/12</f>
        <v>0</v>
      </c>
      <c r="S13" s="1769">
        <f t="shared" si="3"/>
        <v>10.4</v>
      </c>
      <c r="T13" s="1679">
        <f t="shared" si="4"/>
        <v>0.57575757575757591</v>
      </c>
      <c r="U13" s="1769">
        <f>+'NEW Summer CHP by DISC '!U13/15</f>
        <v>0</v>
      </c>
      <c r="V13" s="1769">
        <f>+'NEW Summer CHP by DISC '!V13/15</f>
        <v>15.6</v>
      </c>
      <c r="W13" s="1769">
        <f>+'NEW Summer CHP by DISC '!W13/12</f>
        <v>0</v>
      </c>
      <c r="X13" s="1769">
        <f t="shared" si="5"/>
        <v>15.6</v>
      </c>
      <c r="Y13" s="1679">
        <f t="shared" si="6"/>
        <v>0.49999999999999989</v>
      </c>
      <c r="Z13" s="1769">
        <f>+'NEW Summer CHP by DISC '!Z13/15</f>
        <v>0</v>
      </c>
      <c r="AA13" s="1769">
        <f>+'NEW Summer CHP by DISC '!AA13/15</f>
        <v>11.4</v>
      </c>
      <c r="AB13" s="1769">
        <f>+'NEW Summer CHP by DISC '!AB13/12</f>
        <v>0</v>
      </c>
      <c r="AC13" s="1769">
        <f t="shared" si="7"/>
        <v>11.4</v>
      </c>
      <c r="AD13" s="1679">
        <f t="shared" si="8"/>
        <v>-0.26923076923076922</v>
      </c>
      <c r="AE13" s="1769">
        <f>+'NEW Summer CHP by DISC '!AE13/15</f>
        <v>0</v>
      </c>
      <c r="AF13" s="1769">
        <f>+'NEW Summer CHP by DISC '!AF13/15</f>
        <v>11</v>
      </c>
      <c r="AG13" s="1769">
        <f>+'NEW Summer CHP by DISC '!AG13/12</f>
        <v>0</v>
      </c>
      <c r="AH13" s="1769">
        <f t="shared" si="9"/>
        <v>11</v>
      </c>
      <c r="AI13" s="1679">
        <f t="shared" si="10"/>
        <v>-3.5087719298245647E-2</v>
      </c>
      <c r="AJ13" s="1788">
        <f>+'NEW Summer CHP by DISC '!AJ13/15</f>
        <v>0</v>
      </c>
      <c r="AK13" s="1769">
        <f>+'NEW Summer CHP by DISC '!AK13/15</f>
        <v>12.6</v>
      </c>
      <c r="AL13" s="1769">
        <f>+'NEW Summer CHP by DISC '!AL13/12</f>
        <v>0</v>
      </c>
      <c r="AM13" s="1769">
        <f t="shared" si="11"/>
        <v>12.6</v>
      </c>
      <c r="AN13" s="1679">
        <f t="shared" si="12"/>
        <v>0.14545454545454542</v>
      </c>
      <c r="AO13" s="1788">
        <f>+'NEW Summer CHP by DISC '!AO13/15</f>
        <v>0</v>
      </c>
      <c r="AP13" s="1769">
        <f>+'NEW Summer CHP by DISC '!AP13/15</f>
        <v>9.4</v>
      </c>
      <c r="AQ13" s="1769">
        <f>+'NEW Summer CHP by DISC '!AQ13/12</f>
        <v>0</v>
      </c>
      <c r="AR13" s="1769">
        <f t="shared" si="13"/>
        <v>9.4</v>
      </c>
      <c r="AS13" s="1679">
        <f t="shared" si="14"/>
        <v>-0.2539682539682539</v>
      </c>
    </row>
    <row r="14" spans="1:45" x14ac:dyDescent="0.25">
      <c r="A14" s="478" t="s">
        <v>1023</v>
      </c>
      <c r="B14" s="1769">
        <f>+'NEW Summer CHP by DISC '!B14/15</f>
        <v>0</v>
      </c>
      <c r="C14" s="1769">
        <f>+'NEW Summer CHP by DISC '!C14/15</f>
        <v>7.2</v>
      </c>
      <c r="D14" s="1769">
        <f>+'NEW Summer CHP by DISC '!D14/12</f>
        <v>0</v>
      </c>
      <c r="E14" s="1770">
        <f t="shared" si="15"/>
        <v>7.2</v>
      </c>
      <c r="F14" s="1769">
        <f>+'NEW Summer CHP by DISC '!F14/15</f>
        <v>0</v>
      </c>
      <c r="G14" s="1769">
        <f>+'NEW Summer CHP by DISC '!G14/15</f>
        <v>4.4000000000000004</v>
      </c>
      <c r="H14" s="1769">
        <f>+'NEW Summer CHP by DISC '!H14/12</f>
        <v>0</v>
      </c>
      <c r="I14" s="1771">
        <f t="shared" si="16"/>
        <v>4.4000000000000004</v>
      </c>
      <c r="J14" s="1679">
        <f t="shared" si="0"/>
        <v>-0.38888888888888884</v>
      </c>
      <c r="K14" s="1769">
        <f>+'NEW Summer CHP by DISC '!K14/15</f>
        <v>0</v>
      </c>
      <c r="L14" s="1769">
        <f>+'NEW Summer CHP by DISC '!L14/15</f>
        <v>2.8</v>
      </c>
      <c r="M14" s="1769">
        <f>+'NEW Summer CHP by DISC '!M14/12</f>
        <v>0</v>
      </c>
      <c r="N14" s="1771">
        <f t="shared" si="1"/>
        <v>2.8</v>
      </c>
      <c r="O14" s="1679">
        <f t="shared" si="2"/>
        <v>-0.3636363636363637</v>
      </c>
      <c r="P14" s="1769">
        <f>+'NEW Summer CHP by DISC '!P14/15</f>
        <v>0</v>
      </c>
      <c r="Q14" s="1769">
        <f>+'NEW Summer CHP by DISC '!Q14/15</f>
        <v>2.2000000000000002</v>
      </c>
      <c r="R14" s="1769">
        <f>+'NEW Summer CHP by DISC '!R14/12</f>
        <v>0</v>
      </c>
      <c r="S14" s="1769">
        <f t="shared" si="3"/>
        <v>2.2000000000000002</v>
      </c>
      <c r="T14" s="1679">
        <f t="shared" si="4"/>
        <v>-0.21428571428571416</v>
      </c>
      <c r="U14" s="1769">
        <f>+'NEW Summer CHP by DISC '!U14/15</f>
        <v>0</v>
      </c>
      <c r="V14" s="1769">
        <f>+'NEW Summer CHP by DISC '!V14/15</f>
        <v>4.5999999999999996</v>
      </c>
      <c r="W14" s="1769">
        <f>+'NEW Summer CHP by DISC '!W14/12</f>
        <v>0</v>
      </c>
      <c r="X14" s="1769">
        <f t="shared" si="5"/>
        <v>4.5999999999999996</v>
      </c>
      <c r="Y14" s="1679">
        <f t="shared" si="6"/>
        <v>1.0909090909090906</v>
      </c>
      <c r="Z14" s="1769">
        <f>+'NEW Summer CHP by DISC '!Z14/15</f>
        <v>0</v>
      </c>
      <c r="AA14" s="1769">
        <f>+'NEW Summer CHP by DISC '!AA14/15</f>
        <v>7</v>
      </c>
      <c r="AB14" s="1769">
        <f>+'NEW Summer CHP by DISC '!AB14/12</f>
        <v>0</v>
      </c>
      <c r="AC14" s="1769">
        <f t="shared" si="7"/>
        <v>7</v>
      </c>
      <c r="AD14" s="1679">
        <f t="shared" si="8"/>
        <v>0.52173913043478271</v>
      </c>
      <c r="AE14" s="1769">
        <f>+'NEW Summer CHP by DISC '!AE14/15</f>
        <v>0</v>
      </c>
      <c r="AF14" s="1769">
        <f>+'NEW Summer CHP by DISC '!AF14/15</f>
        <v>6.4</v>
      </c>
      <c r="AG14" s="1769">
        <f>+'NEW Summer CHP by DISC '!AG14/12</f>
        <v>0</v>
      </c>
      <c r="AH14" s="1769">
        <f t="shared" si="9"/>
        <v>6.4</v>
      </c>
      <c r="AI14" s="1679">
        <f t="shared" si="10"/>
        <v>-8.571428571428566E-2</v>
      </c>
      <c r="AJ14" s="1788">
        <f>+'NEW Summer CHP by DISC '!AJ14/15</f>
        <v>0</v>
      </c>
      <c r="AK14" s="1769">
        <f>+'NEW Summer CHP by DISC '!AK14/15</f>
        <v>6.6</v>
      </c>
      <c r="AL14" s="1769">
        <f>+'NEW Summer CHP by DISC '!AL14/12</f>
        <v>0</v>
      </c>
      <c r="AM14" s="1769">
        <f t="shared" si="11"/>
        <v>6.6</v>
      </c>
      <c r="AN14" s="1679">
        <f t="shared" si="12"/>
        <v>3.1249999999999889E-2</v>
      </c>
      <c r="AO14" s="1788">
        <f>+'NEW Summer CHP by DISC '!AO14/15</f>
        <v>0</v>
      </c>
      <c r="AP14" s="1769">
        <f>+'NEW Summer CHP by DISC '!AP14/15</f>
        <v>4.5999999999999996</v>
      </c>
      <c r="AQ14" s="1769">
        <f>+'NEW Summer CHP by DISC '!AQ14/12</f>
        <v>0</v>
      </c>
      <c r="AR14" s="1769">
        <f t="shared" si="13"/>
        <v>4.5999999999999996</v>
      </c>
      <c r="AS14" s="1679">
        <f t="shared" si="14"/>
        <v>-0.30303030303030304</v>
      </c>
    </row>
    <row r="15" spans="1:45" s="484" customFormat="1" ht="13.8" x14ac:dyDescent="0.25">
      <c r="A15" s="480" t="s">
        <v>1015</v>
      </c>
      <c r="B15" s="481">
        <f t="shared" ref="B15:I15" si="17">SUM(B7:B14)</f>
        <v>13.466666666666665</v>
      </c>
      <c r="C15" s="481">
        <f t="shared" si="17"/>
        <v>33.266666666666673</v>
      </c>
      <c r="D15" s="481">
        <f t="shared" si="17"/>
        <v>0</v>
      </c>
      <c r="E15" s="482">
        <f t="shared" si="17"/>
        <v>46.733333333333334</v>
      </c>
      <c r="F15" s="481">
        <f t="shared" si="17"/>
        <v>9</v>
      </c>
      <c r="G15" s="481">
        <f t="shared" si="17"/>
        <v>28.266666666666666</v>
      </c>
      <c r="H15" s="481">
        <f t="shared" si="17"/>
        <v>0</v>
      </c>
      <c r="I15" s="1019">
        <f t="shared" si="17"/>
        <v>37.266666666666666</v>
      </c>
      <c r="J15" s="1020">
        <f t="shared" si="0"/>
        <v>-0.20256776034236809</v>
      </c>
      <c r="K15" s="481">
        <f t="shared" ref="K15:S15" si="18">SUM(K7:K14)</f>
        <v>20.666666666666664</v>
      </c>
      <c r="L15" s="481">
        <f t="shared" si="18"/>
        <v>27.266666666666662</v>
      </c>
      <c r="M15" s="481">
        <f t="shared" si="18"/>
        <v>0</v>
      </c>
      <c r="N15" s="1019">
        <f t="shared" si="18"/>
        <v>47.933333333333337</v>
      </c>
      <c r="O15" s="1772">
        <f t="shared" si="2"/>
        <v>0.28622540250447243</v>
      </c>
      <c r="P15" s="481">
        <f t="shared" si="18"/>
        <v>22</v>
      </c>
      <c r="Q15" s="481">
        <f t="shared" si="18"/>
        <v>34.733333333333334</v>
      </c>
      <c r="R15" s="481">
        <f t="shared" si="18"/>
        <v>0</v>
      </c>
      <c r="S15" s="481">
        <f t="shared" si="18"/>
        <v>56.733333333333334</v>
      </c>
      <c r="T15" s="483">
        <f t="shared" si="4"/>
        <v>0.18358831710709311</v>
      </c>
      <c r="U15" s="481">
        <f>SUM(U7:U14)</f>
        <v>19</v>
      </c>
      <c r="V15" s="481">
        <f>SUM(V7:V14)</f>
        <v>50.733333333333334</v>
      </c>
      <c r="W15" s="481">
        <f>SUM(W7:W14)</f>
        <v>0</v>
      </c>
      <c r="X15" s="481">
        <f>SUM(X7:X14)</f>
        <v>69.73333333333332</v>
      </c>
      <c r="Y15" s="593">
        <f t="shared" si="6"/>
        <v>0.22914218566392455</v>
      </c>
      <c r="Z15" s="481">
        <f>SUM(Z7:Z14)</f>
        <v>5.4</v>
      </c>
      <c r="AA15" s="481">
        <f>SUM(AA7:AA14)</f>
        <v>51.266666666666666</v>
      </c>
      <c r="AB15" s="481">
        <f>SUM(AB7:AB14)</f>
        <v>0</v>
      </c>
      <c r="AC15" s="481">
        <f>SUM(AC7:AC14)</f>
        <v>56.666666666666671</v>
      </c>
      <c r="AD15" s="593">
        <f t="shared" si="8"/>
        <v>-0.18738049713193095</v>
      </c>
      <c r="AE15" s="481">
        <f>SUM(AE7:AE14)</f>
        <v>19.466666666666669</v>
      </c>
      <c r="AF15" s="481">
        <f>SUM(AF7:AF14)</f>
        <v>31.4</v>
      </c>
      <c r="AG15" s="481">
        <f>SUM(AG7:AG14)</f>
        <v>0</v>
      </c>
      <c r="AH15" s="481">
        <f>SUM(AH7:AH14)</f>
        <v>50.866666666666667</v>
      </c>
      <c r="AI15" s="593">
        <f t="shared" si="10"/>
        <v>-0.10235294117647066</v>
      </c>
      <c r="AJ15" s="1040">
        <f>SUM(AJ7:AJ14)</f>
        <v>17.266666666666666</v>
      </c>
      <c r="AK15" s="481">
        <f>SUM(AK7:AK14)</f>
        <v>35.466666666666669</v>
      </c>
      <c r="AL15" s="481">
        <f>SUM(AL7:AL14)</f>
        <v>0</v>
      </c>
      <c r="AM15" s="481">
        <f>SUM(AM7:AM14)</f>
        <v>52.733333333333334</v>
      </c>
      <c r="AN15" s="593">
        <f t="shared" si="12"/>
        <v>3.6697247706422027E-2</v>
      </c>
      <c r="AO15" s="1040">
        <f>SUM(AO7:AO14)</f>
        <v>20.133333333333336</v>
      </c>
      <c r="AP15" s="481">
        <f>SUM(AP7:AP14)</f>
        <v>32.200000000000003</v>
      </c>
      <c r="AQ15" s="481">
        <f>SUM(AQ7:AQ14)</f>
        <v>0</v>
      </c>
      <c r="AR15" s="481">
        <f>SUM(AR7:AR14)</f>
        <v>52.333333333333336</v>
      </c>
      <c r="AS15" s="593">
        <f t="shared" si="14"/>
        <v>-7.5853350189633104E-3</v>
      </c>
    </row>
    <row r="16" spans="1:45" x14ac:dyDescent="0.25">
      <c r="A16" s="485" t="s">
        <v>432</v>
      </c>
      <c r="B16" s="1733"/>
      <c r="C16" s="1733"/>
      <c r="D16" s="1733"/>
      <c r="E16" s="1719"/>
      <c r="F16" s="1716"/>
      <c r="G16" s="1244"/>
      <c r="H16" s="1244"/>
      <c r="I16" s="1718"/>
      <c r="J16" s="1722"/>
      <c r="K16" s="1773"/>
      <c r="L16" s="1718"/>
      <c r="M16" s="1718"/>
      <c r="N16" s="1718"/>
      <c r="O16" s="1722"/>
      <c r="P16" s="1717"/>
      <c r="Q16" s="1718"/>
      <c r="R16" s="1718"/>
      <c r="S16" s="1718"/>
      <c r="T16" s="1719"/>
      <c r="U16" s="1773"/>
      <c r="V16" s="1718"/>
      <c r="W16" s="1718"/>
      <c r="X16" s="1718"/>
      <c r="Y16" s="1719"/>
      <c r="Z16" s="1717"/>
      <c r="AA16" s="1718"/>
      <c r="AB16" s="1718"/>
      <c r="AC16" s="1718"/>
      <c r="AD16" s="1719"/>
      <c r="AE16" s="1717"/>
      <c r="AF16" s="1718"/>
      <c r="AG16" s="1718"/>
      <c r="AH16" s="1718"/>
      <c r="AI16" s="1719"/>
      <c r="AJ16" s="1816"/>
      <c r="AK16" s="1718"/>
      <c r="AL16" s="1718"/>
      <c r="AM16" s="1718"/>
      <c r="AN16" s="1719"/>
      <c r="AO16" s="1816"/>
      <c r="AP16" s="1718"/>
      <c r="AQ16" s="1718"/>
      <c r="AR16" s="1718"/>
      <c r="AS16" s="1719"/>
    </row>
    <row r="17" spans="1:45" s="712" customFormat="1" x14ac:dyDescent="0.25">
      <c r="A17" s="1774" t="s">
        <v>514</v>
      </c>
      <c r="B17" s="1769">
        <f>+'NEW Summer CHP by DISC '!B17/15</f>
        <v>0</v>
      </c>
      <c r="C17" s="1769">
        <f>+'NEW Summer CHP by DISC '!C17/15</f>
        <v>1.2</v>
      </c>
      <c r="D17" s="1769">
        <f>+'NEW Summer CHP by DISC '!D17/12</f>
        <v>0</v>
      </c>
      <c r="E17" s="1723">
        <f>SUM(B17:D17)</f>
        <v>1.2</v>
      </c>
      <c r="F17" s="1769">
        <f>+'NEW Summer CHP by DISC '!F17/15</f>
        <v>0</v>
      </c>
      <c r="G17" s="1769">
        <f>+'NEW Summer CHP by DISC '!G17/15</f>
        <v>2.2000000000000002</v>
      </c>
      <c r="H17" s="1769">
        <f>+'NEW Summer CHP by DISC '!H17/12</f>
        <v>0</v>
      </c>
      <c r="I17" s="1724">
        <f>SUM(F17:H17)</f>
        <v>2.2000000000000002</v>
      </c>
      <c r="J17" s="1679">
        <f t="shared" si="0"/>
        <v>0.83333333333333359</v>
      </c>
      <c r="K17" s="1769">
        <f>+'NEW Summer CHP by DISC '!K17/15</f>
        <v>0</v>
      </c>
      <c r="L17" s="1769">
        <f>+'NEW Summer CHP by DISC '!L17/15</f>
        <v>1.2</v>
      </c>
      <c r="M17" s="1769">
        <f>+'NEW Summer CHP by DISC '!M17/12</f>
        <v>0</v>
      </c>
      <c r="N17" s="1724">
        <f>SUM(K17:M17)</f>
        <v>1.2</v>
      </c>
      <c r="O17" s="1679">
        <f t="shared" ref="O17:O22" si="19">IF(I17&gt;0,(N17-I17)/I17,(IF(N17=0,"N/A",100%)))</f>
        <v>-0.45454545454545459</v>
      </c>
      <c r="P17" s="1769">
        <f>+'NEW Summer CHP by DISC '!P17/15</f>
        <v>0</v>
      </c>
      <c r="Q17" s="1769">
        <f>+'NEW Summer CHP by DISC '!Q17/15</f>
        <v>0</v>
      </c>
      <c r="R17" s="1769">
        <f>+'NEW Summer CHP by DISC '!R17/12</f>
        <v>0</v>
      </c>
      <c r="S17" s="1724">
        <f>SUM(P17:R17)</f>
        <v>0</v>
      </c>
      <c r="T17" s="491">
        <f t="shared" ref="T17:T22" si="20">IF(N17&gt;0,(S17-N17)/N17,(IF(S17=0,"N/A",100%)))</f>
        <v>-1</v>
      </c>
      <c r="U17" s="1769">
        <f>+'NEW Summer CHP by DISC '!U17/15</f>
        <v>0</v>
      </c>
      <c r="V17" s="1769">
        <f>+'NEW Summer CHP by DISC '!V17/15</f>
        <v>0</v>
      </c>
      <c r="W17" s="1769">
        <f>+'NEW Summer CHP by DISC '!W17/12</f>
        <v>0</v>
      </c>
      <c r="X17" s="1724">
        <f>SUM(U17:W17)</f>
        <v>0</v>
      </c>
      <c r="Y17" s="491" t="str">
        <f t="shared" ref="Y17:Y22" si="21">IF(S17&gt;0,(X17-S17)/S17,(IF(X17=0,"N/A",100%)))</f>
        <v>N/A</v>
      </c>
      <c r="Z17" s="1769">
        <f>+'NEW Summer CHP by DISC '!Z17/15</f>
        <v>0</v>
      </c>
      <c r="AA17" s="1769">
        <f>+'NEW Summer CHP by DISC '!AA17/15</f>
        <v>0</v>
      </c>
      <c r="AB17" s="1769">
        <f>+'NEW Summer CHP by DISC '!AB17/12</f>
        <v>0</v>
      </c>
      <c r="AC17" s="1724">
        <f>SUM(Z17:AB17)</f>
        <v>0</v>
      </c>
      <c r="AD17" s="491" t="str">
        <f t="shared" ref="AD17:AD22" si="22">IF(X17&gt;0,(AC17-X17)/X17,(IF(AC17=0,"N/A",100%)))</f>
        <v>N/A</v>
      </c>
      <c r="AE17" s="1769">
        <f>+'NEW Summer CHP by DISC '!AE17/15</f>
        <v>0</v>
      </c>
      <c r="AF17" s="1769">
        <f>+'NEW Summer CHP by DISC '!AF17/15</f>
        <v>0</v>
      </c>
      <c r="AG17" s="1769">
        <f>+'NEW Summer CHP by DISC '!AG17/12</f>
        <v>0</v>
      </c>
      <c r="AH17" s="1724">
        <f>SUM(AE17:AG17)</f>
        <v>0</v>
      </c>
      <c r="AI17" s="491" t="str">
        <f t="shared" ref="AI17:AI22" si="23">IF(AC17&gt;0,(AH17-AC17)/AC17,(IF(AH17=0,"N/A",100%)))</f>
        <v>N/A</v>
      </c>
      <c r="AJ17" s="1788">
        <f>+'NEW Summer CHP by DISC '!AJ17/15</f>
        <v>0</v>
      </c>
      <c r="AK17" s="1769">
        <f>+'NEW Summer CHP by DISC '!AK17/15</f>
        <v>0</v>
      </c>
      <c r="AL17" s="1769">
        <f>+'NEW Summer CHP by DISC '!AL17/12</f>
        <v>0</v>
      </c>
      <c r="AM17" s="1724">
        <f>SUM(AJ17:AL17)</f>
        <v>0</v>
      </c>
      <c r="AN17" s="491" t="str">
        <f t="shared" ref="AN17:AN22" si="24">IF(AH17&gt;0,(AM17-AH17)/AH17,(IF(AM17=0,"N/A",100%)))</f>
        <v>N/A</v>
      </c>
      <c r="AO17" s="1788">
        <f>+'NEW Summer CHP by DISC '!AO17/15</f>
        <v>0</v>
      </c>
      <c r="AP17" s="1769">
        <f>+'NEW Summer CHP by DISC '!AP17/15</f>
        <v>0</v>
      </c>
      <c r="AQ17" s="1769">
        <f>+'NEW Summer CHP by DISC '!AQ17/12</f>
        <v>0</v>
      </c>
      <c r="AR17" s="1724">
        <f>SUM(AO17:AQ17)</f>
        <v>0</v>
      </c>
      <c r="AS17" s="491" t="str">
        <f t="shared" ref="AS17:AS22" si="25">IF(AM17&gt;0,(AR17-AM17)/AM17,(IF(AR17=0,"N/A",100%)))</f>
        <v>N/A</v>
      </c>
    </row>
    <row r="18" spans="1:45" s="712" customFormat="1" x14ac:dyDescent="0.25">
      <c r="A18" s="1774" t="s">
        <v>1652</v>
      </c>
      <c r="B18" s="1769">
        <v>0</v>
      </c>
      <c r="C18" s="1769">
        <v>0</v>
      </c>
      <c r="D18" s="1769">
        <v>0</v>
      </c>
      <c r="E18" s="1723">
        <f>SUM(B18:D18)</f>
        <v>0</v>
      </c>
      <c r="F18" s="1769">
        <v>0</v>
      </c>
      <c r="G18" s="1769">
        <v>0</v>
      </c>
      <c r="H18" s="1769">
        <v>0</v>
      </c>
      <c r="I18" s="1724">
        <f>SUM(F18:H18)</f>
        <v>0</v>
      </c>
      <c r="J18" s="1679" t="str">
        <f>IF(E18&gt;0,(I18-E18)/E18,(IF(I18=0,"N/A",100%)))</f>
        <v>N/A</v>
      </c>
      <c r="K18" s="1769">
        <v>0</v>
      </c>
      <c r="L18" s="1769">
        <v>0</v>
      </c>
      <c r="M18" s="1769">
        <v>0</v>
      </c>
      <c r="N18" s="1724">
        <f>SUM(K18:M18)</f>
        <v>0</v>
      </c>
      <c r="O18" s="1679" t="str">
        <f t="shared" si="19"/>
        <v>N/A</v>
      </c>
      <c r="P18" s="1769">
        <v>0</v>
      </c>
      <c r="Q18" s="1769">
        <v>0</v>
      </c>
      <c r="R18" s="1769">
        <v>0</v>
      </c>
      <c r="S18" s="1724">
        <f>SUM(P18:R18)</f>
        <v>0</v>
      </c>
      <c r="T18" s="491" t="str">
        <f t="shared" si="20"/>
        <v>N/A</v>
      </c>
      <c r="U18" s="1769">
        <v>0</v>
      </c>
      <c r="V18" s="1769">
        <v>0</v>
      </c>
      <c r="W18" s="1769">
        <v>0</v>
      </c>
      <c r="X18" s="1724">
        <f>SUM(U18:W18)</f>
        <v>0</v>
      </c>
      <c r="Y18" s="491" t="str">
        <f t="shared" si="21"/>
        <v>N/A</v>
      </c>
      <c r="Z18" s="1769">
        <v>0</v>
      </c>
      <c r="AA18" s="1769">
        <v>0</v>
      </c>
      <c r="AB18" s="1769">
        <v>0</v>
      </c>
      <c r="AC18" s="1724">
        <f>SUM(Z18:AB18)</f>
        <v>0</v>
      </c>
      <c r="AD18" s="491" t="str">
        <f t="shared" si="22"/>
        <v>N/A</v>
      </c>
      <c r="AE18" s="1769">
        <v>0</v>
      </c>
      <c r="AF18" s="1769">
        <v>0</v>
      </c>
      <c r="AG18" s="1769">
        <v>0</v>
      </c>
      <c r="AH18" s="1724">
        <f>SUM(AE18:AG18)</f>
        <v>0</v>
      </c>
      <c r="AI18" s="491" t="str">
        <f t="shared" si="23"/>
        <v>N/A</v>
      </c>
      <c r="AJ18" s="1788">
        <f>+'NEW Summer CHP by DISC '!AJ18/15</f>
        <v>0</v>
      </c>
      <c r="AK18" s="1769">
        <f>+'NEW Summer CHP by DISC '!AK18/15</f>
        <v>0</v>
      </c>
      <c r="AL18" s="1769">
        <f>+'NEW Summer CHP by DISC '!AL18/12</f>
        <v>4</v>
      </c>
      <c r="AM18" s="1724">
        <f>SUM(AJ18:AL18)</f>
        <v>4</v>
      </c>
      <c r="AN18" s="491">
        <f t="shared" si="24"/>
        <v>1</v>
      </c>
      <c r="AO18" s="1788">
        <f>+'NEW Summer CHP by DISC '!AO18/15</f>
        <v>0</v>
      </c>
      <c r="AP18" s="1769">
        <f>+'NEW Summer CHP by DISC '!AP18/15</f>
        <v>0</v>
      </c>
      <c r="AQ18" s="1769">
        <f>+'NEW Summer CHP by DISC '!AQ18/12</f>
        <v>1.8333333333333333</v>
      </c>
      <c r="AR18" s="1724">
        <f>SUM(AO18:AQ18)</f>
        <v>1.8333333333333333</v>
      </c>
      <c r="AS18" s="491">
        <f t="shared" si="25"/>
        <v>-0.54166666666666674</v>
      </c>
    </row>
    <row r="19" spans="1:45" x14ac:dyDescent="0.25">
      <c r="A19" s="488" t="s">
        <v>1042</v>
      </c>
      <c r="B19" s="1769">
        <f>+'NEW Summer CHP by DISC '!B19/15</f>
        <v>0</v>
      </c>
      <c r="C19" s="1769">
        <f>+'NEW Summer CHP by DISC '!C19/15</f>
        <v>7.4</v>
      </c>
      <c r="D19" s="1769">
        <f>+'NEW Summer CHP by DISC '!D19/12</f>
        <v>0</v>
      </c>
      <c r="E19" s="1723">
        <f>SUM(B19:D19)</f>
        <v>7.4</v>
      </c>
      <c r="F19" s="1769">
        <f>+'NEW Summer CHP by DISC '!F19/15</f>
        <v>3.8</v>
      </c>
      <c r="G19" s="1769">
        <f>+'NEW Summer CHP by DISC '!G19/15</f>
        <v>6.4</v>
      </c>
      <c r="H19" s="1769">
        <f>+'NEW Summer CHP by DISC '!H19/12</f>
        <v>0</v>
      </c>
      <c r="I19" s="1724">
        <f>SUM(F19:H19)</f>
        <v>10.199999999999999</v>
      </c>
      <c r="J19" s="1679">
        <f t="shared" si="0"/>
        <v>0.37837837837837823</v>
      </c>
      <c r="K19" s="1769">
        <f>+'NEW Summer CHP by DISC '!K19/15</f>
        <v>2.2000000000000002</v>
      </c>
      <c r="L19" s="1769">
        <f>+'NEW Summer CHP by DISC '!L19/15</f>
        <v>3.6</v>
      </c>
      <c r="M19" s="1769">
        <f>+'NEW Summer CHP by DISC '!M19/12</f>
        <v>0</v>
      </c>
      <c r="N19" s="1724">
        <f>SUM(K19:M19)</f>
        <v>5.8000000000000007</v>
      </c>
      <c r="O19" s="1679">
        <f t="shared" si="19"/>
        <v>-0.43137254901960775</v>
      </c>
      <c r="P19" s="1769">
        <f>+'NEW Summer CHP by DISC '!P19/15</f>
        <v>2.8</v>
      </c>
      <c r="Q19" s="1769">
        <f>+'NEW Summer CHP by DISC '!Q19/15</f>
        <v>3.4</v>
      </c>
      <c r="R19" s="1769">
        <f>+'NEW Summer CHP by DISC '!R19/12</f>
        <v>0</v>
      </c>
      <c r="S19" s="1724">
        <f>SUM(P19:R19)</f>
        <v>6.1999999999999993</v>
      </c>
      <c r="T19" s="491">
        <f t="shared" si="20"/>
        <v>6.896551724137906E-2</v>
      </c>
      <c r="U19" s="1769">
        <f>+'NEW Summer CHP by DISC '!U19/15</f>
        <v>3</v>
      </c>
      <c r="V19" s="1769">
        <f>+'NEW Summer CHP by DISC '!V19/15</f>
        <v>3.6</v>
      </c>
      <c r="W19" s="1769">
        <f>+'NEW Summer CHP by DISC '!W19/12</f>
        <v>0</v>
      </c>
      <c r="X19" s="1724">
        <f>SUM(U19:W19)</f>
        <v>6.6</v>
      </c>
      <c r="Y19" s="491">
        <f t="shared" si="21"/>
        <v>6.4516129032258132E-2</v>
      </c>
      <c r="Z19" s="1769">
        <f>+'NEW Summer CHP by DISC '!Z19/15</f>
        <v>3.6</v>
      </c>
      <c r="AA19" s="1769">
        <f>+'NEW Summer CHP by DISC '!AA19/15</f>
        <v>1.6</v>
      </c>
      <c r="AB19" s="1769">
        <f>+'NEW Summer CHP by DISC '!AB19/12</f>
        <v>0</v>
      </c>
      <c r="AC19" s="1724">
        <f>SUM(Z19:AB19)</f>
        <v>5.2</v>
      </c>
      <c r="AD19" s="491">
        <f t="shared" si="22"/>
        <v>-0.21212121212121204</v>
      </c>
      <c r="AE19" s="1769">
        <f>+'NEW Summer CHP by DISC '!AE19/15</f>
        <v>1.8</v>
      </c>
      <c r="AF19" s="1769">
        <f>+'NEW Summer CHP by DISC '!AF19/15</f>
        <v>0.4</v>
      </c>
      <c r="AG19" s="1769">
        <f>+'NEW Summer CHP by DISC '!AG19/12</f>
        <v>0</v>
      </c>
      <c r="AH19" s="1724">
        <f>SUM(AE19:AG19)</f>
        <v>2.2000000000000002</v>
      </c>
      <c r="AI19" s="491">
        <f t="shared" si="23"/>
        <v>-0.57692307692307687</v>
      </c>
      <c r="AJ19" s="1788">
        <f>+'NEW Summer CHP by DISC '!AJ19/15</f>
        <v>2</v>
      </c>
      <c r="AK19" s="1769">
        <f>+'NEW Summer CHP by DISC '!AK19/15</f>
        <v>2.2000000000000002</v>
      </c>
      <c r="AL19" s="1769">
        <f>+'NEW Summer CHP by DISC '!AL19/12</f>
        <v>0</v>
      </c>
      <c r="AM19" s="1724">
        <f>SUM(AJ19:AL19)</f>
        <v>4.2</v>
      </c>
      <c r="AN19" s="491">
        <f t="shared" si="24"/>
        <v>0.90909090909090906</v>
      </c>
      <c r="AO19" s="1788">
        <f>+'NEW Summer CHP by DISC '!AO19/15</f>
        <v>1.4</v>
      </c>
      <c r="AP19" s="1769">
        <f>+'NEW Summer CHP by DISC '!AP19/15</f>
        <v>4.4000000000000004</v>
      </c>
      <c r="AQ19" s="1769">
        <f>+'NEW Summer CHP by DISC '!AQ19/12</f>
        <v>0</v>
      </c>
      <c r="AR19" s="1724">
        <f>SUM(AO19:AQ19)</f>
        <v>5.8000000000000007</v>
      </c>
      <c r="AS19" s="491">
        <f t="shared" si="25"/>
        <v>0.38095238095238104</v>
      </c>
    </row>
    <row r="20" spans="1:45" x14ac:dyDescent="0.25">
      <c r="A20" s="488" t="s">
        <v>1014</v>
      </c>
      <c r="B20" s="1769">
        <f>+'NEW Summer CHP by DISC '!B20/15</f>
        <v>3.4</v>
      </c>
      <c r="C20" s="1769">
        <f>+'NEW Summer CHP by DISC '!C20/15</f>
        <v>14.4</v>
      </c>
      <c r="D20" s="1769">
        <f>+'NEW Summer CHP by DISC '!D20/12</f>
        <v>0</v>
      </c>
      <c r="E20" s="1723">
        <f>SUM(B20:D20)</f>
        <v>17.8</v>
      </c>
      <c r="F20" s="1769">
        <f>+'NEW Summer CHP by DISC '!F20/15</f>
        <v>3.8</v>
      </c>
      <c r="G20" s="1769">
        <f>+'NEW Summer CHP by DISC '!G20/15</f>
        <v>7.8</v>
      </c>
      <c r="H20" s="1769">
        <f>+'NEW Summer CHP by DISC '!H20/12</f>
        <v>0</v>
      </c>
      <c r="I20" s="1724">
        <f>SUM(F20:H20)</f>
        <v>11.6</v>
      </c>
      <c r="J20" s="1679">
        <f t="shared" si="0"/>
        <v>-0.34831460674157311</v>
      </c>
      <c r="K20" s="1769">
        <f>+'NEW Summer CHP by DISC '!K20/15</f>
        <v>10</v>
      </c>
      <c r="L20" s="1769">
        <f>+'NEW Summer CHP by DISC '!L20/15</f>
        <v>2.8</v>
      </c>
      <c r="M20" s="1769">
        <f>+'NEW Summer CHP by DISC '!M20/12</f>
        <v>0</v>
      </c>
      <c r="N20" s="1724">
        <f>SUM(K20:M20)</f>
        <v>12.8</v>
      </c>
      <c r="O20" s="1679">
        <f t="shared" si="19"/>
        <v>0.10344827586206906</v>
      </c>
      <c r="P20" s="1769">
        <f>+'NEW Summer CHP by DISC '!P20/15</f>
        <v>8.1999999999999993</v>
      </c>
      <c r="Q20" s="1769">
        <f>+'NEW Summer CHP by DISC '!Q20/15</f>
        <v>4.8</v>
      </c>
      <c r="R20" s="1769">
        <f>+'NEW Summer CHP by DISC '!R20/12</f>
        <v>0</v>
      </c>
      <c r="S20" s="1724">
        <f>SUM(P20:R20)</f>
        <v>13</v>
      </c>
      <c r="T20" s="491">
        <f t="shared" si="20"/>
        <v>1.5624999999999944E-2</v>
      </c>
      <c r="U20" s="1769">
        <f>+'NEW Summer CHP by DISC '!U20/15</f>
        <v>6.8</v>
      </c>
      <c r="V20" s="1769">
        <f>+'NEW Summer CHP by DISC '!V20/15</f>
        <v>9.6</v>
      </c>
      <c r="W20" s="1769">
        <f>+'NEW Summer CHP by DISC '!W20/12</f>
        <v>0</v>
      </c>
      <c r="X20" s="1724">
        <f>SUM(U20:W20)</f>
        <v>16.399999999999999</v>
      </c>
      <c r="Y20" s="491">
        <f t="shared" si="21"/>
        <v>0.26153846153846144</v>
      </c>
      <c r="Z20" s="1769">
        <f>+'NEW Summer CHP by DISC '!Z20/15</f>
        <v>2.8</v>
      </c>
      <c r="AA20" s="1769">
        <f>+'NEW Summer CHP by DISC '!AA20/15</f>
        <v>13.2</v>
      </c>
      <c r="AB20" s="1769">
        <f>+'NEW Summer CHP by DISC '!AB20/12</f>
        <v>0</v>
      </c>
      <c r="AC20" s="1724">
        <f>SUM(Z20:AB20)</f>
        <v>16</v>
      </c>
      <c r="AD20" s="491">
        <f t="shared" si="22"/>
        <v>-2.4390243902438939E-2</v>
      </c>
      <c r="AE20" s="1769">
        <f>+'NEW Summer CHP by DISC '!AE20/15</f>
        <v>3.4</v>
      </c>
      <c r="AF20" s="1769">
        <f>+'NEW Summer CHP by DISC '!AF20/15</f>
        <v>8.6</v>
      </c>
      <c r="AG20" s="1769">
        <f>+'NEW Summer CHP by DISC '!AG20/12</f>
        <v>0</v>
      </c>
      <c r="AH20" s="1724">
        <f>SUM(AE20:AG20)</f>
        <v>12</v>
      </c>
      <c r="AI20" s="491">
        <f t="shared" si="23"/>
        <v>-0.25</v>
      </c>
      <c r="AJ20" s="1788">
        <f>+'NEW Summer CHP by DISC '!AJ20/15</f>
        <v>5.4</v>
      </c>
      <c r="AK20" s="1769">
        <f>+'NEW Summer CHP by DISC '!AK20/15</f>
        <v>4.5999999999999996</v>
      </c>
      <c r="AL20" s="1769">
        <f>+'NEW Summer CHP by DISC '!AL20/12</f>
        <v>0</v>
      </c>
      <c r="AM20" s="1724">
        <f>SUM(AJ20:AL20)</f>
        <v>10</v>
      </c>
      <c r="AN20" s="491">
        <f t="shared" si="24"/>
        <v>-0.16666666666666666</v>
      </c>
      <c r="AO20" s="1788">
        <f>+'NEW Summer CHP by DISC '!AO20/15</f>
        <v>4.4000000000000004</v>
      </c>
      <c r="AP20" s="1769">
        <f>+'NEW Summer CHP by DISC '!AP20/15</f>
        <v>3.6</v>
      </c>
      <c r="AQ20" s="1769">
        <f>+'NEW Summer CHP by DISC '!AQ20/12</f>
        <v>0</v>
      </c>
      <c r="AR20" s="1724">
        <f>SUM(AO20:AQ20)</f>
        <v>8</v>
      </c>
      <c r="AS20" s="491">
        <f t="shared" si="25"/>
        <v>-0.2</v>
      </c>
    </row>
    <row r="21" spans="1:45" s="484" customFormat="1" ht="13.8" x14ac:dyDescent="0.25">
      <c r="A21" s="492" t="s">
        <v>1015</v>
      </c>
      <c r="B21" s="1259">
        <f t="shared" ref="B21:I21" si="26">SUM(B17:B20)</f>
        <v>3.4</v>
      </c>
      <c r="C21" s="1259">
        <f t="shared" si="26"/>
        <v>23</v>
      </c>
      <c r="D21" s="1259">
        <f t="shared" si="26"/>
        <v>0</v>
      </c>
      <c r="E21" s="495">
        <f t="shared" si="26"/>
        <v>26.4</v>
      </c>
      <c r="F21" s="1259">
        <f t="shared" si="26"/>
        <v>7.6</v>
      </c>
      <c r="G21" s="1259">
        <f t="shared" si="26"/>
        <v>16.400000000000002</v>
      </c>
      <c r="H21" s="1259">
        <f t="shared" si="26"/>
        <v>0</v>
      </c>
      <c r="I21" s="1259">
        <f t="shared" si="26"/>
        <v>24</v>
      </c>
      <c r="J21" s="543">
        <f>IF(E21&gt;0,(I21-E21)/E21,(IF(I21=0,"N/A",100%)))</f>
        <v>-9.0909090909090856E-2</v>
      </c>
      <c r="K21" s="1259">
        <f t="shared" ref="K21:S21" si="27">SUM(K17:K20)</f>
        <v>12.2</v>
      </c>
      <c r="L21" s="1259">
        <f t="shared" si="27"/>
        <v>7.6</v>
      </c>
      <c r="M21" s="1259">
        <f t="shared" si="27"/>
        <v>0</v>
      </c>
      <c r="N21" s="1259">
        <f t="shared" si="27"/>
        <v>19.8</v>
      </c>
      <c r="O21" s="1772">
        <f t="shared" si="19"/>
        <v>-0.17499999999999996</v>
      </c>
      <c r="P21" s="1732">
        <f t="shared" si="27"/>
        <v>11</v>
      </c>
      <c r="Q21" s="1259">
        <f t="shared" si="27"/>
        <v>8.1999999999999993</v>
      </c>
      <c r="R21" s="1259">
        <f t="shared" si="27"/>
        <v>0</v>
      </c>
      <c r="S21" s="1259">
        <f t="shared" si="27"/>
        <v>19.2</v>
      </c>
      <c r="T21" s="496">
        <f t="shared" si="20"/>
        <v>-3.0303030303030373E-2</v>
      </c>
      <c r="U21" s="1259">
        <f>SUM(U17:U20)</f>
        <v>9.8000000000000007</v>
      </c>
      <c r="V21" s="1259">
        <f>SUM(V17:V20)</f>
        <v>13.2</v>
      </c>
      <c r="W21" s="1259">
        <f>SUM(W17:W20)</f>
        <v>0</v>
      </c>
      <c r="X21" s="1259">
        <f>SUM(X17:X20)</f>
        <v>23</v>
      </c>
      <c r="Y21" s="496">
        <f t="shared" si="21"/>
        <v>0.19791666666666671</v>
      </c>
      <c r="Z21" s="1732">
        <f>SUM(Z17:Z20)</f>
        <v>6.4</v>
      </c>
      <c r="AA21" s="1259">
        <f>SUM(AA17:AA20)</f>
        <v>14.799999999999999</v>
      </c>
      <c r="AB21" s="1259">
        <f>SUM(AB17:AB20)</f>
        <v>0</v>
      </c>
      <c r="AC21" s="1259">
        <f>SUM(AC17:AC20)</f>
        <v>21.2</v>
      </c>
      <c r="AD21" s="496">
        <f t="shared" si="22"/>
        <v>-7.8260869565217425E-2</v>
      </c>
      <c r="AE21" s="1732">
        <f>SUM(AE17:AE20)</f>
        <v>5.2</v>
      </c>
      <c r="AF21" s="1259">
        <f>SUM(AF17:AF20)</f>
        <v>9</v>
      </c>
      <c r="AG21" s="1259">
        <f>SUM(AG17:AG20)</f>
        <v>0</v>
      </c>
      <c r="AH21" s="1259">
        <f>SUM(AH17:AH20)</f>
        <v>14.2</v>
      </c>
      <c r="AI21" s="496">
        <f t="shared" si="23"/>
        <v>-0.33018867924528306</v>
      </c>
      <c r="AJ21" s="1025">
        <f>SUM(AJ17:AJ20)</f>
        <v>7.4</v>
      </c>
      <c r="AK21" s="1259">
        <f>SUM(AK17:AK20)</f>
        <v>6.8</v>
      </c>
      <c r="AL21" s="1259">
        <f>SUM(AL17:AL20)</f>
        <v>4</v>
      </c>
      <c r="AM21" s="1259">
        <f>SUM(AM17:AM20)</f>
        <v>18.2</v>
      </c>
      <c r="AN21" s="496">
        <f t="shared" si="24"/>
        <v>0.28169014084507044</v>
      </c>
      <c r="AO21" s="1025">
        <f>SUM(AO17:AO20)</f>
        <v>5.8000000000000007</v>
      </c>
      <c r="AP21" s="1259">
        <f>SUM(AP17:AP20)</f>
        <v>8</v>
      </c>
      <c r="AQ21" s="1259">
        <f>SUM(AQ17:AQ20)</f>
        <v>1.8333333333333333</v>
      </c>
      <c r="AR21" s="1259">
        <f>SUM(AR17:AR20)</f>
        <v>15.633333333333333</v>
      </c>
      <c r="AS21" s="496">
        <f t="shared" si="25"/>
        <v>-0.14102564102564102</v>
      </c>
    </row>
    <row r="22" spans="1:45" s="502" customFormat="1" ht="16.2" thickBot="1" x14ac:dyDescent="0.35">
      <c r="A22" s="497" t="s">
        <v>433</v>
      </c>
      <c r="B22" s="499">
        <f t="shared" ref="B22:I22" si="28">+B21+B15</f>
        <v>16.866666666666664</v>
      </c>
      <c r="C22" s="499">
        <f t="shared" si="28"/>
        <v>56.266666666666673</v>
      </c>
      <c r="D22" s="499">
        <f t="shared" si="28"/>
        <v>0</v>
      </c>
      <c r="E22" s="500">
        <f t="shared" si="28"/>
        <v>73.133333333333326</v>
      </c>
      <c r="F22" s="499">
        <f t="shared" si="28"/>
        <v>16.600000000000001</v>
      </c>
      <c r="G22" s="499">
        <f t="shared" si="28"/>
        <v>44.666666666666671</v>
      </c>
      <c r="H22" s="499">
        <f t="shared" si="28"/>
        <v>0</v>
      </c>
      <c r="I22" s="499">
        <f t="shared" si="28"/>
        <v>61.266666666666666</v>
      </c>
      <c r="J22" s="525">
        <f>IF(E22&gt;0,(I22-E22)/E22,(IF(I22=0,"N/A",100%)))</f>
        <v>-0.16226071103008197</v>
      </c>
      <c r="K22" s="499">
        <f t="shared" ref="K22:S22" si="29">+K21+K15</f>
        <v>32.86666666666666</v>
      </c>
      <c r="L22" s="499">
        <f t="shared" si="29"/>
        <v>34.86666666666666</v>
      </c>
      <c r="M22" s="499">
        <f t="shared" si="29"/>
        <v>0</v>
      </c>
      <c r="N22" s="499">
        <f t="shared" si="29"/>
        <v>67.733333333333334</v>
      </c>
      <c r="O22" s="501">
        <f t="shared" si="19"/>
        <v>0.10554951033732321</v>
      </c>
      <c r="P22" s="498">
        <f t="shared" si="29"/>
        <v>33</v>
      </c>
      <c r="Q22" s="499">
        <f t="shared" si="29"/>
        <v>42.933333333333337</v>
      </c>
      <c r="R22" s="499">
        <f t="shared" si="29"/>
        <v>0</v>
      </c>
      <c r="S22" s="499">
        <f t="shared" si="29"/>
        <v>75.933333333333337</v>
      </c>
      <c r="T22" s="501">
        <f t="shared" si="20"/>
        <v>0.12106299212598429</v>
      </c>
      <c r="U22" s="499">
        <f>+U21+U15</f>
        <v>28.8</v>
      </c>
      <c r="V22" s="499">
        <f>+V21+V15</f>
        <v>63.933333333333337</v>
      </c>
      <c r="W22" s="499">
        <f>+W21+W15</f>
        <v>0</v>
      </c>
      <c r="X22" s="499">
        <f>+X21+X15</f>
        <v>92.73333333333332</v>
      </c>
      <c r="Y22" s="501">
        <f t="shared" si="21"/>
        <v>0.22124670763827894</v>
      </c>
      <c r="Z22" s="498">
        <f>+Z21+Z15</f>
        <v>11.8</v>
      </c>
      <c r="AA22" s="499">
        <f>+AA21+AA15</f>
        <v>66.066666666666663</v>
      </c>
      <c r="AB22" s="499">
        <f>+AB21+AB15</f>
        <v>0</v>
      </c>
      <c r="AC22" s="499">
        <f>+AC21+AC15</f>
        <v>77.866666666666674</v>
      </c>
      <c r="AD22" s="501">
        <f t="shared" si="22"/>
        <v>-0.16031631919482367</v>
      </c>
      <c r="AE22" s="498">
        <f>+AE21+AE15</f>
        <v>24.666666666666668</v>
      </c>
      <c r="AF22" s="499">
        <f>+AF21+AF15</f>
        <v>40.4</v>
      </c>
      <c r="AG22" s="499">
        <f>+AG21+AG15</f>
        <v>0</v>
      </c>
      <c r="AH22" s="499">
        <f>+AH21+AH15</f>
        <v>65.066666666666663</v>
      </c>
      <c r="AI22" s="501">
        <f t="shared" si="23"/>
        <v>-0.16438356164383575</v>
      </c>
      <c r="AJ22" s="774">
        <f>+AJ21+AJ15</f>
        <v>24.666666666666664</v>
      </c>
      <c r="AK22" s="499">
        <f>+AK21+AK15</f>
        <v>42.266666666666666</v>
      </c>
      <c r="AL22" s="499">
        <f>+AL21+AL15</f>
        <v>4</v>
      </c>
      <c r="AM22" s="499">
        <f>+AM21+AM15</f>
        <v>70.933333333333337</v>
      </c>
      <c r="AN22" s="501">
        <f t="shared" si="24"/>
        <v>9.0163934426229636E-2</v>
      </c>
      <c r="AO22" s="774">
        <f>+AO21+AO15</f>
        <v>25.933333333333337</v>
      </c>
      <c r="AP22" s="499">
        <f>+AP21+AP15</f>
        <v>40.200000000000003</v>
      </c>
      <c r="AQ22" s="499">
        <f>+AQ21+AQ15</f>
        <v>1.8333333333333333</v>
      </c>
      <c r="AR22" s="499">
        <f>+AR21+AR15</f>
        <v>67.966666666666669</v>
      </c>
      <c r="AS22" s="501">
        <f t="shared" si="25"/>
        <v>-4.1823308270676714E-2</v>
      </c>
    </row>
    <row r="23" spans="1:45" ht="13.8" thickTop="1" x14ac:dyDescent="0.25">
      <c r="A23" s="503"/>
      <c r="B23" s="503"/>
      <c r="C23" s="503"/>
      <c r="D23" s="503"/>
      <c r="E23" s="503"/>
      <c r="F23" s="503"/>
      <c r="G23" s="503"/>
      <c r="H23" s="503"/>
      <c r="I23" s="503"/>
      <c r="J23" s="503"/>
      <c r="K23" s="1738"/>
      <c r="L23" s="1738"/>
      <c r="M23" s="1738"/>
      <c r="N23" s="1738"/>
      <c r="O23" s="1738"/>
      <c r="P23" s="1738"/>
      <c r="Q23" s="1738"/>
      <c r="R23" s="1738"/>
      <c r="S23" s="1738"/>
      <c r="T23" s="504"/>
      <c r="U23" s="1738"/>
      <c r="V23" s="1738"/>
      <c r="W23" s="1738"/>
      <c r="X23" s="1738"/>
      <c r="Y23" s="527"/>
    </row>
    <row r="24" spans="1:45" ht="13.8" thickBot="1" x14ac:dyDescent="0.3">
      <c r="A24" s="503"/>
      <c r="B24" s="503"/>
      <c r="C24" s="503"/>
      <c r="D24" s="503"/>
      <c r="E24" s="503"/>
      <c r="F24" s="503"/>
      <c r="G24" s="503"/>
      <c r="H24" s="503"/>
      <c r="I24" s="503"/>
      <c r="J24" s="503"/>
      <c r="K24" s="1738"/>
      <c r="L24" s="1738"/>
      <c r="M24" s="1738"/>
      <c r="N24" s="1738"/>
      <c r="O24" s="1738"/>
      <c r="P24" s="1738"/>
      <c r="Q24" s="1738"/>
      <c r="R24" s="1738"/>
      <c r="S24" s="1738"/>
      <c r="T24" s="504"/>
      <c r="U24" s="1738"/>
      <c r="V24" s="1738"/>
      <c r="W24" s="1738"/>
      <c r="X24" s="1738"/>
      <c r="Y24" s="504"/>
    </row>
    <row r="25" spans="1:45" s="1546" customFormat="1" ht="18" thickBot="1" x14ac:dyDescent="0.35">
      <c r="A25" s="2161" t="s">
        <v>424</v>
      </c>
      <c r="B25" s="2162"/>
      <c r="C25" s="2162"/>
      <c r="D25" s="2162"/>
      <c r="E25" s="2162"/>
      <c r="F25" s="2162"/>
      <c r="G25" s="2162"/>
      <c r="H25" s="2162"/>
      <c r="I25" s="2162"/>
      <c r="J25" s="2162"/>
      <c r="K25" s="2162"/>
      <c r="L25" s="2162"/>
      <c r="M25" s="2162"/>
      <c r="N25" s="2162"/>
      <c r="O25" s="2162"/>
      <c r="P25" s="2162"/>
      <c r="Q25" s="2162"/>
      <c r="R25" s="2162"/>
      <c r="S25" s="2162"/>
      <c r="T25" s="2162"/>
      <c r="U25" s="2162"/>
      <c r="V25" s="2162"/>
      <c r="W25" s="2162"/>
      <c r="X25" s="2162"/>
      <c r="Y25" s="2162"/>
      <c r="Z25" s="2162"/>
      <c r="AA25" s="2162"/>
      <c r="AB25" s="2162"/>
      <c r="AC25" s="2162"/>
      <c r="AD25" s="2162"/>
      <c r="AE25" s="2162"/>
      <c r="AF25" s="2162"/>
      <c r="AG25" s="2162"/>
      <c r="AH25" s="2162"/>
      <c r="AI25" s="2162"/>
      <c r="AJ25" s="2162"/>
      <c r="AK25" s="2162"/>
      <c r="AL25" s="2162"/>
      <c r="AM25" s="2162"/>
      <c r="AN25" s="2162"/>
      <c r="AO25" s="2162"/>
      <c r="AP25" s="2162"/>
      <c r="AQ25" s="2162"/>
      <c r="AR25" s="2162"/>
      <c r="AS25" s="2163"/>
    </row>
    <row r="26" spans="1:45" ht="26.4" x14ac:dyDescent="0.25">
      <c r="A26" s="2167" t="s">
        <v>1006</v>
      </c>
      <c r="B26" s="1710" t="s">
        <v>1008</v>
      </c>
      <c r="C26" s="1710" t="s">
        <v>1009</v>
      </c>
      <c r="D26" s="1710" t="s">
        <v>1010</v>
      </c>
      <c r="E26" s="680" t="s">
        <v>1011</v>
      </c>
      <c r="F26" s="1711" t="s">
        <v>1008</v>
      </c>
      <c r="G26" s="1710" t="s">
        <v>1009</v>
      </c>
      <c r="H26" s="1710" t="s">
        <v>1010</v>
      </c>
      <c r="I26" s="1712" t="s">
        <v>1011</v>
      </c>
      <c r="J26" s="680" t="s">
        <v>1012</v>
      </c>
      <c r="K26" s="1711" t="s">
        <v>1008</v>
      </c>
      <c r="L26" s="1711" t="s">
        <v>1009</v>
      </c>
      <c r="M26" s="1711" t="s">
        <v>1010</v>
      </c>
      <c r="N26" s="1712" t="s">
        <v>1069</v>
      </c>
      <c r="O26" s="1763" t="s">
        <v>1012</v>
      </c>
      <c r="P26" s="1711" t="s">
        <v>1008</v>
      </c>
      <c r="Q26" s="1711" t="s">
        <v>1009</v>
      </c>
      <c r="R26" s="1711" t="s">
        <v>1010</v>
      </c>
      <c r="S26" s="1712" t="s">
        <v>1069</v>
      </c>
      <c r="T26" s="1763" t="s">
        <v>1071</v>
      </c>
      <c r="U26" s="1711" t="s">
        <v>1008</v>
      </c>
      <c r="V26" s="1711" t="s">
        <v>1009</v>
      </c>
      <c r="W26" s="1711" t="s">
        <v>1010</v>
      </c>
      <c r="X26" s="1712" t="s">
        <v>1069</v>
      </c>
      <c r="Y26" s="680" t="s">
        <v>1071</v>
      </c>
      <c r="Z26" s="1711" t="s">
        <v>1008</v>
      </c>
      <c r="AA26" s="1711" t="s">
        <v>1009</v>
      </c>
      <c r="AB26" s="1711" t="s">
        <v>1010</v>
      </c>
      <c r="AC26" s="1712" t="s">
        <v>1069</v>
      </c>
      <c r="AD26" s="1763" t="s">
        <v>1071</v>
      </c>
      <c r="AE26" s="1038" t="s">
        <v>1008</v>
      </c>
      <c r="AF26" s="1711" t="s">
        <v>1009</v>
      </c>
      <c r="AG26" s="1711" t="s">
        <v>1010</v>
      </c>
      <c r="AH26" s="1712" t="s">
        <v>1069</v>
      </c>
      <c r="AI26" s="1763" t="s">
        <v>1071</v>
      </c>
      <c r="AJ26" s="2092" t="s">
        <v>1008</v>
      </c>
      <c r="AK26" s="2093" t="s">
        <v>1009</v>
      </c>
      <c r="AL26" s="2093" t="s">
        <v>1010</v>
      </c>
      <c r="AM26" s="1820" t="s">
        <v>1069</v>
      </c>
      <c r="AN26" s="1821" t="s">
        <v>1071</v>
      </c>
      <c r="AO26" s="2092" t="s">
        <v>1008</v>
      </c>
      <c r="AP26" s="2093" t="s">
        <v>1009</v>
      </c>
      <c r="AQ26" s="2093" t="s">
        <v>1010</v>
      </c>
      <c r="AR26" s="1820" t="s">
        <v>1069</v>
      </c>
      <c r="AS26" s="1821" t="s">
        <v>1071</v>
      </c>
    </row>
    <row r="27" spans="1:45" ht="12.75" customHeight="1" x14ac:dyDescent="0.25">
      <c r="A27" s="2168"/>
      <c r="B27" s="2157" t="s">
        <v>1466</v>
      </c>
      <c r="C27" s="2157"/>
      <c r="D27" s="2157"/>
      <c r="E27" s="2158"/>
      <c r="F27" s="2157" t="s">
        <v>1467</v>
      </c>
      <c r="G27" s="2157"/>
      <c r="H27" s="2157"/>
      <c r="I27" s="2157"/>
      <c r="J27" s="2158"/>
      <c r="K27" s="2138" t="s">
        <v>1454</v>
      </c>
      <c r="L27" s="2139"/>
      <c r="M27" s="2139"/>
      <c r="N27" s="2139"/>
      <c r="O27" s="2153"/>
      <c r="P27" s="2139" t="s">
        <v>1455</v>
      </c>
      <c r="Q27" s="2139"/>
      <c r="R27" s="2139"/>
      <c r="S27" s="2139"/>
      <c r="T27" s="2153"/>
      <c r="U27" s="2138" t="s">
        <v>1456</v>
      </c>
      <c r="V27" s="2139"/>
      <c r="W27" s="2139"/>
      <c r="X27" s="2139"/>
      <c r="Y27" s="2153"/>
      <c r="Z27" s="2139" t="str">
        <f>+Z5</f>
        <v>Summer 2013</v>
      </c>
      <c r="AA27" s="2139"/>
      <c r="AB27" s="2139"/>
      <c r="AC27" s="2139"/>
      <c r="AD27" s="2153"/>
      <c r="AE27" s="2160" t="s">
        <v>1716</v>
      </c>
      <c r="AF27" s="2157"/>
      <c r="AG27" s="2157"/>
      <c r="AH27" s="2157"/>
      <c r="AI27" s="2158"/>
      <c r="AJ27" s="2138" t="s">
        <v>1717</v>
      </c>
      <c r="AK27" s="2139"/>
      <c r="AL27" s="2139"/>
      <c r="AM27" s="2139"/>
      <c r="AN27" s="2140"/>
      <c r="AO27" s="2138" t="s">
        <v>1717</v>
      </c>
      <c r="AP27" s="2139"/>
      <c r="AQ27" s="2139"/>
      <c r="AR27" s="2139"/>
      <c r="AS27" s="2140"/>
    </row>
    <row r="28" spans="1:45" x14ac:dyDescent="0.25">
      <c r="A28" s="485" t="s">
        <v>434</v>
      </c>
      <c r="B28" s="1764"/>
      <c r="C28" s="1764"/>
      <c r="D28" s="1764"/>
      <c r="E28" s="1002"/>
      <c r="F28" s="1764"/>
      <c r="G28" s="1764"/>
      <c r="H28" s="1764"/>
      <c r="I28" s="1764"/>
      <c r="J28" s="1002"/>
      <c r="K28" s="1765"/>
      <c r="L28" s="1766"/>
      <c r="M28" s="1766"/>
      <c r="N28" s="1766"/>
      <c r="O28" s="1722"/>
      <c r="P28" s="1765"/>
      <c r="Q28" s="1766"/>
      <c r="R28" s="1766"/>
      <c r="S28" s="1766"/>
      <c r="T28" s="1768"/>
      <c r="U28" s="1765"/>
      <c r="V28" s="1766"/>
      <c r="W28" s="1766"/>
      <c r="X28" s="1766"/>
      <c r="Y28" s="1719"/>
      <c r="Z28" s="1765"/>
      <c r="AA28" s="1766"/>
      <c r="AB28" s="1766"/>
      <c r="AC28" s="1766"/>
      <c r="AD28" s="1719"/>
      <c r="AE28" s="1815"/>
      <c r="AF28" s="1766"/>
      <c r="AG28" s="1766"/>
      <c r="AH28" s="1766"/>
      <c r="AI28" s="1719"/>
      <c r="AJ28" s="1815"/>
      <c r="AK28" s="1766"/>
      <c r="AL28" s="1766"/>
      <c r="AM28" s="1766"/>
      <c r="AN28" s="1719"/>
      <c r="AO28" s="1815"/>
      <c r="AP28" s="1766"/>
      <c r="AQ28" s="1766"/>
      <c r="AR28" s="1766"/>
      <c r="AS28" s="1719"/>
    </row>
    <row r="29" spans="1:45" x14ac:dyDescent="0.25">
      <c r="A29" s="478" t="s">
        <v>1025</v>
      </c>
      <c r="B29" s="1769">
        <f>+'NEW Summer CHP by DISC '!B29/15</f>
        <v>0.4</v>
      </c>
      <c r="C29" s="1769">
        <f>+'NEW Summer CHP by DISC '!C29/15</f>
        <v>1.8666666666666667</v>
      </c>
      <c r="D29" s="1769">
        <f>+'NEW Summer CHP by DISC '!D29/12</f>
        <v>0</v>
      </c>
      <c r="E29" s="1723">
        <f>SUM(B29:D29)</f>
        <v>2.2666666666666666</v>
      </c>
      <c r="F29" s="1769">
        <f>+'NEW Summer CHP by DISC '!F29/15</f>
        <v>0.6</v>
      </c>
      <c r="G29" s="1769">
        <f>+'NEW Summer CHP by DISC '!G29/15</f>
        <v>0.2</v>
      </c>
      <c r="H29" s="1769">
        <f>+'NEW Summer CHP by DISC '!H29/12</f>
        <v>0</v>
      </c>
      <c r="I29" s="1769">
        <f>SUM(F29:H29)</f>
        <v>0.8</v>
      </c>
      <c r="J29" s="491">
        <f t="shared" ref="J29:J34" si="30">IF(E29&gt;0,(I29-E29)/E29,(IF(I29=0,"N/A",100%)))</f>
        <v>-0.64705882352941169</v>
      </c>
      <c r="K29" s="1769">
        <f>+'NEW Summer CHP by DISC '!K29/15</f>
        <v>1</v>
      </c>
      <c r="L29" s="1769">
        <f>+'NEW Summer CHP by DISC '!L29/15</f>
        <v>0</v>
      </c>
      <c r="M29" s="1769">
        <f>+'NEW Summer CHP by DISC '!M29/12</f>
        <v>0</v>
      </c>
      <c r="N29" s="1771">
        <f>SUM(K29:M29)</f>
        <v>1</v>
      </c>
      <c r="O29" s="1679">
        <f t="shared" ref="O29:O34" si="31">IF(I29&gt;0,(N29-I29)/I29,(IF(N29=0,"N/A",100%)))</f>
        <v>0.24999999999999994</v>
      </c>
      <c r="P29" s="1769">
        <f>+'NEW Summer CHP by DISC '!P29/15</f>
        <v>0</v>
      </c>
      <c r="Q29" s="1769">
        <f>+'NEW Summer CHP by DISC '!Q29/15</f>
        <v>0</v>
      </c>
      <c r="R29" s="1769">
        <f>+'NEW Summer CHP by DISC '!R29/12</f>
        <v>0</v>
      </c>
      <c r="S29" s="1769">
        <f>SUM(P29:R29)</f>
        <v>0</v>
      </c>
      <c r="T29" s="491">
        <f t="shared" ref="T29:T34" si="32">IF(N29&gt;0,(S29-N29)/N29,(IF(S29=0,"N/A",100%)))</f>
        <v>-1</v>
      </c>
      <c r="U29" s="1769">
        <f>+'NEW Summer CHP by DISC '!U29/15</f>
        <v>1</v>
      </c>
      <c r="V29" s="1769">
        <f>+'NEW Summer CHP by DISC '!V29/15</f>
        <v>0</v>
      </c>
      <c r="W29" s="1769">
        <f>+'NEW Summer CHP by DISC '!W29/12</f>
        <v>0</v>
      </c>
      <c r="X29" s="1769">
        <f>SUM(U29:W29)</f>
        <v>1</v>
      </c>
      <c r="Y29" s="505">
        <f t="shared" ref="Y29:Y34" si="33">IF(S29&gt;0,(X29-S29)/S29,(IF(X29=0,"N/A",100%)))</f>
        <v>1</v>
      </c>
      <c r="Z29" s="1769">
        <f>+'NEW Summer CHP by DISC '!Z29/15</f>
        <v>0</v>
      </c>
      <c r="AA29" s="1769">
        <f>+'NEW Summer CHP by DISC '!AA29/15</f>
        <v>1</v>
      </c>
      <c r="AB29" s="1769">
        <f>+'NEW Summer CHP by DISC '!AB29/12</f>
        <v>0</v>
      </c>
      <c r="AC29" s="1769">
        <f>SUM(Z29:AB29)</f>
        <v>1</v>
      </c>
      <c r="AD29" s="505">
        <f t="shared" ref="AD29:AD34" si="34">IF(X29&gt;0,(AC29-X29)/X29,(IF(AC29=0,"N/A",100%)))</f>
        <v>0</v>
      </c>
      <c r="AE29" s="1788">
        <f>+'NEW Summer CHP by DISC '!AE29/15</f>
        <v>1.8</v>
      </c>
      <c r="AF29" s="1769">
        <f>+'NEW Summer CHP by DISC '!AF29/15</f>
        <v>0</v>
      </c>
      <c r="AG29" s="1769">
        <f>+'NEW Summer CHP by DISC '!AG29/12</f>
        <v>0</v>
      </c>
      <c r="AH29" s="1769">
        <f>SUM(AE29:AG29)</f>
        <v>1.8</v>
      </c>
      <c r="AI29" s="505">
        <f t="shared" ref="AI29:AI34" si="35">IF(AC29&gt;0,(AH29-AC29)/AC29,(IF(AH29=0,"N/A",100%)))</f>
        <v>0.8</v>
      </c>
      <c r="AJ29" s="1788">
        <f>+'NEW Summer CHP by DISC '!AJ29/15</f>
        <v>0.2</v>
      </c>
      <c r="AK29" s="1769">
        <f>+'NEW Summer CHP by DISC '!AK29/15</f>
        <v>0</v>
      </c>
      <c r="AL29" s="1769">
        <f>+'NEW Summer CHP by DISC '!AL29/12</f>
        <v>0</v>
      </c>
      <c r="AM29" s="1769">
        <f>SUM(AJ29:AL29)</f>
        <v>0.2</v>
      </c>
      <c r="AN29" s="505">
        <f t="shared" ref="AN29:AN34" si="36">IF(AH29&gt;0,(AM29-AH29)/AH29,(IF(AM29=0,"N/A",100%)))</f>
        <v>-0.88888888888888895</v>
      </c>
      <c r="AO29" s="1788">
        <f>+'NEW Summer CHP by DISC '!AO29/15</f>
        <v>0</v>
      </c>
      <c r="AP29" s="1769">
        <f>+'NEW Summer CHP by DISC '!AP29/15</f>
        <v>0</v>
      </c>
      <c r="AQ29" s="1769">
        <f>+'NEW Summer CHP by DISC '!AQ29/12</f>
        <v>0</v>
      </c>
      <c r="AR29" s="1769">
        <f>SUM(AO29:AQ29)</f>
        <v>0</v>
      </c>
      <c r="AS29" s="505">
        <f t="shared" ref="AS29:AS34" si="37">IF(AM29&gt;0,(AR29-AM29)/AM29,(IF(AR29=0,"N/A",100%)))</f>
        <v>-1</v>
      </c>
    </row>
    <row r="30" spans="1:45" x14ac:dyDescent="0.25">
      <c r="A30" s="478" t="s">
        <v>1026</v>
      </c>
      <c r="B30" s="1769">
        <f>+'NEW Summer CHP by DISC '!B30/15</f>
        <v>4.4000000000000004</v>
      </c>
      <c r="C30" s="1769">
        <f>+'NEW Summer CHP by DISC '!C30/15</f>
        <v>12.2</v>
      </c>
      <c r="D30" s="1769">
        <f>+'NEW Summer CHP by DISC '!D30/12</f>
        <v>22.25</v>
      </c>
      <c r="E30" s="1770">
        <f>SUM(B30:D30)</f>
        <v>38.85</v>
      </c>
      <c r="F30" s="1769">
        <f>+'NEW Summer CHP by DISC '!F30/15</f>
        <v>3.4</v>
      </c>
      <c r="G30" s="1769">
        <f>+'NEW Summer CHP by DISC '!G30/15</f>
        <v>8.6</v>
      </c>
      <c r="H30" s="1769">
        <f>+'NEW Summer CHP by DISC '!H30/12</f>
        <v>22.75</v>
      </c>
      <c r="I30" s="1769">
        <f>SUM(F30:H30)</f>
        <v>34.75</v>
      </c>
      <c r="J30" s="505">
        <f t="shared" si="30"/>
        <v>-0.10553410553410557</v>
      </c>
      <c r="K30" s="1769">
        <f>+'NEW Summer CHP by DISC '!K30/15</f>
        <v>5.2</v>
      </c>
      <c r="L30" s="1769">
        <f>+'NEW Summer CHP by DISC '!L30/15</f>
        <v>8.8000000000000007</v>
      </c>
      <c r="M30" s="1769">
        <f>+'NEW Summer CHP by DISC '!M30/12</f>
        <v>34.75</v>
      </c>
      <c r="N30" s="1771">
        <f>SUM(K30:M30)</f>
        <v>48.75</v>
      </c>
      <c r="O30" s="1679">
        <f t="shared" si="31"/>
        <v>0.40287769784172661</v>
      </c>
      <c r="P30" s="1769">
        <f>+'NEW Summer CHP by DISC '!P30/15</f>
        <v>6.6</v>
      </c>
      <c r="Q30" s="1769">
        <f>+'NEW Summer CHP by DISC '!Q30/15</f>
        <v>9.8000000000000007</v>
      </c>
      <c r="R30" s="1769">
        <f>+'NEW Summer CHP by DISC '!R30/12</f>
        <v>24.75</v>
      </c>
      <c r="S30" s="1769">
        <f>SUM(P30:R30)</f>
        <v>41.15</v>
      </c>
      <c r="T30" s="505">
        <f t="shared" si="32"/>
        <v>-0.15589743589743593</v>
      </c>
      <c r="U30" s="1769">
        <f>+'NEW Summer CHP by DISC '!U30/15</f>
        <v>6.6</v>
      </c>
      <c r="V30" s="1769">
        <f>+'NEW Summer CHP by DISC '!V30/15</f>
        <v>15</v>
      </c>
      <c r="W30" s="1769">
        <f>+'NEW Summer CHP by DISC '!W30/12</f>
        <v>33.25</v>
      </c>
      <c r="X30" s="1769">
        <f>SUM(U30:W30)</f>
        <v>54.85</v>
      </c>
      <c r="Y30" s="505">
        <f t="shared" si="33"/>
        <v>0.33292831105710824</v>
      </c>
      <c r="Z30" s="1769">
        <f>+'NEW Summer CHP by DISC '!Z30/15</f>
        <v>0</v>
      </c>
      <c r="AA30" s="1769">
        <f>+'NEW Summer CHP by DISC '!AA30/15</f>
        <v>14.866666666666667</v>
      </c>
      <c r="AB30" s="1769">
        <f>+'NEW Summer CHP by DISC '!AB30/12</f>
        <v>30.75</v>
      </c>
      <c r="AC30" s="1769">
        <f>SUM(Z30:AB30)</f>
        <v>45.616666666666667</v>
      </c>
      <c r="AD30" s="505">
        <f t="shared" si="34"/>
        <v>-0.16833789121847464</v>
      </c>
      <c r="AE30" s="1788">
        <f>+'NEW Summer CHP by DISC '!AE30/15</f>
        <v>3.4</v>
      </c>
      <c r="AF30" s="1769">
        <f>+'NEW Summer CHP by DISC '!AF30/15</f>
        <v>8.1999999999999993</v>
      </c>
      <c r="AG30" s="1769">
        <f>+'NEW Summer CHP by DISC '!AG30/12</f>
        <v>21.75</v>
      </c>
      <c r="AH30" s="1769">
        <f>SUM(AE30:AG30)</f>
        <v>33.35</v>
      </c>
      <c r="AI30" s="505">
        <f t="shared" si="35"/>
        <v>-0.26890756302521007</v>
      </c>
      <c r="AJ30" s="1788">
        <f>+'NEW Summer CHP by DISC '!AJ30/15</f>
        <v>4.2</v>
      </c>
      <c r="AK30" s="1769">
        <f>+'NEW Summer CHP by DISC '!AK30/15</f>
        <v>8.0666666666666664</v>
      </c>
      <c r="AL30" s="1769">
        <f>+'NEW Summer CHP by DISC '!AL30/12</f>
        <v>18.25</v>
      </c>
      <c r="AM30" s="1769">
        <f>SUM(AJ30:AL30)</f>
        <v>30.516666666666666</v>
      </c>
      <c r="AN30" s="505">
        <f t="shared" si="36"/>
        <v>-8.4957521239380371E-2</v>
      </c>
      <c r="AO30" s="1788">
        <f>+'NEW Summer CHP by DISC '!AO30/15</f>
        <v>3.2</v>
      </c>
      <c r="AP30" s="1769">
        <f>+'NEW Summer CHP by DISC '!AP30/15</f>
        <v>3.8</v>
      </c>
      <c r="AQ30" s="1769">
        <f>+'NEW Summer CHP by DISC '!AQ30/12</f>
        <v>16</v>
      </c>
      <c r="AR30" s="1769">
        <f>SUM(AO30:AQ30)</f>
        <v>23</v>
      </c>
      <c r="AS30" s="505">
        <f t="shared" si="37"/>
        <v>-0.24631348989623156</v>
      </c>
    </row>
    <row r="31" spans="1:45" x14ac:dyDescent="0.25">
      <c r="A31" s="478" t="s">
        <v>1027</v>
      </c>
      <c r="B31" s="1769">
        <f>+'NEW Summer CHP by DISC '!B31/15</f>
        <v>0</v>
      </c>
      <c r="C31" s="1769">
        <f>+'NEW Summer CHP by DISC '!C31/15</f>
        <v>0</v>
      </c>
      <c r="D31" s="1769">
        <f>+'NEW Summer CHP by DISC '!D31/12</f>
        <v>0</v>
      </c>
      <c r="E31" s="1770">
        <f>SUM(B31:D31)</f>
        <v>0</v>
      </c>
      <c r="F31" s="1769">
        <f>+'NEW Summer CHP by DISC '!F31/15</f>
        <v>0</v>
      </c>
      <c r="G31" s="1769">
        <f>+'NEW Summer CHP by DISC '!G31/15</f>
        <v>0</v>
      </c>
      <c r="H31" s="1769">
        <f>+'NEW Summer CHP by DISC '!H31/12</f>
        <v>0</v>
      </c>
      <c r="I31" s="1769">
        <f>SUM(F31:H31)</f>
        <v>0</v>
      </c>
      <c r="J31" s="505" t="str">
        <f t="shared" si="30"/>
        <v>N/A</v>
      </c>
      <c r="K31" s="1769">
        <f>+'NEW Summer CHP by DISC '!K31/15</f>
        <v>0</v>
      </c>
      <c r="L31" s="1769">
        <f>+'NEW Summer CHP by DISC '!L31/15</f>
        <v>0</v>
      </c>
      <c r="M31" s="1769">
        <f>+'NEW Summer CHP by DISC '!M31/12</f>
        <v>2.75</v>
      </c>
      <c r="N31" s="1771">
        <f>SUM(K31:M31)</f>
        <v>2.75</v>
      </c>
      <c r="O31" s="1679">
        <f t="shared" si="31"/>
        <v>1</v>
      </c>
      <c r="P31" s="1769">
        <f>+'NEW Summer CHP by DISC '!P31/15</f>
        <v>0</v>
      </c>
      <c r="Q31" s="1769">
        <f>+'NEW Summer CHP by DISC '!Q31/15</f>
        <v>0</v>
      </c>
      <c r="R31" s="1769">
        <f>+'NEW Summer CHP by DISC '!R31/12</f>
        <v>0</v>
      </c>
      <c r="S31" s="1769">
        <f>SUM(P31:R31)</f>
        <v>0</v>
      </c>
      <c r="T31" s="505">
        <f t="shared" si="32"/>
        <v>-1</v>
      </c>
      <c r="U31" s="1769">
        <f>+'NEW Summer CHP by DISC '!U31/15</f>
        <v>0</v>
      </c>
      <c r="V31" s="1769">
        <f>+'NEW Summer CHP by DISC '!V31/15</f>
        <v>0</v>
      </c>
      <c r="W31" s="1769">
        <f>+'NEW Summer CHP by DISC '!W31/12</f>
        <v>0</v>
      </c>
      <c r="X31" s="1769">
        <f>SUM(U31:W31)</f>
        <v>0</v>
      </c>
      <c r="Y31" s="505" t="str">
        <f t="shared" si="33"/>
        <v>N/A</v>
      </c>
      <c r="Z31" s="1769">
        <f>+'NEW Summer CHP by DISC '!Z31/15</f>
        <v>0</v>
      </c>
      <c r="AA31" s="1769">
        <f>+'NEW Summer CHP by DISC '!AA31/15</f>
        <v>0</v>
      </c>
      <c r="AB31" s="1769">
        <f>+'NEW Summer CHP by DISC '!AB31/12</f>
        <v>0</v>
      </c>
      <c r="AC31" s="1769">
        <f>SUM(Z31:AB31)</f>
        <v>0</v>
      </c>
      <c r="AD31" s="505" t="str">
        <f t="shared" si="34"/>
        <v>N/A</v>
      </c>
      <c r="AE31" s="1788">
        <f>+'NEW Summer CHP by DISC '!AE31/15</f>
        <v>0</v>
      </c>
      <c r="AF31" s="1769">
        <f>+'NEW Summer CHP by DISC '!AF31/15</f>
        <v>0</v>
      </c>
      <c r="AG31" s="1769">
        <f>+'NEW Summer CHP by DISC '!AG31/12</f>
        <v>0</v>
      </c>
      <c r="AH31" s="1769">
        <f>SUM(AE31:AG31)</f>
        <v>0</v>
      </c>
      <c r="AI31" s="505" t="str">
        <f t="shared" si="35"/>
        <v>N/A</v>
      </c>
      <c r="AJ31" s="1788">
        <f>+'NEW Summer CHP by DISC '!AJ31/15</f>
        <v>0</v>
      </c>
      <c r="AK31" s="1769">
        <f>+'NEW Summer CHP by DISC '!AK31/15</f>
        <v>0</v>
      </c>
      <c r="AL31" s="1769">
        <f>+'NEW Summer CHP by DISC '!AL31/12</f>
        <v>0</v>
      </c>
      <c r="AM31" s="1769">
        <f>SUM(AJ31:AL31)</f>
        <v>0</v>
      </c>
      <c r="AN31" s="505" t="str">
        <f t="shared" si="36"/>
        <v>N/A</v>
      </c>
      <c r="AO31" s="1788">
        <f>+'NEW Summer CHP by DISC '!AO31/15</f>
        <v>0</v>
      </c>
      <c r="AP31" s="1769">
        <f>+'NEW Summer CHP by DISC '!AP31/15</f>
        <v>0</v>
      </c>
      <c r="AQ31" s="1769">
        <f>+'NEW Summer CHP by DISC '!AQ31/12</f>
        <v>0</v>
      </c>
      <c r="AR31" s="1769">
        <f>SUM(AO31:AQ31)</f>
        <v>0</v>
      </c>
      <c r="AS31" s="505" t="str">
        <f t="shared" si="37"/>
        <v>N/A</v>
      </c>
    </row>
    <row r="32" spans="1:45" x14ac:dyDescent="0.25">
      <c r="A32" s="478" t="s">
        <v>1149</v>
      </c>
      <c r="B32" s="1769">
        <f>+'NEW Summer CHP by DISC '!B32/15</f>
        <v>0</v>
      </c>
      <c r="C32" s="1769">
        <f>+'NEW Summer CHP by DISC '!C32/15</f>
        <v>1</v>
      </c>
      <c r="D32" s="1769">
        <f>+'NEW Summer CHP by DISC '!D32/12</f>
        <v>35</v>
      </c>
      <c r="E32" s="1770">
        <f>SUM(B32:D32)</f>
        <v>36</v>
      </c>
      <c r="F32" s="1769">
        <f>+'NEW Summer CHP by DISC '!F32/15</f>
        <v>0</v>
      </c>
      <c r="G32" s="1769">
        <f>+'NEW Summer CHP by DISC '!G32/15</f>
        <v>3.6</v>
      </c>
      <c r="H32" s="1769">
        <f>+'NEW Summer CHP by DISC '!H32/12</f>
        <v>26.75</v>
      </c>
      <c r="I32" s="1769">
        <f>SUM(F32:H32)</f>
        <v>30.35</v>
      </c>
      <c r="J32" s="505">
        <f t="shared" si="30"/>
        <v>-0.15694444444444441</v>
      </c>
      <c r="K32" s="1769">
        <f>+'NEW Summer CHP by DISC '!K32/15</f>
        <v>0</v>
      </c>
      <c r="L32" s="1769">
        <f>+'NEW Summer CHP by DISC '!L32/15</f>
        <v>0.8</v>
      </c>
      <c r="M32" s="1769">
        <f>+'NEW Summer CHP by DISC '!M32/12</f>
        <v>41.25</v>
      </c>
      <c r="N32" s="1771">
        <f>SUM(K32:M32)</f>
        <v>42.05</v>
      </c>
      <c r="O32" s="1679">
        <f t="shared" si="31"/>
        <v>0.38550247116968683</v>
      </c>
      <c r="P32" s="1769">
        <f>+'NEW Summer CHP by DISC '!P32/15</f>
        <v>0</v>
      </c>
      <c r="Q32" s="1769">
        <f>+'NEW Summer CHP by DISC '!Q32/15</f>
        <v>0</v>
      </c>
      <c r="R32" s="1769">
        <f>+'NEW Summer CHP by DISC '!R32/12</f>
        <v>36.25</v>
      </c>
      <c r="S32" s="1769">
        <f>SUM(P32:R32)</f>
        <v>36.25</v>
      </c>
      <c r="T32" s="505">
        <f t="shared" si="32"/>
        <v>-0.13793103448275856</v>
      </c>
      <c r="U32" s="1769">
        <f>+'NEW Summer CHP by DISC '!U32/15</f>
        <v>0</v>
      </c>
      <c r="V32" s="1769">
        <f>+'NEW Summer CHP by DISC '!V32/15</f>
        <v>2.4</v>
      </c>
      <c r="W32" s="1769">
        <f>+'NEW Summer CHP by DISC '!W32/12</f>
        <v>35.25</v>
      </c>
      <c r="X32" s="1769">
        <f>SUM(U32:W32)</f>
        <v>37.65</v>
      </c>
      <c r="Y32" s="505">
        <f t="shared" si="33"/>
        <v>3.8620689655172374E-2</v>
      </c>
      <c r="Z32" s="1769">
        <f>+'NEW Summer CHP by DISC '!Z32/15</f>
        <v>0</v>
      </c>
      <c r="AA32" s="1769">
        <f>+'NEW Summer CHP by DISC '!AA32/15</f>
        <v>2</v>
      </c>
      <c r="AB32" s="1769">
        <f>+'NEW Summer CHP by DISC '!AB32/12</f>
        <v>26.25</v>
      </c>
      <c r="AC32" s="1769">
        <f>SUM(Z32:AB32)</f>
        <v>28.25</v>
      </c>
      <c r="AD32" s="505">
        <f t="shared" si="34"/>
        <v>-0.24966799468791498</v>
      </c>
      <c r="AE32" s="1788">
        <f>+'NEW Summer CHP by DISC '!AE32/15</f>
        <v>0</v>
      </c>
      <c r="AF32" s="1769">
        <f>+'NEW Summer CHP by DISC '!AF32/15</f>
        <v>2.6</v>
      </c>
      <c r="AG32" s="1769">
        <f>+'NEW Summer CHP by DISC '!AG32/12</f>
        <v>23.75</v>
      </c>
      <c r="AH32" s="1769">
        <f>SUM(AE32:AG32)</f>
        <v>26.35</v>
      </c>
      <c r="AI32" s="505">
        <f t="shared" si="35"/>
        <v>-6.7256637168141536E-2</v>
      </c>
      <c r="AJ32" s="1788">
        <f>+'NEW Summer CHP by DISC '!AJ32/15</f>
        <v>0</v>
      </c>
      <c r="AK32" s="1769">
        <f>+'NEW Summer CHP by DISC '!AK32/15</f>
        <v>2.4</v>
      </c>
      <c r="AL32" s="1769">
        <f>+'NEW Summer CHP by DISC '!AL32/12</f>
        <v>15.75</v>
      </c>
      <c r="AM32" s="1769">
        <f>SUM(AJ32:AL32)</f>
        <v>18.149999999999999</v>
      </c>
      <c r="AN32" s="505">
        <f t="shared" si="36"/>
        <v>-0.31119544592030368</v>
      </c>
      <c r="AO32" s="1788">
        <f>+'NEW Summer CHP by DISC '!AO32/15</f>
        <v>0</v>
      </c>
      <c r="AP32" s="1769">
        <f>+'NEW Summer CHP by DISC '!AP32/15</f>
        <v>3.2</v>
      </c>
      <c r="AQ32" s="1769">
        <f>+'NEW Summer CHP by DISC '!AQ32/12</f>
        <v>15.5</v>
      </c>
      <c r="AR32" s="1769">
        <f>SUM(AO32:AQ32)</f>
        <v>18.7</v>
      </c>
      <c r="AS32" s="505">
        <f t="shared" si="37"/>
        <v>3.0303030303030346E-2</v>
      </c>
    </row>
    <row r="33" spans="1:246" x14ac:dyDescent="0.25">
      <c r="A33" s="478" t="s">
        <v>1028</v>
      </c>
      <c r="B33" s="1769">
        <f>+'NEW Summer CHP by DISC '!B33/15</f>
        <v>2.4</v>
      </c>
      <c r="C33" s="1769">
        <f>+'NEW Summer CHP by DISC '!C33/15</f>
        <v>3.2</v>
      </c>
      <c r="D33" s="1769">
        <f>+'NEW Summer CHP by DISC '!D33/12</f>
        <v>0</v>
      </c>
      <c r="E33" s="1770">
        <f>SUM(B33:D33)</f>
        <v>5.6</v>
      </c>
      <c r="F33" s="1769">
        <f>+'NEW Summer CHP by DISC '!F33/15</f>
        <v>2.6</v>
      </c>
      <c r="G33" s="1769">
        <f>+'NEW Summer CHP by DISC '!G33/15</f>
        <v>0</v>
      </c>
      <c r="H33" s="1769">
        <f>+'NEW Summer CHP by DISC '!H33/12</f>
        <v>0</v>
      </c>
      <c r="I33" s="1769">
        <f>SUM(F33:H33)</f>
        <v>2.6</v>
      </c>
      <c r="J33" s="505">
        <f t="shared" si="30"/>
        <v>-0.5357142857142857</v>
      </c>
      <c r="K33" s="1769">
        <f>+'NEW Summer CHP by DISC '!K33/15</f>
        <v>2.8</v>
      </c>
      <c r="L33" s="1769">
        <f>+'NEW Summer CHP by DISC '!L33/15</f>
        <v>2.2000000000000002</v>
      </c>
      <c r="M33" s="1769">
        <f>+'NEW Summer CHP by DISC '!M33/12</f>
        <v>0</v>
      </c>
      <c r="N33" s="1771">
        <f>SUM(K33:M33)</f>
        <v>5</v>
      </c>
      <c r="O33" s="1679">
        <f t="shared" si="31"/>
        <v>0.92307692307692302</v>
      </c>
      <c r="P33" s="1769">
        <f>+'NEW Summer CHP by DISC '!P33/15</f>
        <v>3.4</v>
      </c>
      <c r="Q33" s="1769">
        <f>+'NEW Summer CHP by DISC '!Q33/15</f>
        <v>0.2</v>
      </c>
      <c r="R33" s="1769">
        <f>+'NEW Summer CHP by DISC '!R33/12</f>
        <v>0</v>
      </c>
      <c r="S33" s="1769">
        <f>SUM(P33:R33)</f>
        <v>3.6</v>
      </c>
      <c r="T33" s="505">
        <f t="shared" si="32"/>
        <v>-0.27999999999999997</v>
      </c>
      <c r="U33" s="1769">
        <f>+'NEW Summer CHP by DISC '!U33/15</f>
        <v>1.2</v>
      </c>
      <c r="V33" s="1769">
        <f>+'NEW Summer CHP by DISC '!V33/15</f>
        <v>1.8</v>
      </c>
      <c r="W33" s="1769">
        <f>+'NEW Summer CHP by DISC '!W33/12</f>
        <v>0</v>
      </c>
      <c r="X33" s="1769">
        <f>SUM(U33:W33)</f>
        <v>3</v>
      </c>
      <c r="Y33" s="505">
        <f t="shared" si="33"/>
        <v>-0.16666666666666669</v>
      </c>
      <c r="Z33" s="1769">
        <f>+'NEW Summer CHP by DISC '!Z33/15</f>
        <v>0</v>
      </c>
      <c r="AA33" s="1769">
        <f>+'NEW Summer CHP by DISC '!AA33/15</f>
        <v>2.6</v>
      </c>
      <c r="AB33" s="1769">
        <f>+'NEW Summer CHP by DISC '!AB33/12</f>
        <v>0</v>
      </c>
      <c r="AC33" s="1769">
        <f>SUM(Z33:AB33)</f>
        <v>2.6</v>
      </c>
      <c r="AD33" s="505">
        <f t="shared" si="34"/>
        <v>-0.1333333333333333</v>
      </c>
      <c r="AE33" s="1788">
        <f>+'NEW Summer CHP by DISC '!AE33/15</f>
        <v>2.4</v>
      </c>
      <c r="AF33" s="1769">
        <f>+'NEW Summer CHP by DISC '!AF33/15</f>
        <v>0.6</v>
      </c>
      <c r="AG33" s="1769">
        <f>+'NEW Summer CHP by DISC '!AG33/12</f>
        <v>0</v>
      </c>
      <c r="AH33" s="1769">
        <f>SUM(AE33:AG33)</f>
        <v>3</v>
      </c>
      <c r="AI33" s="505">
        <f t="shared" si="35"/>
        <v>0.1538461538461538</v>
      </c>
      <c r="AJ33" s="1788">
        <f>+'NEW Summer CHP by DISC '!AJ33/15</f>
        <v>3</v>
      </c>
      <c r="AK33" s="1769">
        <f>+'NEW Summer CHP by DISC '!AK33/15</f>
        <v>1.4</v>
      </c>
      <c r="AL33" s="1769">
        <f>+'NEW Summer CHP by DISC '!AL33/12</f>
        <v>0</v>
      </c>
      <c r="AM33" s="1769">
        <f>SUM(AJ33:AL33)</f>
        <v>4.4000000000000004</v>
      </c>
      <c r="AN33" s="505">
        <f t="shared" si="36"/>
        <v>0.46666666666666679</v>
      </c>
      <c r="AO33" s="1788">
        <f>+'NEW Summer CHP by DISC '!AO33/15</f>
        <v>2.6</v>
      </c>
      <c r="AP33" s="1769">
        <f>+'NEW Summer CHP by DISC '!AP33/15</f>
        <v>3.4</v>
      </c>
      <c r="AQ33" s="1769">
        <f>+'NEW Summer CHP by DISC '!AQ33/12</f>
        <v>0</v>
      </c>
      <c r="AR33" s="1769">
        <f>SUM(AO33:AQ33)</f>
        <v>6</v>
      </c>
      <c r="AS33" s="505">
        <f t="shared" si="37"/>
        <v>0.36363636363636354</v>
      </c>
    </row>
    <row r="34" spans="1:246" s="484" customFormat="1" ht="13.8" x14ac:dyDescent="0.25">
      <c r="A34" s="524" t="s">
        <v>1015</v>
      </c>
      <c r="B34" s="1732">
        <f t="shared" ref="B34:I34" si="38">SUM(B29:B33)</f>
        <v>7.2000000000000011</v>
      </c>
      <c r="C34" s="1259">
        <f t="shared" si="38"/>
        <v>18.266666666666666</v>
      </c>
      <c r="D34" s="1259">
        <f t="shared" si="38"/>
        <v>57.25</v>
      </c>
      <c r="E34" s="495">
        <f t="shared" si="38"/>
        <v>82.716666666666669</v>
      </c>
      <c r="F34" s="1732">
        <f t="shared" si="38"/>
        <v>6.6</v>
      </c>
      <c r="G34" s="1259">
        <f t="shared" si="38"/>
        <v>12.399999999999999</v>
      </c>
      <c r="H34" s="1259">
        <f t="shared" si="38"/>
        <v>49.5</v>
      </c>
      <c r="I34" s="1259">
        <f t="shared" si="38"/>
        <v>68.5</v>
      </c>
      <c r="J34" s="496">
        <f t="shared" si="30"/>
        <v>-0.17187185170259925</v>
      </c>
      <c r="K34" s="1259">
        <f t="shared" ref="K34:S34" si="39">SUM(K29:K33)</f>
        <v>9</v>
      </c>
      <c r="L34" s="1259">
        <f t="shared" si="39"/>
        <v>11.8</v>
      </c>
      <c r="M34" s="1259">
        <f t="shared" si="39"/>
        <v>78.75</v>
      </c>
      <c r="N34" s="1259">
        <f t="shared" si="39"/>
        <v>99.55</v>
      </c>
      <c r="O34" s="1772">
        <f t="shared" si="31"/>
        <v>0.45328467153284668</v>
      </c>
      <c r="P34" s="1732">
        <f t="shared" si="39"/>
        <v>10</v>
      </c>
      <c r="Q34" s="1259">
        <f t="shared" si="39"/>
        <v>10</v>
      </c>
      <c r="R34" s="1259">
        <f t="shared" si="39"/>
        <v>61</v>
      </c>
      <c r="S34" s="1259">
        <f t="shared" si="39"/>
        <v>81</v>
      </c>
      <c r="T34" s="496">
        <f t="shared" si="32"/>
        <v>-0.18633852335509793</v>
      </c>
      <c r="U34" s="1732">
        <f>SUM(U29:U33)</f>
        <v>8.7999999999999989</v>
      </c>
      <c r="V34" s="1259">
        <f>SUM(V29:V33)</f>
        <v>19.2</v>
      </c>
      <c r="W34" s="1259">
        <f>SUM(W29:W33)</f>
        <v>68.5</v>
      </c>
      <c r="X34" s="1259">
        <f>SUM(X29:X33)</f>
        <v>96.5</v>
      </c>
      <c r="Y34" s="496">
        <f t="shared" si="33"/>
        <v>0.19135802469135801</v>
      </c>
      <c r="Z34" s="1732">
        <f>SUM(Z29:Z33)</f>
        <v>0</v>
      </c>
      <c r="AA34" s="1259">
        <f>SUM(AA29:AA33)</f>
        <v>20.466666666666669</v>
      </c>
      <c r="AB34" s="1259">
        <f>SUM(AB29:AB33)</f>
        <v>57</v>
      </c>
      <c r="AC34" s="1259">
        <f>SUM(AC29:AC33)</f>
        <v>77.466666666666669</v>
      </c>
      <c r="AD34" s="496">
        <f t="shared" si="34"/>
        <v>-0.19723661485319516</v>
      </c>
      <c r="AE34" s="1025">
        <f>SUM(AE29:AE33)</f>
        <v>7.6</v>
      </c>
      <c r="AF34" s="1259">
        <f>SUM(AF29:AF33)</f>
        <v>11.399999999999999</v>
      </c>
      <c r="AG34" s="1259">
        <f>SUM(AG29:AG33)</f>
        <v>45.5</v>
      </c>
      <c r="AH34" s="1259">
        <f>SUM(AH29:AH33)</f>
        <v>64.5</v>
      </c>
      <c r="AI34" s="496">
        <f t="shared" si="35"/>
        <v>-0.16738382099827884</v>
      </c>
      <c r="AJ34" s="1025">
        <f>SUM(AJ29:AJ33)</f>
        <v>7.4</v>
      </c>
      <c r="AK34" s="1259">
        <f>SUM(AK29:AK33)</f>
        <v>11.866666666666667</v>
      </c>
      <c r="AL34" s="1259">
        <f>SUM(AL29:AL33)</f>
        <v>34</v>
      </c>
      <c r="AM34" s="1259">
        <f>SUM(AM29:AM33)</f>
        <v>53.266666666666659</v>
      </c>
      <c r="AN34" s="496">
        <f t="shared" si="36"/>
        <v>-0.17416020671834637</v>
      </c>
      <c r="AO34" s="1025">
        <f>SUM(AO29:AO33)</f>
        <v>5.8000000000000007</v>
      </c>
      <c r="AP34" s="1259">
        <f>SUM(AP29:AP33)</f>
        <v>10.4</v>
      </c>
      <c r="AQ34" s="1259">
        <f>SUM(AQ29:AQ33)</f>
        <v>31.5</v>
      </c>
      <c r="AR34" s="1259">
        <f>SUM(AR29:AR33)</f>
        <v>47.7</v>
      </c>
      <c r="AS34" s="496">
        <f t="shared" si="37"/>
        <v>-0.10450563204004987</v>
      </c>
    </row>
    <row r="35" spans="1:246" x14ac:dyDescent="0.25">
      <c r="A35" s="485" t="s">
        <v>435</v>
      </c>
      <c r="B35" s="1717"/>
      <c r="C35" s="1718"/>
      <c r="D35" s="1718"/>
      <c r="E35" s="1719"/>
      <c r="F35" s="1717"/>
      <c r="G35" s="1718"/>
      <c r="H35" s="1718"/>
      <c r="I35" s="1718"/>
      <c r="J35" s="1719"/>
      <c r="K35" s="1773"/>
      <c r="L35" s="1718"/>
      <c r="M35" s="1718"/>
      <c r="N35" s="1718"/>
      <c r="O35" s="1722"/>
      <c r="P35" s="1717"/>
      <c r="Q35" s="1718"/>
      <c r="R35" s="1718"/>
      <c r="S35" s="1718"/>
      <c r="T35" s="1719"/>
      <c r="U35" s="1717"/>
      <c r="V35" s="1718"/>
      <c r="W35" s="1718"/>
      <c r="X35" s="1718"/>
      <c r="Y35" s="1719"/>
      <c r="Z35" s="1717"/>
      <c r="AA35" s="1718"/>
      <c r="AB35" s="1718"/>
      <c r="AC35" s="1718"/>
      <c r="AD35" s="1719"/>
      <c r="AE35" s="1816"/>
      <c r="AF35" s="1718"/>
      <c r="AG35" s="1718"/>
      <c r="AH35" s="1718"/>
      <c r="AI35" s="1719"/>
      <c r="AJ35" s="1816"/>
      <c r="AK35" s="1718"/>
      <c r="AL35" s="1718"/>
      <c r="AM35" s="1718"/>
      <c r="AN35" s="1719"/>
      <c r="AO35" s="1816"/>
      <c r="AP35" s="1718"/>
      <c r="AQ35" s="1718"/>
      <c r="AR35" s="1718"/>
      <c r="AS35" s="1719"/>
    </row>
    <row r="36" spans="1:246" x14ac:dyDescent="0.25">
      <c r="A36" s="506" t="s">
        <v>1059</v>
      </c>
      <c r="B36" s="1769">
        <f>+'NEW Summer CHP by DISC '!B36/15</f>
        <v>6.7333333333333334</v>
      </c>
      <c r="C36" s="1769">
        <f>+'NEW Summer CHP by DISC '!C36/15</f>
        <v>7.7333333333333334</v>
      </c>
      <c r="D36" s="1769">
        <f>+'NEW Summer CHP by DISC '!D36/12</f>
        <v>0</v>
      </c>
      <c r="E36" s="1723">
        <f>SUM(B36:D36)</f>
        <v>14.466666666666667</v>
      </c>
      <c r="F36" s="1769">
        <f>+'NEW Summer CHP by DISC '!F36/15</f>
        <v>7.0666666666666664</v>
      </c>
      <c r="G36" s="1769">
        <f>+'NEW Summer CHP by DISC '!G36/15</f>
        <v>6.8666666666666663</v>
      </c>
      <c r="H36" s="1769">
        <f>+'NEW Summer CHP by DISC '!H36/12</f>
        <v>0</v>
      </c>
      <c r="I36" s="1724">
        <f>SUM(F36:H36)</f>
        <v>13.933333333333334</v>
      </c>
      <c r="J36" s="491">
        <f>IF(E36&gt;0,(I36-E36)/E36,(IF(I36=0,"N/A",100%)))</f>
        <v>-3.6866359447004601E-2</v>
      </c>
      <c r="K36" s="1769">
        <f>+'NEW Summer CHP by DISC '!K36/15</f>
        <v>1.8</v>
      </c>
      <c r="L36" s="1769">
        <f>+'NEW Summer CHP by DISC '!L36/15</f>
        <v>15.133333333333333</v>
      </c>
      <c r="M36" s="1769">
        <f>+'NEW Summer CHP by DISC '!M36/12</f>
        <v>0</v>
      </c>
      <c r="N36" s="1724">
        <f>SUM(K36:M36)</f>
        <v>16.933333333333334</v>
      </c>
      <c r="O36" s="1679">
        <f>IF(I36&gt;0,(N36-I36)/I36,(IF(N36=0,"N/A",100%)))</f>
        <v>0.21531100478468898</v>
      </c>
      <c r="P36" s="1769">
        <f>+'NEW Summer CHP by DISC '!P36/15</f>
        <v>2.9333333333333331</v>
      </c>
      <c r="Q36" s="1769">
        <f>+'NEW Summer CHP by DISC '!Q36/15</f>
        <v>10.533333333333333</v>
      </c>
      <c r="R36" s="1769">
        <f>+'NEW Summer CHP by DISC '!R36/12</f>
        <v>0</v>
      </c>
      <c r="S36" s="1724">
        <f>SUM(P36:R36)</f>
        <v>13.466666666666667</v>
      </c>
      <c r="T36" s="491">
        <f>IF(N36&gt;0,(S36-N36)/N36,(IF(S36=0,"N/A",100%)))</f>
        <v>-0.20472440944881889</v>
      </c>
      <c r="U36" s="1769">
        <f>+'NEW Summer CHP by DISC '!U36/15</f>
        <v>5.4666666666666668</v>
      </c>
      <c r="V36" s="1769">
        <f>+'NEW Summer CHP by DISC '!V36/15</f>
        <v>10.066666666666666</v>
      </c>
      <c r="W36" s="1769">
        <f>+'NEW Summer CHP by DISC '!W36/12</f>
        <v>0.5</v>
      </c>
      <c r="X36" s="1724">
        <f>SUM(U36:W36)</f>
        <v>16.033333333333331</v>
      </c>
      <c r="Y36" s="491">
        <f>IF(S36&gt;0,(X36-S36)/S36,(IF(X36=0,"N/A",100%)))</f>
        <v>0.19059405940594043</v>
      </c>
      <c r="Z36" s="1769">
        <f>+'NEW Summer CHP by DISC '!Z36/15</f>
        <v>0.66666666666666663</v>
      </c>
      <c r="AA36" s="1769">
        <f>+'NEW Summer CHP by DISC '!AA36/15</f>
        <v>15.933333333333334</v>
      </c>
      <c r="AB36" s="1769">
        <f>+'NEW Summer CHP by DISC '!AB36/12</f>
        <v>0.5</v>
      </c>
      <c r="AC36" s="1724">
        <f>SUM(Z36:AB36)</f>
        <v>17.100000000000001</v>
      </c>
      <c r="AD36" s="491">
        <f>IF(X36&gt;0,(AC36-X36)/X36,(IF(AC36=0,"N/A",100%)))</f>
        <v>6.652806652806674E-2</v>
      </c>
      <c r="AE36" s="1788">
        <f>+'NEW Summer CHP by DISC '!AE36/15</f>
        <v>2.9333333333333331</v>
      </c>
      <c r="AF36" s="1769">
        <f>+'NEW Summer CHP by DISC '!AF36/15</f>
        <v>14.333333333333334</v>
      </c>
      <c r="AG36" s="1769">
        <f>+'NEW Summer CHP by DISC '!AG36/12</f>
        <v>1</v>
      </c>
      <c r="AH36" s="1724">
        <f>SUM(AE36:AG36)</f>
        <v>18.266666666666666</v>
      </c>
      <c r="AI36" s="491">
        <f>IF(AC36&gt;0,(AH36-AC36)/AC36,(IF(AH36=0,"N/A",100%)))</f>
        <v>6.8226120857699663E-2</v>
      </c>
      <c r="AJ36" s="1788">
        <f>+'NEW Summer CHP by DISC '!AJ36/15</f>
        <v>2.1333333333333333</v>
      </c>
      <c r="AK36" s="1769">
        <f>+'NEW Summer CHP by DISC '!AK36/15</f>
        <v>17.8</v>
      </c>
      <c r="AL36" s="1769">
        <f>+'NEW Summer CHP by DISC '!AL36/12</f>
        <v>0</v>
      </c>
      <c r="AM36" s="1724">
        <f>SUM(AJ36:AL36)</f>
        <v>19.933333333333334</v>
      </c>
      <c r="AN36" s="491">
        <f>IF(AH36&gt;0,(AM36-AH36)/AH36,(IF(AM36=0,"N/A",100%)))</f>
        <v>9.1240875912408828E-2</v>
      </c>
      <c r="AO36" s="1788">
        <f>+'NEW Summer CHP by DISC '!AO36/15</f>
        <v>0</v>
      </c>
      <c r="AP36" s="1769">
        <f>+'NEW Summer CHP by DISC '!AP36/15</f>
        <v>10.133333333333333</v>
      </c>
      <c r="AQ36" s="1769">
        <f>+'NEW Summer CHP by DISC '!AQ36/12</f>
        <v>0</v>
      </c>
      <c r="AR36" s="1724">
        <f>SUM(AO36:AQ36)</f>
        <v>10.133333333333333</v>
      </c>
      <c r="AS36" s="491">
        <f>IF(AM36&gt;0,(AR36-AM36)/AM36,(IF(AR36=0,"N/A",100%)))</f>
        <v>-0.49163879598662208</v>
      </c>
    </row>
    <row r="37" spans="1:246" x14ac:dyDescent="0.25">
      <c r="A37" s="485" t="s">
        <v>426</v>
      </c>
      <c r="B37" s="1717"/>
      <c r="C37" s="1718"/>
      <c r="D37" s="1718"/>
      <c r="E37" s="1719"/>
      <c r="F37" s="1775"/>
      <c r="G37" s="1718"/>
      <c r="H37" s="1718"/>
      <c r="I37" s="1718"/>
      <c r="J37" s="1719"/>
      <c r="K37" s="1773"/>
      <c r="L37" s="1718"/>
      <c r="M37" s="1718"/>
      <c r="N37" s="1718"/>
      <c r="O37" s="1722"/>
      <c r="P37" s="1717"/>
      <c r="Q37" s="1718"/>
      <c r="R37" s="1718"/>
      <c r="S37" s="1718"/>
      <c r="T37" s="1719"/>
      <c r="U37" s="1773"/>
      <c r="V37" s="1718"/>
      <c r="W37" s="1718"/>
      <c r="X37" s="1718"/>
      <c r="Y37" s="1719"/>
      <c r="Z37" s="1717"/>
      <c r="AA37" s="1718"/>
      <c r="AB37" s="1718"/>
      <c r="AC37" s="1718"/>
      <c r="AD37" s="1719"/>
      <c r="AE37" s="1816"/>
      <c r="AF37" s="1718"/>
      <c r="AG37" s="1718"/>
      <c r="AH37" s="1718"/>
      <c r="AI37" s="1719"/>
      <c r="AJ37" s="1816"/>
      <c r="AK37" s="1718"/>
      <c r="AL37" s="1718"/>
      <c r="AM37" s="1718"/>
      <c r="AN37" s="1719"/>
      <c r="AO37" s="1816"/>
      <c r="AP37" s="1718"/>
      <c r="AQ37" s="1718"/>
      <c r="AR37" s="1718"/>
      <c r="AS37" s="1719"/>
    </row>
    <row r="38" spans="1:246" x14ac:dyDescent="0.25">
      <c r="A38" s="478" t="s">
        <v>1013</v>
      </c>
      <c r="B38" s="1769">
        <f>+'NEW Summer CHP by DISC '!B38/15</f>
        <v>0</v>
      </c>
      <c r="C38" s="1769">
        <f>+'NEW Summer CHP by DISC '!C38/15</f>
        <v>5</v>
      </c>
      <c r="D38" s="1769">
        <f>+'NEW Summer CHP by DISC '!D38/12</f>
        <v>0</v>
      </c>
      <c r="E38" s="1723">
        <f>SUM(B38:D38)</f>
        <v>5</v>
      </c>
      <c r="F38" s="1769">
        <f>+'NEW Summer CHP by DISC '!F38/15</f>
        <v>0</v>
      </c>
      <c r="G38" s="1769">
        <f>+'NEW Summer CHP by DISC '!G38/15</f>
        <v>6.9333333333333336</v>
      </c>
      <c r="H38" s="1769">
        <f>+'NEW Summer CHP by DISC '!H38/12</f>
        <v>0</v>
      </c>
      <c r="I38" s="1724">
        <f>SUM(F38:H38)</f>
        <v>6.9333333333333336</v>
      </c>
      <c r="J38" s="491">
        <f>IF(E38&gt;0,(I38-E38)/E38,(IF(I38=0,"N/A",100%)))</f>
        <v>0.38666666666666671</v>
      </c>
      <c r="K38" s="1769">
        <f>+'NEW Summer CHP by DISC '!K38/15</f>
        <v>1.6</v>
      </c>
      <c r="L38" s="1769">
        <f>+'NEW Summer CHP by DISC '!L38/15</f>
        <v>7.6</v>
      </c>
      <c r="M38" s="1769">
        <f>+'NEW Summer CHP by DISC '!M38/12</f>
        <v>0</v>
      </c>
      <c r="N38" s="1724">
        <f>SUM(K38:M38)</f>
        <v>9.1999999999999993</v>
      </c>
      <c r="O38" s="1679">
        <f>IF(I38&gt;0,(N38-I38)/I38,(IF(N38=0,"N/A",100%)))</f>
        <v>0.32692307692307676</v>
      </c>
      <c r="P38" s="1769">
        <f>+'NEW Summer CHP by DISC '!P38/15</f>
        <v>1</v>
      </c>
      <c r="Q38" s="1769">
        <f>+'NEW Summer CHP by DISC '!Q38/15</f>
        <v>7.1333333333333337</v>
      </c>
      <c r="R38" s="1769">
        <f>+'NEW Summer CHP by DISC '!R38/12</f>
        <v>0</v>
      </c>
      <c r="S38" s="1724">
        <f>SUM(P38:R38)</f>
        <v>8.1333333333333329</v>
      </c>
      <c r="T38" s="491">
        <f>IF(N38&gt;0,(S38-N38)/N38,(IF(S38=0,"N/A",100%)))</f>
        <v>-0.11594202898550723</v>
      </c>
      <c r="U38" s="1769">
        <f>+'NEW Summer CHP by DISC '!U38/15</f>
        <v>1.6</v>
      </c>
      <c r="V38" s="1769">
        <f>+'NEW Summer CHP by DISC '!V38/15</f>
        <v>10.4</v>
      </c>
      <c r="W38" s="1769">
        <f>+'NEW Summer CHP by DISC '!W38/12</f>
        <v>0</v>
      </c>
      <c r="X38" s="1724">
        <f>SUM(U38:W38)</f>
        <v>12</v>
      </c>
      <c r="Y38" s="491">
        <f>IF(S38&gt;0,(X38-S38)/S38,(IF(X38=0,"N/A",100%)))</f>
        <v>0.47540983606557385</v>
      </c>
      <c r="Z38" s="1769">
        <f>+'NEW Summer CHP by DISC '!Z38/15</f>
        <v>0.8</v>
      </c>
      <c r="AA38" s="1769">
        <f>+'NEW Summer CHP by DISC '!AA38/15</f>
        <v>10.933333333333334</v>
      </c>
      <c r="AB38" s="1769">
        <f>+'NEW Summer CHP by DISC '!AB38/12</f>
        <v>0</v>
      </c>
      <c r="AC38" s="1724">
        <f>SUM(Z38:AB38)</f>
        <v>11.733333333333334</v>
      </c>
      <c r="AD38" s="491">
        <f>IF(X38&gt;0,(AC38-X38)/X38,(IF(AC38=0,"N/A",100%)))</f>
        <v>-2.2222222222222143E-2</v>
      </c>
      <c r="AE38" s="1788">
        <f>+'NEW Summer CHP by DISC '!AE38/15</f>
        <v>1.6</v>
      </c>
      <c r="AF38" s="1769">
        <f>+'NEW Summer CHP by DISC '!AF38/15</f>
        <v>8.6</v>
      </c>
      <c r="AG38" s="1769">
        <f>+'NEW Summer CHP by DISC '!AG38/12</f>
        <v>0</v>
      </c>
      <c r="AH38" s="1724">
        <f>SUM(AE38:AG38)</f>
        <v>10.199999999999999</v>
      </c>
      <c r="AI38" s="491">
        <f>IF(AC38&gt;0,(AH38-AC38)/AC38,(IF(AH38=0,"N/A",100%)))</f>
        <v>-0.13068181818181832</v>
      </c>
      <c r="AJ38" s="1788">
        <f>+'NEW Summer CHP by DISC '!AJ38/15</f>
        <v>6.4</v>
      </c>
      <c r="AK38" s="1769">
        <f>+'NEW Summer CHP by DISC '!AK38/15</f>
        <v>5.8</v>
      </c>
      <c r="AL38" s="1769">
        <f>+'NEW Summer CHP by DISC '!AL38/12</f>
        <v>0</v>
      </c>
      <c r="AM38" s="1724">
        <f>SUM(AJ38:AL38)</f>
        <v>12.2</v>
      </c>
      <c r="AN38" s="491">
        <f>IF(AH38&gt;0,(AM38-AH38)/AH38,(IF(AM38=0,"N/A",100%)))</f>
        <v>0.19607843137254904</v>
      </c>
      <c r="AO38" s="1788">
        <f>+'NEW Summer CHP by DISC '!AO38/15</f>
        <v>1.4</v>
      </c>
      <c r="AP38" s="1769">
        <f>+'NEW Summer CHP by DISC '!AP38/15</f>
        <v>4.4000000000000004</v>
      </c>
      <c r="AQ38" s="1769">
        <f>+'NEW Summer CHP by DISC '!AQ38/12</f>
        <v>0</v>
      </c>
      <c r="AR38" s="1724">
        <f>SUM(AO38:AQ38)</f>
        <v>5.8000000000000007</v>
      </c>
      <c r="AS38" s="491">
        <f>IF(AM38&gt;0,(AR38-AM38)/AM38,(IF(AR38=0,"N/A",100%)))</f>
        <v>-0.52459016393442615</v>
      </c>
    </row>
    <row r="39" spans="1:246" s="502" customFormat="1" ht="16.2" thickBot="1" x14ac:dyDescent="0.35">
      <c r="A39" s="497" t="s">
        <v>427</v>
      </c>
      <c r="B39" s="498">
        <f t="shared" ref="B39:I39" si="40">B38+B36+B34</f>
        <v>13.933333333333334</v>
      </c>
      <c r="C39" s="498">
        <f t="shared" si="40"/>
        <v>31</v>
      </c>
      <c r="D39" s="498">
        <f t="shared" si="40"/>
        <v>57.25</v>
      </c>
      <c r="E39" s="500">
        <f t="shared" si="40"/>
        <v>102.18333333333334</v>
      </c>
      <c r="F39" s="498">
        <f t="shared" si="40"/>
        <v>13.666666666666666</v>
      </c>
      <c r="G39" s="498">
        <f t="shared" si="40"/>
        <v>26.2</v>
      </c>
      <c r="H39" s="498">
        <f t="shared" si="40"/>
        <v>49.5</v>
      </c>
      <c r="I39" s="498">
        <f t="shared" si="40"/>
        <v>89.366666666666674</v>
      </c>
      <c r="J39" s="501">
        <f>IF(E39&gt;0,(I39-E39)/E39,(IF(I39=0,"N/A",100%)))</f>
        <v>-0.12542815201435326</v>
      </c>
      <c r="K39" s="498">
        <f t="shared" ref="K39:S39" si="41">K38+K36+K34</f>
        <v>12.4</v>
      </c>
      <c r="L39" s="498">
        <f t="shared" si="41"/>
        <v>34.533333333333331</v>
      </c>
      <c r="M39" s="498">
        <f t="shared" si="41"/>
        <v>78.75</v>
      </c>
      <c r="N39" s="499">
        <f t="shared" si="41"/>
        <v>125.68333333333334</v>
      </c>
      <c r="O39" s="501">
        <f>IF(I39&gt;0,(N39-I39)/I39,(IF(N39=0,"N/A",100%)))</f>
        <v>0.40637821708317784</v>
      </c>
      <c r="P39" s="498">
        <f t="shared" si="41"/>
        <v>13.933333333333334</v>
      </c>
      <c r="Q39" s="498">
        <f t="shared" si="41"/>
        <v>27.666666666666668</v>
      </c>
      <c r="R39" s="498">
        <f t="shared" si="41"/>
        <v>61</v>
      </c>
      <c r="S39" s="498">
        <f t="shared" si="41"/>
        <v>102.6</v>
      </c>
      <c r="T39" s="501">
        <f>IF(N39&gt;0,(S39-N39)/N39,(IF(S39=0,"N/A",100%)))</f>
        <v>-0.18366264421164308</v>
      </c>
      <c r="U39" s="498">
        <f>U38+U36+U34</f>
        <v>15.866666666666665</v>
      </c>
      <c r="V39" s="498">
        <f>V38+V36+V34</f>
        <v>39.666666666666671</v>
      </c>
      <c r="W39" s="498">
        <f>W38+W36+W34</f>
        <v>69</v>
      </c>
      <c r="X39" s="498">
        <f>X38+X36+X34</f>
        <v>124.53333333333333</v>
      </c>
      <c r="Y39" s="501">
        <f>IF(S39&gt;0,(X39-S39)/S39,(IF(X39=0,"N/A",100%)))</f>
        <v>0.21377517868745943</v>
      </c>
      <c r="Z39" s="498">
        <f>Z38+Z36+Z34</f>
        <v>1.4666666666666668</v>
      </c>
      <c r="AA39" s="498">
        <f>AA38+AA36+AA34</f>
        <v>47.333333333333336</v>
      </c>
      <c r="AB39" s="498">
        <f>AB38+AB36+AB34</f>
        <v>57.5</v>
      </c>
      <c r="AC39" s="498">
        <f>AC38+AC36+AC34</f>
        <v>106.30000000000001</v>
      </c>
      <c r="AD39" s="501">
        <f>IF(X39&gt;0,(AC39-X39)/X39,(IF(AC39=0,"N/A",100%)))</f>
        <v>-0.14641327623126327</v>
      </c>
      <c r="AE39" s="774">
        <f>AE38+AE36+AE34</f>
        <v>12.133333333333333</v>
      </c>
      <c r="AF39" s="498">
        <f>AF38+AF36+AF34</f>
        <v>34.333333333333329</v>
      </c>
      <c r="AG39" s="498">
        <f>AG38+AG36+AG34</f>
        <v>46.5</v>
      </c>
      <c r="AH39" s="498">
        <f>AH38+AH36+AH34</f>
        <v>92.966666666666669</v>
      </c>
      <c r="AI39" s="501">
        <f>IF(AC39&gt;0,(AH39-AC39)/AC39,(IF(AH39=0,"N/A",100%)))</f>
        <v>-0.12543116964565701</v>
      </c>
      <c r="AJ39" s="774">
        <f>AJ38+AJ36+AJ34</f>
        <v>15.933333333333334</v>
      </c>
      <c r="AK39" s="498">
        <f>AK38+AK36+AK34</f>
        <v>35.466666666666669</v>
      </c>
      <c r="AL39" s="498">
        <f>AL38+AL36+AL34</f>
        <v>34</v>
      </c>
      <c r="AM39" s="498">
        <f>AM38+AM36+AM34</f>
        <v>85.399999999999991</v>
      </c>
      <c r="AN39" s="501">
        <f>IF(AH39&gt;0,(AM39-AH39)/AH39,(IF(AM39=0,"N/A",100%)))</f>
        <v>-8.1391179634277624E-2</v>
      </c>
      <c r="AO39" s="774">
        <f>AO38+AO36+AO34</f>
        <v>7.2000000000000011</v>
      </c>
      <c r="AP39" s="498">
        <f>AP38+AP36+AP34</f>
        <v>24.933333333333334</v>
      </c>
      <c r="AQ39" s="498">
        <f>AQ38+AQ36+AQ34</f>
        <v>31.5</v>
      </c>
      <c r="AR39" s="498">
        <f>AR38+AR36+AR34</f>
        <v>63.63333333333334</v>
      </c>
      <c r="AS39" s="501">
        <f>IF(AM39&gt;0,(AR39-AM39)/AM39,(IF(AR39=0,"N/A",100%)))</f>
        <v>-0.25487900078063996</v>
      </c>
    </row>
    <row r="40" spans="1:246" ht="14.25" customHeight="1" thickTop="1" x14ac:dyDescent="0.25">
      <c r="A40" s="507"/>
      <c r="B40" s="507"/>
      <c r="C40" s="507"/>
      <c r="D40" s="507"/>
      <c r="E40" s="507"/>
      <c r="F40" s="507"/>
      <c r="G40" s="507"/>
      <c r="H40" s="507"/>
      <c r="I40" s="507"/>
      <c r="J40" s="507"/>
      <c r="K40" s="1738"/>
      <c r="L40" s="1738"/>
      <c r="M40" s="1738"/>
      <c r="N40" s="1738"/>
      <c r="O40" s="1738"/>
      <c r="P40" s="1738"/>
      <c r="Q40" s="1738"/>
      <c r="R40" s="1738"/>
      <c r="S40" s="1738"/>
      <c r="T40" s="504"/>
      <c r="U40" s="1738"/>
      <c r="V40" s="1738"/>
      <c r="W40" s="1738"/>
      <c r="X40" s="1738"/>
    </row>
    <row r="41" spans="1:246" ht="14.25" customHeight="1" thickBot="1" x14ac:dyDescent="0.3">
      <c r="A41" s="507"/>
      <c r="B41" s="507"/>
      <c r="C41" s="507"/>
      <c r="D41" s="507"/>
      <c r="E41" s="507"/>
      <c r="F41" s="507"/>
      <c r="G41" s="507"/>
      <c r="H41" s="507"/>
      <c r="I41" s="507"/>
      <c r="J41" s="507"/>
      <c r="K41" s="1738"/>
      <c r="L41" s="1738"/>
      <c r="M41" s="1738"/>
      <c r="N41" s="1738"/>
      <c r="O41" s="1738"/>
      <c r="P41" s="1738"/>
      <c r="Q41" s="1738"/>
      <c r="R41" s="1738"/>
      <c r="S41" s="1738"/>
      <c r="T41" s="504"/>
      <c r="U41" s="1738"/>
      <c r="V41" s="1738"/>
      <c r="W41" s="1738"/>
      <c r="X41" s="1738"/>
    </row>
    <row r="42" spans="1:246" s="1546" customFormat="1" ht="18" thickBot="1" x14ac:dyDescent="0.35">
      <c r="A42" s="2161" t="s">
        <v>416</v>
      </c>
      <c r="B42" s="2162"/>
      <c r="C42" s="2162"/>
      <c r="D42" s="2162"/>
      <c r="E42" s="2162"/>
      <c r="F42" s="2162"/>
      <c r="G42" s="2162"/>
      <c r="H42" s="2162"/>
      <c r="I42" s="2162"/>
      <c r="J42" s="2162"/>
      <c r="K42" s="2162"/>
      <c r="L42" s="2162"/>
      <c r="M42" s="2162"/>
      <c r="N42" s="2162"/>
      <c r="O42" s="2162"/>
      <c r="P42" s="2162"/>
      <c r="Q42" s="2162"/>
      <c r="R42" s="2162"/>
      <c r="S42" s="2162"/>
      <c r="T42" s="2162"/>
      <c r="U42" s="2162"/>
      <c r="V42" s="2162"/>
      <c r="W42" s="2162"/>
      <c r="X42" s="2162"/>
      <c r="Y42" s="2162"/>
      <c r="Z42" s="2162"/>
      <c r="AA42" s="2162"/>
      <c r="AB42" s="2162"/>
      <c r="AC42" s="2162"/>
      <c r="AD42" s="2162"/>
      <c r="AE42" s="2162"/>
      <c r="AF42" s="2162"/>
      <c r="AG42" s="2162"/>
      <c r="AH42" s="2162"/>
      <c r="AI42" s="2162"/>
      <c r="AJ42" s="2162"/>
      <c r="AK42" s="2162"/>
      <c r="AL42" s="2162"/>
      <c r="AM42" s="2162"/>
      <c r="AN42" s="2162"/>
      <c r="AO42" s="2162"/>
      <c r="AP42" s="2162"/>
      <c r="AQ42" s="2162"/>
      <c r="AR42" s="2162"/>
      <c r="AS42" s="2163"/>
    </row>
    <row r="43" spans="1:246" ht="26.4" x14ac:dyDescent="0.25">
      <c r="A43" s="2167" t="s">
        <v>1006</v>
      </c>
      <c r="B43" s="1710" t="s">
        <v>1008</v>
      </c>
      <c r="C43" s="1710" t="s">
        <v>1009</v>
      </c>
      <c r="D43" s="1710" t="s">
        <v>1010</v>
      </c>
      <c r="E43" s="680" t="s">
        <v>1011</v>
      </c>
      <c r="F43" s="1711" t="s">
        <v>1008</v>
      </c>
      <c r="G43" s="1710" t="s">
        <v>1009</v>
      </c>
      <c r="H43" s="1710" t="s">
        <v>1010</v>
      </c>
      <c r="I43" s="1712" t="s">
        <v>1011</v>
      </c>
      <c r="J43" s="680" t="s">
        <v>1012</v>
      </c>
      <c r="K43" s="1711" t="s">
        <v>1008</v>
      </c>
      <c r="L43" s="1711" t="s">
        <v>1009</v>
      </c>
      <c r="M43" s="1711" t="s">
        <v>1010</v>
      </c>
      <c r="N43" s="1712" t="s">
        <v>1069</v>
      </c>
      <c r="O43" s="1763" t="s">
        <v>1012</v>
      </c>
      <c r="P43" s="1711" t="s">
        <v>1008</v>
      </c>
      <c r="Q43" s="1711" t="s">
        <v>1009</v>
      </c>
      <c r="R43" s="1711" t="s">
        <v>1010</v>
      </c>
      <c r="S43" s="1712" t="s">
        <v>1069</v>
      </c>
      <c r="T43" s="1763" t="s">
        <v>1071</v>
      </c>
      <c r="U43" s="1711" t="s">
        <v>1008</v>
      </c>
      <c r="V43" s="1711" t="s">
        <v>1009</v>
      </c>
      <c r="W43" s="1711" t="s">
        <v>1010</v>
      </c>
      <c r="X43" s="1712" t="s">
        <v>1069</v>
      </c>
      <c r="Y43" s="1763" t="s">
        <v>1071</v>
      </c>
      <c r="Z43" s="1711" t="s">
        <v>1008</v>
      </c>
      <c r="AA43" s="1711" t="s">
        <v>1009</v>
      </c>
      <c r="AB43" s="1711" t="s">
        <v>1010</v>
      </c>
      <c r="AC43" s="1712" t="s">
        <v>1069</v>
      </c>
      <c r="AD43" s="1763" t="s">
        <v>1071</v>
      </c>
      <c r="AE43" s="1038" t="s">
        <v>1008</v>
      </c>
      <c r="AF43" s="1711" t="s">
        <v>1009</v>
      </c>
      <c r="AG43" s="1711" t="s">
        <v>1010</v>
      </c>
      <c r="AH43" s="1712" t="s">
        <v>1069</v>
      </c>
      <c r="AI43" s="1763" t="s">
        <v>1071</v>
      </c>
      <c r="AJ43" s="2092" t="s">
        <v>1008</v>
      </c>
      <c r="AK43" s="2093" t="s">
        <v>1009</v>
      </c>
      <c r="AL43" s="2093" t="s">
        <v>1010</v>
      </c>
      <c r="AM43" s="1820" t="s">
        <v>1069</v>
      </c>
      <c r="AN43" s="1821" t="s">
        <v>1071</v>
      </c>
      <c r="AO43" s="2092" t="s">
        <v>1008</v>
      </c>
      <c r="AP43" s="2093" t="s">
        <v>1009</v>
      </c>
      <c r="AQ43" s="2093" t="s">
        <v>1010</v>
      </c>
      <c r="AR43" s="1820" t="s">
        <v>1069</v>
      </c>
      <c r="AS43" s="1821" t="s">
        <v>1071</v>
      </c>
    </row>
    <row r="44" spans="1:246" ht="12.75" customHeight="1" x14ac:dyDescent="0.25">
      <c r="A44" s="2168"/>
      <c r="B44" s="2157" t="s">
        <v>1466</v>
      </c>
      <c r="C44" s="2157"/>
      <c r="D44" s="2157"/>
      <c r="E44" s="2158"/>
      <c r="F44" s="2157" t="s">
        <v>1467</v>
      </c>
      <c r="G44" s="2157"/>
      <c r="H44" s="2157"/>
      <c r="I44" s="2157"/>
      <c r="J44" s="2158"/>
      <c r="K44" s="2138" t="s">
        <v>1454</v>
      </c>
      <c r="L44" s="2139"/>
      <c r="M44" s="2139"/>
      <c r="N44" s="2139"/>
      <c r="O44" s="2153"/>
      <c r="P44" s="2139" t="s">
        <v>1455</v>
      </c>
      <c r="Q44" s="2139"/>
      <c r="R44" s="2139"/>
      <c r="S44" s="2139"/>
      <c r="T44" s="2153"/>
      <c r="U44" s="2139" t="s">
        <v>1456</v>
      </c>
      <c r="V44" s="2139"/>
      <c r="W44" s="2139"/>
      <c r="X44" s="2139"/>
      <c r="Y44" s="2153"/>
      <c r="Z44" s="2139" t="str">
        <f>+Z27</f>
        <v>Summer 2013</v>
      </c>
      <c r="AA44" s="2139"/>
      <c r="AB44" s="2139"/>
      <c r="AC44" s="2139"/>
      <c r="AD44" s="2153"/>
      <c r="AE44" s="2160" t="s">
        <v>1716</v>
      </c>
      <c r="AF44" s="2157"/>
      <c r="AG44" s="2157"/>
      <c r="AH44" s="2157"/>
      <c r="AI44" s="2158"/>
      <c r="AJ44" s="2138" t="s">
        <v>1717</v>
      </c>
      <c r="AK44" s="2139"/>
      <c r="AL44" s="2139"/>
      <c r="AM44" s="2139"/>
      <c r="AN44" s="2140"/>
      <c r="AO44" s="2138" t="s">
        <v>1717</v>
      </c>
      <c r="AP44" s="2139"/>
      <c r="AQ44" s="2139"/>
      <c r="AR44" s="2139"/>
      <c r="AS44" s="2140"/>
    </row>
    <row r="45" spans="1:246" s="1744" customFormat="1" x14ac:dyDescent="0.25">
      <c r="A45" s="485" t="s">
        <v>417</v>
      </c>
      <c r="B45" s="1000"/>
      <c r="C45" s="1000"/>
      <c r="D45" s="1000"/>
      <c r="E45" s="1002"/>
      <c r="F45" s="1000"/>
      <c r="G45" s="1000"/>
      <c r="H45" s="1000"/>
      <c r="I45" s="1000"/>
      <c r="J45" s="1002"/>
      <c r="K45" s="1717"/>
      <c r="L45" s="1775"/>
      <c r="M45" s="1775"/>
      <c r="N45" s="1718"/>
      <c r="O45" s="1722"/>
      <c r="P45" s="1717"/>
      <c r="Q45" s="1775"/>
      <c r="R45" s="1775"/>
      <c r="S45" s="1775"/>
      <c r="T45" s="1722"/>
      <c r="U45" s="1717"/>
      <c r="V45" s="1775"/>
      <c r="W45" s="1775"/>
      <c r="X45" s="1775"/>
      <c r="Y45" s="1722"/>
      <c r="Z45" s="1717"/>
      <c r="AA45" s="1775"/>
      <c r="AB45" s="1775"/>
      <c r="AC45" s="1775"/>
      <c r="AD45" s="1722"/>
      <c r="AE45" s="1816"/>
      <c r="AF45" s="1775"/>
      <c r="AG45" s="1775"/>
      <c r="AH45" s="1775"/>
      <c r="AI45" s="1817"/>
      <c r="AJ45" s="1816"/>
      <c r="AK45" s="1823"/>
      <c r="AL45" s="1823"/>
      <c r="AM45" s="1823"/>
      <c r="AN45" s="1817"/>
      <c r="AO45" s="1816"/>
      <c r="AP45" s="1823"/>
      <c r="AQ45" s="1823"/>
      <c r="AR45" s="1823"/>
      <c r="AS45" s="1817"/>
      <c r="AT45" s="280"/>
      <c r="AU45" s="280"/>
      <c r="AV45" s="280"/>
      <c r="AW45" s="280"/>
      <c r="AX45" s="280"/>
      <c r="AY45" s="280"/>
      <c r="AZ45" s="280"/>
      <c r="BA45" s="280"/>
      <c r="BB45" s="280"/>
      <c r="BC45" s="280"/>
      <c r="BD45" s="280"/>
      <c r="BE45" s="280"/>
      <c r="BF45" s="280"/>
      <c r="BG45" s="280"/>
      <c r="BH45" s="280"/>
      <c r="BI45" s="280"/>
      <c r="BJ45" s="280"/>
      <c r="BK45" s="280"/>
      <c r="BL45" s="280"/>
      <c r="BM45" s="280"/>
      <c r="BN45" s="280"/>
      <c r="BO45" s="280"/>
      <c r="BP45" s="280"/>
      <c r="BQ45" s="280"/>
      <c r="BR45" s="280"/>
      <c r="BS45" s="280"/>
      <c r="BT45" s="280"/>
      <c r="BU45" s="280"/>
      <c r="BV45" s="280"/>
      <c r="BW45" s="280"/>
      <c r="BX45" s="280"/>
      <c r="BY45" s="280"/>
      <c r="BZ45" s="280"/>
      <c r="CA45" s="280"/>
      <c r="CB45" s="280"/>
      <c r="CC45" s="280"/>
      <c r="CD45" s="280"/>
      <c r="CE45" s="280"/>
      <c r="CF45" s="280"/>
      <c r="CG45" s="280"/>
      <c r="CH45" s="280"/>
      <c r="CI45" s="280"/>
      <c r="CJ45" s="280"/>
      <c r="CK45" s="280"/>
      <c r="CL45" s="280"/>
      <c r="CM45" s="280"/>
      <c r="CN45" s="280"/>
      <c r="CO45" s="280"/>
      <c r="CP45" s="280"/>
      <c r="CQ45" s="280"/>
      <c r="CR45" s="280"/>
      <c r="CS45" s="280"/>
      <c r="CT45" s="280"/>
      <c r="CU45" s="280"/>
      <c r="CV45" s="280"/>
      <c r="CW45" s="280"/>
      <c r="CX45" s="280"/>
      <c r="CY45" s="280"/>
      <c r="CZ45" s="280"/>
      <c r="DA45" s="280"/>
      <c r="DB45" s="280"/>
      <c r="DC45" s="280"/>
      <c r="DD45" s="280"/>
      <c r="DE45" s="280"/>
      <c r="DF45" s="280"/>
      <c r="DG45" s="280"/>
      <c r="DH45" s="280"/>
      <c r="DI45" s="280"/>
      <c r="DJ45" s="280"/>
      <c r="DK45" s="280"/>
      <c r="DL45" s="280"/>
      <c r="DM45" s="280"/>
      <c r="DN45" s="280"/>
      <c r="DO45" s="280"/>
      <c r="DP45" s="280"/>
      <c r="DQ45" s="280"/>
      <c r="DR45" s="280"/>
      <c r="DS45" s="280"/>
      <c r="DT45" s="280"/>
      <c r="DU45" s="280"/>
      <c r="DV45" s="280"/>
      <c r="DW45" s="280"/>
      <c r="DX45" s="280"/>
      <c r="DY45" s="280"/>
      <c r="DZ45" s="280"/>
      <c r="EA45" s="280"/>
      <c r="EB45" s="280"/>
      <c r="EC45" s="280"/>
      <c r="ED45" s="280"/>
      <c r="EE45" s="280"/>
      <c r="EF45" s="280"/>
      <c r="EG45" s="280"/>
      <c r="EH45" s="280"/>
      <c r="EI45" s="280"/>
      <c r="EJ45" s="280"/>
      <c r="EK45" s="280"/>
      <c r="EL45" s="280"/>
      <c r="EM45" s="280"/>
      <c r="EN45" s="280"/>
      <c r="EO45" s="280"/>
      <c r="EP45" s="280"/>
      <c r="EQ45" s="280"/>
      <c r="ER45" s="280"/>
      <c r="ES45" s="280"/>
      <c r="ET45" s="280"/>
      <c r="EU45" s="280"/>
      <c r="EV45" s="280"/>
      <c r="EW45" s="280"/>
      <c r="EX45" s="280"/>
      <c r="EY45" s="280"/>
      <c r="EZ45" s="280"/>
      <c r="FA45" s="280"/>
      <c r="FB45" s="280"/>
      <c r="FC45" s="280"/>
      <c r="FD45" s="280"/>
      <c r="FE45" s="280"/>
      <c r="FF45" s="280"/>
      <c r="FG45" s="280"/>
      <c r="FH45" s="280"/>
      <c r="FI45" s="280"/>
      <c r="FJ45" s="280"/>
      <c r="FK45" s="280"/>
      <c r="FL45" s="280"/>
      <c r="FM45" s="280"/>
      <c r="FN45" s="280"/>
      <c r="FO45" s="280"/>
      <c r="FP45" s="280"/>
      <c r="FQ45" s="280"/>
      <c r="FR45" s="280"/>
      <c r="FS45" s="280"/>
      <c r="FT45" s="280"/>
      <c r="FU45" s="280"/>
      <c r="FV45" s="280"/>
      <c r="FW45" s="280"/>
      <c r="FX45" s="280"/>
      <c r="FY45" s="280"/>
      <c r="FZ45" s="280"/>
      <c r="GA45" s="280"/>
      <c r="GB45" s="280"/>
      <c r="GC45" s="280"/>
      <c r="GD45" s="280"/>
      <c r="GE45" s="280"/>
      <c r="GF45" s="280"/>
      <c r="GG45" s="280"/>
      <c r="GH45" s="280"/>
      <c r="GI45" s="280"/>
      <c r="GJ45" s="280"/>
      <c r="GK45" s="280"/>
      <c r="GL45" s="280"/>
      <c r="GM45" s="280"/>
      <c r="GN45" s="280"/>
      <c r="GO45" s="280"/>
      <c r="GP45" s="280"/>
      <c r="GQ45" s="280"/>
      <c r="GR45" s="280"/>
      <c r="GS45" s="280"/>
      <c r="GT45" s="280"/>
      <c r="GU45" s="280"/>
      <c r="GV45" s="280"/>
      <c r="GW45" s="280"/>
      <c r="GX45" s="280"/>
      <c r="GY45" s="280"/>
      <c r="GZ45" s="280"/>
      <c r="HA45" s="280"/>
      <c r="HB45" s="280"/>
      <c r="HC45" s="280"/>
      <c r="HD45" s="280"/>
      <c r="HE45" s="280"/>
      <c r="HF45" s="280"/>
      <c r="HG45" s="280"/>
      <c r="HH45" s="280"/>
      <c r="HI45" s="280"/>
      <c r="HJ45" s="280"/>
      <c r="HK45" s="280"/>
      <c r="HL45" s="280"/>
      <c r="HM45" s="280"/>
      <c r="HN45" s="280"/>
      <c r="HO45" s="280"/>
      <c r="HP45" s="280"/>
      <c r="HQ45" s="280"/>
      <c r="HR45" s="280"/>
      <c r="HS45" s="280"/>
      <c r="HT45" s="280"/>
      <c r="HU45" s="280"/>
      <c r="HV45" s="280"/>
      <c r="HW45" s="280"/>
      <c r="HX45" s="280"/>
      <c r="HY45" s="280"/>
      <c r="HZ45" s="280"/>
      <c r="IA45" s="280"/>
      <c r="IB45" s="280"/>
      <c r="IC45" s="280"/>
      <c r="ID45" s="280"/>
      <c r="IE45" s="280"/>
      <c r="IF45" s="280"/>
      <c r="IG45" s="280"/>
      <c r="IH45" s="280"/>
      <c r="II45" s="280"/>
      <c r="IJ45" s="280"/>
      <c r="IK45" s="280"/>
      <c r="IL45" s="280"/>
    </row>
    <row r="46" spans="1:246" x14ac:dyDescent="0.25">
      <c r="A46" s="478" t="s">
        <v>1030</v>
      </c>
      <c r="B46" s="1769">
        <f>+'NEW Summer CHP by DISC '!B46/15</f>
        <v>4.2</v>
      </c>
      <c r="C46" s="1769">
        <f>+'NEW Summer CHP by DISC '!C46/15</f>
        <v>0</v>
      </c>
      <c r="D46" s="1769">
        <f>+'NEW Summer CHP by DISC '!D46/12</f>
        <v>13.25</v>
      </c>
      <c r="E46" s="1723">
        <f>SUM(B46:D46)</f>
        <v>17.45</v>
      </c>
      <c r="F46" s="1769">
        <f>+'NEW Summer CHP by DISC '!F46/15</f>
        <v>3.2</v>
      </c>
      <c r="G46" s="1769">
        <f>+'NEW Summer CHP by DISC '!G46/15</f>
        <v>1.6666666666666667</v>
      </c>
      <c r="H46" s="1769">
        <f>+'NEW Summer CHP by DISC '!H46/12</f>
        <v>19.5</v>
      </c>
      <c r="I46" s="1769">
        <f>SUM(F46:H46)</f>
        <v>24.366666666666667</v>
      </c>
      <c r="J46" s="1679">
        <f>IF(E46&gt;0,(I46-E46)/E46,(IF(I46=0,"N/A",100%)))</f>
        <v>0.39637058261700103</v>
      </c>
      <c r="K46" s="1769">
        <f>+'NEW Summer CHP by DISC '!K46/15</f>
        <v>2.2000000000000002</v>
      </c>
      <c r="L46" s="1769">
        <f>+'NEW Summer CHP by DISC '!L46/15</f>
        <v>0.2</v>
      </c>
      <c r="M46" s="1769">
        <f>+'NEW Summer CHP by DISC '!M46/12</f>
        <v>10.25</v>
      </c>
      <c r="N46" s="1771">
        <f>SUM(K46:M46)</f>
        <v>12.65</v>
      </c>
      <c r="O46" s="1679">
        <f>IF(I46&gt;0,(N46-I46)/I46,(IF(N46=0,"N/A",100%)))</f>
        <v>-0.48084815321477425</v>
      </c>
      <c r="P46" s="1769">
        <f>+'NEW Summer CHP by DISC '!P46/15</f>
        <v>1</v>
      </c>
      <c r="Q46" s="1769">
        <f>+'NEW Summer CHP by DISC '!Q46/15</f>
        <v>0.2</v>
      </c>
      <c r="R46" s="1769">
        <f>+'NEW Summer CHP by DISC '!R46/12</f>
        <v>15.5</v>
      </c>
      <c r="S46" s="1769">
        <f>SUM(P46:R46)</f>
        <v>16.7</v>
      </c>
      <c r="T46" s="1679">
        <f>IF(N46&gt;0,(S46-N46)/N46,(IF(S46=0,"N/A",100%)))</f>
        <v>0.32015810276679835</v>
      </c>
      <c r="U46" s="1769">
        <f>+'NEW Summer CHP by DISC '!U46/15</f>
        <v>0</v>
      </c>
      <c r="V46" s="1769">
        <f>+'NEW Summer CHP by DISC '!V46/15</f>
        <v>0.6</v>
      </c>
      <c r="W46" s="1769">
        <f>+'NEW Summer CHP by DISC '!W46/12</f>
        <v>7.5</v>
      </c>
      <c r="X46" s="1769">
        <f>SUM(U46:W46)</f>
        <v>8.1</v>
      </c>
      <c r="Y46" s="1679">
        <f>IF(S46&gt;0,(X46-S46)/S46,(IF(X46=0,"N/A",100%)))</f>
        <v>-0.51497005988023947</v>
      </c>
      <c r="Z46" s="1769">
        <f>+'NEW Summer CHP by DISC '!Z46/15</f>
        <v>0</v>
      </c>
      <c r="AA46" s="1769">
        <f>+'NEW Summer CHP by DISC '!AA46/15</f>
        <v>1.2</v>
      </c>
      <c r="AB46" s="1769">
        <f>+'NEW Summer CHP by DISC '!AB46/12</f>
        <v>10</v>
      </c>
      <c r="AC46" s="1769">
        <f>SUM(Z46:AB46)</f>
        <v>11.2</v>
      </c>
      <c r="AD46" s="1679">
        <f>IF(X46&gt;0,(AC46-X46)/X46,(IF(AC46=0,"N/A",100%)))</f>
        <v>0.38271604938271603</v>
      </c>
      <c r="AE46" s="1788">
        <f>+'NEW Summer CHP by DISC '!AE46/15</f>
        <v>0</v>
      </c>
      <c r="AF46" s="1769">
        <f>+'NEW Summer CHP by DISC '!AF46/15</f>
        <v>0</v>
      </c>
      <c r="AG46" s="1769">
        <f>+'NEW Summer CHP by DISC '!AG46/12</f>
        <v>7</v>
      </c>
      <c r="AH46" s="1769">
        <f>SUM(AE46:AG46)</f>
        <v>7</v>
      </c>
      <c r="AI46" s="1679">
        <f>IF(AC46&gt;0,(AH46-AC46)/AC46,(IF(AH46=0,"N/A",100%)))</f>
        <v>-0.37499999999999994</v>
      </c>
      <c r="AJ46" s="1788">
        <f>+'NEW Summer CHP by DISC '!AJ46/15</f>
        <v>1.8</v>
      </c>
      <c r="AK46" s="1769">
        <f>+'NEW Summer CHP by DISC '!AK46/15</f>
        <v>0</v>
      </c>
      <c r="AL46" s="1769">
        <f>+'NEW Summer CHP by DISC '!AL46/12</f>
        <v>4</v>
      </c>
      <c r="AM46" s="1769">
        <f>SUM(AJ46:AL46)</f>
        <v>5.8</v>
      </c>
      <c r="AN46" s="1679">
        <f>IF(AH46&gt;0,(AM46-AH46)/AH46,(IF(AM46=0,"N/A",100%)))</f>
        <v>-0.17142857142857146</v>
      </c>
      <c r="AO46" s="1788">
        <f>+'NEW Summer CHP by DISC '!AO46/15</f>
        <v>1.8</v>
      </c>
      <c r="AP46" s="1769">
        <f>+'NEW Summer CHP by DISC '!AP46/15</f>
        <v>0.2</v>
      </c>
      <c r="AQ46" s="1769">
        <f>+'NEW Summer CHP by DISC '!AQ46/12</f>
        <v>0</v>
      </c>
      <c r="AR46" s="1769">
        <f>SUM(AO46:AQ46)</f>
        <v>2</v>
      </c>
      <c r="AS46" s="1679">
        <f>IF(AM46&gt;0,(AR46-AM46)/AM46,(IF(AR46=0,"N/A",100%)))</f>
        <v>-0.65517241379310343</v>
      </c>
    </row>
    <row r="47" spans="1:246" x14ac:dyDescent="0.25">
      <c r="A47" s="478" t="s">
        <v>1031</v>
      </c>
      <c r="B47" s="1769">
        <f>+'NEW Summer CHP by DISC '!B47/15</f>
        <v>0</v>
      </c>
      <c r="C47" s="1769">
        <f>+'NEW Summer CHP by DISC '!C47/15</f>
        <v>0</v>
      </c>
      <c r="D47" s="1769">
        <f>+'NEW Summer CHP by DISC '!D47/12</f>
        <v>0</v>
      </c>
      <c r="E47" s="1723">
        <f>SUM(B47:D47)</f>
        <v>0</v>
      </c>
      <c r="F47" s="1769">
        <f>+'NEW Summer CHP by DISC '!F47/15</f>
        <v>0</v>
      </c>
      <c r="G47" s="1769">
        <f>+'NEW Summer CHP by DISC '!G47/15</f>
        <v>0</v>
      </c>
      <c r="H47" s="1769">
        <f>+'NEW Summer CHP by DISC '!H47/12</f>
        <v>0</v>
      </c>
      <c r="I47" s="1769">
        <f>SUM(F47:H47)</f>
        <v>0</v>
      </c>
      <c r="J47" s="1679" t="str">
        <f>IF(E47&gt;0,(I47-E47)/E47,(IF(I47=0,"N/A",100%)))</f>
        <v>N/A</v>
      </c>
      <c r="K47" s="1769">
        <f>+'NEW Summer CHP by DISC '!K47/15</f>
        <v>0</v>
      </c>
      <c r="L47" s="1769">
        <f>+'NEW Summer CHP by DISC '!L47/15</f>
        <v>0</v>
      </c>
      <c r="M47" s="1769">
        <f>+'NEW Summer CHP by DISC '!M47/12</f>
        <v>0</v>
      </c>
      <c r="N47" s="1771">
        <f>SUM(K47:M47)</f>
        <v>0</v>
      </c>
      <c r="O47" s="1679" t="str">
        <f>IF(I47&gt;0,(N47-I47)/I47,(IF(N47=0,"N/A",100%)))</f>
        <v>N/A</v>
      </c>
      <c r="P47" s="1769">
        <f>+'NEW Summer CHP by DISC '!P47/15</f>
        <v>0</v>
      </c>
      <c r="Q47" s="1769">
        <f>+'NEW Summer CHP by DISC '!Q47/15</f>
        <v>0</v>
      </c>
      <c r="R47" s="1769">
        <f>+'NEW Summer CHP by DISC '!R47/12</f>
        <v>0</v>
      </c>
      <c r="S47" s="1769">
        <f>SUM(P47:R47)</f>
        <v>0</v>
      </c>
      <c r="T47" s="1679" t="str">
        <f>IF(N47&gt;0,(S47-N47)/N47,(IF(S47=0,"N/A",100%)))</f>
        <v>N/A</v>
      </c>
      <c r="U47" s="1769">
        <f>+'NEW Summer CHP by DISC '!U47/15</f>
        <v>0</v>
      </c>
      <c r="V47" s="1769">
        <f>+'NEW Summer CHP by DISC '!V47/15</f>
        <v>0</v>
      </c>
      <c r="W47" s="1769">
        <f>+'NEW Summer CHP by DISC '!W47/12</f>
        <v>0</v>
      </c>
      <c r="X47" s="1769">
        <f>SUM(U47:W47)</f>
        <v>0</v>
      </c>
      <c r="Y47" s="1679" t="str">
        <f>IF(S47&gt;0,(X47-S47)/S47,(IF(X47=0,"N/A",100%)))</f>
        <v>N/A</v>
      </c>
      <c r="Z47" s="1769">
        <f>+'NEW Summer CHP by DISC '!Z47/15</f>
        <v>0</v>
      </c>
      <c r="AA47" s="1769">
        <f>+'NEW Summer CHP by DISC '!AA47/15</f>
        <v>0</v>
      </c>
      <c r="AB47" s="1769">
        <f>+'NEW Summer CHP by DISC '!AB47/12</f>
        <v>0</v>
      </c>
      <c r="AC47" s="1769">
        <f>SUM(Z47:AB47)</f>
        <v>0</v>
      </c>
      <c r="AD47" s="1679" t="str">
        <f>IF(X47&gt;0,(AC47-X47)/X47,(IF(AC47=0,"N/A",100%)))</f>
        <v>N/A</v>
      </c>
      <c r="AE47" s="1788">
        <f>+'NEW Summer CHP by DISC '!AE47/15</f>
        <v>0.8</v>
      </c>
      <c r="AF47" s="1769">
        <f>+'NEW Summer CHP by DISC '!AF47/15</f>
        <v>0</v>
      </c>
      <c r="AG47" s="1769">
        <f>+'NEW Summer CHP by DISC '!AG47/12</f>
        <v>0</v>
      </c>
      <c r="AH47" s="1769">
        <f>SUM(AE47:AG47)</f>
        <v>0.8</v>
      </c>
      <c r="AI47" s="1679">
        <f>IF(AC47&gt;0,(AH47-AC47)/AC47,(IF(AH47=0,"N/A",100%)))</f>
        <v>1</v>
      </c>
      <c r="AJ47" s="1788">
        <f>+'NEW Summer CHP by DISC '!AJ47/15</f>
        <v>0</v>
      </c>
      <c r="AK47" s="1769">
        <f>+'NEW Summer CHP by DISC '!AK47/15</f>
        <v>0</v>
      </c>
      <c r="AL47" s="1769">
        <f>+'NEW Summer CHP by DISC '!AL47/12</f>
        <v>0</v>
      </c>
      <c r="AM47" s="1769">
        <f>SUM(AJ47:AL47)</f>
        <v>0</v>
      </c>
      <c r="AN47" s="1679">
        <f>IF(AH47&gt;0,(AM47-AH47)/AH47,(IF(AM47=0,"N/A",100%)))</f>
        <v>-1</v>
      </c>
      <c r="AO47" s="1788">
        <f>+'NEW Summer CHP by DISC '!AO47/15</f>
        <v>0</v>
      </c>
      <c r="AP47" s="1769">
        <f>+'NEW Summer CHP by DISC '!AP47/15</f>
        <v>0</v>
      </c>
      <c r="AQ47" s="1769">
        <f>+'NEW Summer CHP by DISC '!AQ47/12</f>
        <v>0</v>
      </c>
      <c r="AR47" s="1769">
        <f>SUM(AO47:AQ47)</f>
        <v>0</v>
      </c>
      <c r="AS47" s="1679" t="str">
        <f>IF(AM47&gt;0,(AR47-AM47)/AM47,(IF(AR47=0,"N/A",100%)))</f>
        <v>N/A</v>
      </c>
    </row>
    <row r="48" spans="1:246" s="484" customFormat="1" ht="13.8" x14ac:dyDescent="0.25">
      <c r="A48" s="480" t="s">
        <v>1015</v>
      </c>
      <c r="B48" s="1776">
        <f t="shared" ref="B48:I48" si="42">+B46+B47</f>
        <v>4.2</v>
      </c>
      <c r="C48" s="1776">
        <f t="shared" si="42"/>
        <v>0</v>
      </c>
      <c r="D48" s="1776">
        <f t="shared" si="42"/>
        <v>13.25</v>
      </c>
      <c r="E48" s="495">
        <f t="shared" si="42"/>
        <v>17.45</v>
      </c>
      <c r="F48" s="1776">
        <f t="shared" si="42"/>
        <v>3.2</v>
      </c>
      <c r="G48" s="1776">
        <f t="shared" si="42"/>
        <v>1.6666666666666667</v>
      </c>
      <c r="H48" s="1776">
        <f t="shared" si="42"/>
        <v>19.5</v>
      </c>
      <c r="I48" s="495">
        <f t="shared" si="42"/>
        <v>24.366666666666667</v>
      </c>
      <c r="J48" s="1772">
        <f>IF(E48&gt;0,(I48-E48)/E48,(IF(I48=0,"N/A",100%)))</f>
        <v>0.39637058261700103</v>
      </c>
      <c r="K48" s="1776">
        <f>+K46+K47</f>
        <v>2.2000000000000002</v>
      </c>
      <c r="L48" s="1776">
        <f>+L46+L47</f>
        <v>0.2</v>
      </c>
      <c r="M48" s="1776">
        <f>+M46+M47</f>
        <v>10.25</v>
      </c>
      <c r="N48" s="495">
        <f>+N46+N47</f>
        <v>12.65</v>
      </c>
      <c r="O48" s="1772">
        <f>IF(I48&gt;0,(N48-I48)/I48,(IF(N48=0,"N/A",100%)))</f>
        <v>-0.48084815321477425</v>
      </c>
      <c r="P48" s="1776">
        <f>+P46+P47</f>
        <v>1</v>
      </c>
      <c r="Q48" s="1776">
        <f>+Q46+Q47</f>
        <v>0.2</v>
      </c>
      <c r="R48" s="1776">
        <f>+R46+R47</f>
        <v>15.5</v>
      </c>
      <c r="S48" s="495">
        <f>+S46+S47</f>
        <v>16.7</v>
      </c>
      <c r="T48" s="1772">
        <f>IF(N48&gt;0,(S48-N48)/N48,(IF(S48=0,"N/A",100%)))</f>
        <v>0.32015810276679835</v>
      </c>
      <c r="U48" s="1776">
        <f>+U46+U47</f>
        <v>0</v>
      </c>
      <c r="V48" s="1776">
        <f>+V46+V47</f>
        <v>0.6</v>
      </c>
      <c r="W48" s="1776">
        <f>+W46+W47</f>
        <v>7.5</v>
      </c>
      <c r="X48" s="495">
        <f>+X46+X47</f>
        <v>8.1</v>
      </c>
      <c r="Y48" s="1772">
        <f>IF(S48&gt;0,(X48-S48)/S48,(IF(X48=0,"N/A",100%)))</f>
        <v>-0.51497005988023947</v>
      </c>
      <c r="Z48" s="1776">
        <f>+Z46+Z47</f>
        <v>0</v>
      </c>
      <c r="AA48" s="1776">
        <f>+AA46+AA47</f>
        <v>1.2</v>
      </c>
      <c r="AB48" s="1776">
        <f>+AB46+AB47</f>
        <v>10</v>
      </c>
      <c r="AC48" s="495">
        <f>+AC46+AC47</f>
        <v>11.2</v>
      </c>
      <c r="AD48" s="1772">
        <f>IF(X48&gt;0,(AC48-X48)/X48,(IF(AC48=0,"N/A",100%)))</f>
        <v>0.38271604938271603</v>
      </c>
      <c r="AE48" s="1042">
        <f>+AE46+AE47</f>
        <v>0.8</v>
      </c>
      <c r="AF48" s="1776">
        <f>+AF46+AF47</f>
        <v>0</v>
      </c>
      <c r="AG48" s="1776">
        <f>+AG46+AG47</f>
        <v>7</v>
      </c>
      <c r="AH48" s="495">
        <f>+AH46+AH47</f>
        <v>7.8</v>
      </c>
      <c r="AI48" s="1772">
        <f>IF(AC48&gt;0,(AH48-AC48)/AC48,(IF(AH48=0,"N/A",100%)))</f>
        <v>-0.30357142857142855</v>
      </c>
      <c r="AJ48" s="1042">
        <f>+AJ46+AJ47</f>
        <v>1.8</v>
      </c>
      <c r="AK48" s="1776">
        <f>+AK46+AK47</f>
        <v>0</v>
      </c>
      <c r="AL48" s="1776">
        <f>+AL46+AL47</f>
        <v>4</v>
      </c>
      <c r="AM48" s="495">
        <f>+AM46+AM47</f>
        <v>5.8</v>
      </c>
      <c r="AN48" s="1772">
        <f>IF(AH48&gt;0,(AM48-AH48)/AH48,(IF(AM48=0,"N/A",100%)))</f>
        <v>-0.25641025641025644</v>
      </c>
      <c r="AO48" s="1042">
        <f>+AO46+AO47</f>
        <v>1.8</v>
      </c>
      <c r="AP48" s="1776">
        <f>+AP46+AP47</f>
        <v>0.2</v>
      </c>
      <c r="AQ48" s="1776">
        <f>+AQ46+AQ47</f>
        <v>0</v>
      </c>
      <c r="AR48" s="495">
        <f>+AR46+AR47</f>
        <v>2</v>
      </c>
      <c r="AS48" s="1772">
        <f>IF(AM48&gt;0,(AR48-AM48)/AM48,(IF(AR48=0,"N/A",100%)))</f>
        <v>-0.65517241379310343</v>
      </c>
      <c r="AT48" s="280"/>
      <c r="AU48" s="280"/>
      <c r="AV48" s="280"/>
      <c r="AW48" s="280"/>
      <c r="AX48" s="280"/>
      <c r="AY48" s="280"/>
      <c r="AZ48" s="280"/>
      <c r="BA48" s="280"/>
      <c r="BB48" s="280"/>
      <c r="BC48" s="280"/>
      <c r="BD48" s="280"/>
      <c r="BE48" s="280"/>
      <c r="BF48" s="280"/>
      <c r="BG48" s="280"/>
      <c r="BH48" s="280"/>
      <c r="BI48" s="280"/>
      <c r="BJ48" s="280"/>
      <c r="BK48" s="280"/>
      <c r="BL48" s="280"/>
      <c r="BM48" s="280"/>
      <c r="BN48" s="280"/>
      <c r="BO48" s="280"/>
      <c r="BP48" s="280"/>
      <c r="BQ48" s="280"/>
      <c r="BR48" s="280"/>
      <c r="BS48" s="280"/>
      <c r="BT48" s="280"/>
      <c r="BU48" s="280"/>
      <c r="BV48" s="280"/>
      <c r="BW48" s="280"/>
      <c r="BX48" s="280"/>
      <c r="BY48" s="280"/>
      <c r="BZ48" s="280"/>
      <c r="CA48" s="280"/>
      <c r="CB48" s="280"/>
      <c r="CC48" s="280"/>
      <c r="CD48" s="280"/>
      <c r="CE48" s="280"/>
      <c r="CF48" s="280"/>
      <c r="CG48" s="280"/>
      <c r="CH48" s="280"/>
      <c r="CI48" s="280"/>
      <c r="CJ48" s="280"/>
      <c r="CK48" s="280"/>
      <c r="CL48" s="280"/>
      <c r="CM48" s="280"/>
      <c r="CN48" s="280"/>
      <c r="CO48" s="280"/>
      <c r="CP48" s="280"/>
      <c r="CQ48" s="280"/>
      <c r="CR48" s="280"/>
      <c r="CS48" s="280"/>
      <c r="CT48" s="280"/>
      <c r="CU48" s="280"/>
      <c r="CV48" s="280"/>
      <c r="CW48" s="280"/>
      <c r="CX48" s="280"/>
      <c r="CY48" s="280"/>
      <c r="CZ48" s="280"/>
      <c r="DA48" s="280"/>
      <c r="DB48" s="280"/>
      <c r="DC48" s="280"/>
      <c r="DD48" s="280"/>
      <c r="DE48" s="280"/>
      <c r="DF48" s="280"/>
      <c r="DG48" s="280"/>
      <c r="DH48" s="280"/>
      <c r="DI48" s="280"/>
      <c r="DJ48" s="280"/>
      <c r="DK48" s="280"/>
      <c r="DL48" s="280"/>
      <c r="DM48" s="280"/>
      <c r="DN48" s="280"/>
      <c r="DO48" s="280"/>
      <c r="DP48" s="280"/>
      <c r="DQ48" s="280"/>
      <c r="DR48" s="280"/>
      <c r="DS48" s="280"/>
      <c r="DT48" s="280"/>
      <c r="DU48" s="280"/>
      <c r="DV48" s="280"/>
      <c r="DW48" s="280"/>
      <c r="DX48" s="280"/>
      <c r="DY48" s="280"/>
      <c r="DZ48" s="280"/>
      <c r="EA48" s="280"/>
      <c r="EB48" s="280"/>
      <c r="EC48" s="280"/>
      <c r="ED48" s="280"/>
      <c r="EE48" s="280"/>
      <c r="EF48" s="280"/>
      <c r="EG48" s="280"/>
      <c r="EH48" s="280"/>
      <c r="EI48" s="280"/>
      <c r="EJ48" s="280"/>
      <c r="EK48" s="280"/>
      <c r="EL48" s="280"/>
      <c r="EM48" s="280"/>
      <c r="EN48" s="280"/>
      <c r="EO48" s="280"/>
      <c r="EP48" s="280"/>
      <c r="EQ48" s="280"/>
      <c r="ER48" s="280"/>
      <c r="ES48" s="280"/>
      <c r="ET48" s="280"/>
      <c r="EU48" s="280"/>
      <c r="EV48" s="280"/>
      <c r="EW48" s="280"/>
      <c r="EX48" s="280"/>
      <c r="EY48" s="280"/>
      <c r="EZ48" s="280"/>
      <c r="FA48" s="280"/>
      <c r="FB48" s="280"/>
      <c r="FC48" s="280"/>
      <c r="FD48" s="280"/>
      <c r="FE48" s="280"/>
      <c r="FF48" s="280"/>
      <c r="FG48" s="280"/>
      <c r="FH48" s="280"/>
      <c r="FI48" s="280"/>
      <c r="FJ48" s="280"/>
      <c r="FK48" s="280"/>
      <c r="FL48" s="280"/>
      <c r="FM48" s="280"/>
      <c r="FN48" s="280"/>
      <c r="FO48" s="280"/>
      <c r="FP48" s="280"/>
      <c r="FQ48" s="280"/>
      <c r="FR48" s="280"/>
      <c r="FS48" s="280"/>
      <c r="FT48" s="280"/>
      <c r="FU48" s="280"/>
      <c r="FV48" s="280"/>
      <c r="FW48" s="280"/>
      <c r="FX48" s="280"/>
      <c r="FY48" s="280"/>
      <c r="FZ48" s="280"/>
      <c r="GA48" s="280"/>
      <c r="GB48" s="280"/>
      <c r="GC48" s="280"/>
      <c r="GD48" s="280"/>
      <c r="GE48" s="280"/>
      <c r="GF48" s="280"/>
      <c r="GG48" s="280"/>
      <c r="GH48" s="280"/>
      <c r="GI48" s="280"/>
      <c r="GJ48" s="280"/>
      <c r="GK48" s="280"/>
      <c r="GL48" s="280"/>
      <c r="GM48" s="280"/>
      <c r="GN48" s="280"/>
      <c r="GO48" s="280"/>
      <c r="GP48" s="280"/>
      <c r="GQ48" s="280"/>
      <c r="GR48" s="280"/>
      <c r="GS48" s="280"/>
      <c r="GT48" s="280"/>
      <c r="GU48" s="280"/>
      <c r="GV48" s="280"/>
      <c r="GW48" s="280"/>
      <c r="GX48" s="280"/>
      <c r="GY48" s="280"/>
      <c r="GZ48" s="280"/>
      <c r="HA48" s="280"/>
      <c r="HB48" s="280"/>
      <c r="HC48" s="280"/>
      <c r="HD48" s="280"/>
      <c r="HE48" s="280"/>
      <c r="HF48" s="280"/>
      <c r="HG48" s="280"/>
      <c r="HH48" s="280"/>
      <c r="HI48" s="280"/>
      <c r="HJ48" s="280"/>
      <c r="HK48" s="280"/>
      <c r="HL48" s="280"/>
      <c r="HM48" s="280"/>
      <c r="HN48" s="280"/>
      <c r="HO48" s="280"/>
      <c r="HP48" s="280"/>
      <c r="HQ48" s="280"/>
      <c r="HR48" s="280"/>
      <c r="HS48" s="280"/>
      <c r="HT48" s="280"/>
      <c r="HU48" s="280"/>
      <c r="HV48" s="280"/>
      <c r="HW48" s="280"/>
      <c r="HX48" s="280"/>
      <c r="HY48" s="280"/>
      <c r="HZ48" s="280"/>
      <c r="IA48" s="280"/>
      <c r="IB48" s="280"/>
      <c r="IC48" s="280"/>
      <c r="ID48" s="280"/>
      <c r="IE48" s="280"/>
      <c r="IF48" s="280"/>
      <c r="IG48" s="280"/>
      <c r="IH48" s="280"/>
      <c r="II48" s="280"/>
      <c r="IJ48" s="280"/>
      <c r="IK48" s="280"/>
      <c r="IL48" s="280"/>
    </row>
    <row r="49" spans="1:45" x14ac:dyDescent="0.25">
      <c r="A49" s="485" t="s">
        <v>420</v>
      </c>
      <c r="B49" s="1765"/>
      <c r="C49" s="1766"/>
      <c r="D49" s="1766"/>
      <c r="E49" s="1777"/>
      <c r="F49" s="1765"/>
      <c r="G49" s="1766"/>
      <c r="H49" s="1766"/>
      <c r="I49" s="1766"/>
      <c r="J49" s="1768"/>
      <c r="K49" s="1765"/>
      <c r="L49" s="1766"/>
      <c r="M49" s="1766"/>
      <c r="N49" s="1767"/>
      <c r="O49" s="1768"/>
      <c r="P49" s="1765"/>
      <c r="Q49" s="1766"/>
      <c r="R49" s="1766"/>
      <c r="S49" s="1766"/>
      <c r="T49" s="1768"/>
      <c r="U49" s="1765"/>
      <c r="V49" s="1766"/>
      <c r="W49" s="1766"/>
      <c r="X49" s="1766"/>
      <c r="Y49" s="1768"/>
      <c r="Z49" s="1765"/>
      <c r="AA49" s="1766"/>
      <c r="AB49" s="1766"/>
      <c r="AC49" s="1766"/>
      <c r="AD49" s="1768"/>
      <c r="AE49" s="1815"/>
      <c r="AF49" s="1766"/>
      <c r="AG49" s="1766"/>
      <c r="AH49" s="1766"/>
      <c r="AI49" s="1768"/>
      <c r="AJ49" s="1815"/>
      <c r="AK49" s="1766"/>
      <c r="AL49" s="1766"/>
      <c r="AM49" s="1766"/>
      <c r="AN49" s="1768"/>
      <c r="AO49" s="1815"/>
      <c r="AP49" s="1766"/>
      <c r="AQ49" s="1766"/>
      <c r="AR49" s="1766"/>
      <c r="AS49" s="1768"/>
    </row>
    <row r="50" spans="1:45" x14ac:dyDescent="0.25">
      <c r="A50" s="1778" t="s">
        <v>1068</v>
      </c>
      <c r="B50" s="1769">
        <f>+'NEW Summer CHP by DISC '!B50/15</f>
        <v>0</v>
      </c>
      <c r="C50" s="1769">
        <f>+'NEW Summer CHP by DISC '!C50/15</f>
        <v>0</v>
      </c>
      <c r="D50" s="1769">
        <f>+'NEW Summer CHP by DISC '!D50/12</f>
        <v>0</v>
      </c>
      <c r="E50" s="1770">
        <f t="shared" ref="E50:E55" si="43">SUM(B50:D50)</f>
        <v>0</v>
      </c>
      <c r="F50" s="1769">
        <f>+'NEW Summer CHP by DISC '!F50/15</f>
        <v>0</v>
      </c>
      <c r="G50" s="1769">
        <f>+'NEW Summer CHP by DISC '!G50/15</f>
        <v>0</v>
      </c>
      <c r="H50" s="1769">
        <f>+'NEW Summer CHP by DISC '!H50/12</f>
        <v>0</v>
      </c>
      <c r="I50" s="1769">
        <f t="shared" ref="I50:I55" si="44">SUM(F50:H50)</f>
        <v>0</v>
      </c>
      <c r="J50" s="1679" t="str">
        <f t="shared" ref="J50:J56" si="45">IF(E50&gt;0,(I50-E50)/E50,(IF(I50=0,"N/A",100%)))</f>
        <v>N/A</v>
      </c>
      <c r="K50" s="1769">
        <f>+'NEW Summer CHP by DISC '!K50/15</f>
        <v>0</v>
      </c>
      <c r="L50" s="1769">
        <f>+'NEW Summer CHP by DISC '!L50/15</f>
        <v>0</v>
      </c>
      <c r="M50" s="1769">
        <f>+'NEW Summer CHP by DISC '!M50/12</f>
        <v>0</v>
      </c>
      <c r="N50" s="1771">
        <f t="shared" ref="N50:N55" si="46">SUM(K50:M50)</f>
        <v>0</v>
      </c>
      <c r="O50" s="1679" t="str">
        <f t="shared" ref="O50:O56" si="47">IF(I50&gt;0,(N50-I50)/I50,(IF(N50=0,"N/A",100%)))</f>
        <v>N/A</v>
      </c>
      <c r="P50" s="1769">
        <f>+'NEW Summer CHP by DISC '!P50/15</f>
        <v>0</v>
      </c>
      <c r="Q50" s="1769">
        <f>+'NEW Summer CHP by DISC '!Q50/15</f>
        <v>0</v>
      </c>
      <c r="R50" s="1769">
        <f>+'NEW Summer CHP by DISC '!R50/12</f>
        <v>0</v>
      </c>
      <c r="S50" s="1769">
        <f t="shared" ref="S50:S55" si="48">SUM(P50:R50)</f>
        <v>0</v>
      </c>
      <c r="T50" s="1679" t="str">
        <f t="shared" ref="T50:T56" si="49">IF(N50&gt;0,(S50-N50)/N50,(IF(S50=0,"N/A",100%)))</f>
        <v>N/A</v>
      </c>
      <c r="U50" s="1769">
        <f>+'NEW Summer CHP by DISC '!U50/15</f>
        <v>0</v>
      </c>
      <c r="V50" s="1769">
        <f>+'NEW Summer CHP by DISC '!V50/15</f>
        <v>0</v>
      </c>
      <c r="W50" s="1769">
        <f>+'NEW Summer CHP by DISC '!W50/12</f>
        <v>0</v>
      </c>
      <c r="X50" s="1769">
        <f t="shared" ref="X50:X55" si="50">SUM(U50:W50)</f>
        <v>0</v>
      </c>
      <c r="Y50" s="1679" t="str">
        <f t="shared" ref="Y50:Y56" si="51">IF(S50&gt;0,(X50-S50)/S50,(IF(X50=0,"N/A",100%)))</f>
        <v>N/A</v>
      </c>
      <c r="Z50" s="1769">
        <f>+'NEW Summer CHP by DISC '!Z50/15</f>
        <v>0</v>
      </c>
      <c r="AA50" s="1769">
        <f>+'NEW Summer CHP by DISC '!AA50/15</f>
        <v>0</v>
      </c>
      <c r="AB50" s="1769">
        <f>+'NEW Summer CHP by DISC '!AB50/12</f>
        <v>0</v>
      </c>
      <c r="AC50" s="1769">
        <f t="shared" ref="AC50:AC55" si="52">SUM(Z50:AB50)</f>
        <v>0</v>
      </c>
      <c r="AD50" s="1679" t="str">
        <f t="shared" ref="AD50:AD56" si="53">IF(X50&gt;0,(AC50-X50)/X50,(IF(AC50=0,"N/A",100%)))</f>
        <v>N/A</v>
      </c>
      <c r="AE50" s="1788">
        <f>+'NEW Summer CHP by DISC '!AE50/15</f>
        <v>0</v>
      </c>
      <c r="AF50" s="1769">
        <f>+'NEW Summer CHP by DISC '!AF50/15</f>
        <v>0</v>
      </c>
      <c r="AG50" s="1769">
        <f>+'NEW Summer CHP by DISC '!AG50/12</f>
        <v>0</v>
      </c>
      <c r="AH50" s="1769">
        <f t="shared" ref="AH50:AH55" si="54">SUM(AE50:AG50)</f>
        <v>0</v>
      </c>
      <c r="AI50" s="1679" t="str">
        <f t="shared" ref="AI50:AI56" si="55">IF(AC50&gt;0,(AH50-AC50)/AC50,(IF(AH50=0,"N/A",100%)))</f>
        <v>N/A</v>
      </c>
      <c r="AJ50" s="1788">
        <f>+'NEW Summer CHP by DISC '!AJ50/15</f>
        <v>0</v>
      </c>
      <c r="AK50" s="1769">
        <f>+'NEW Summer CHP by DISC '!AK50/15</f>
        <v>0</v>
      </c>
      <c r="AL50" s="1769">
        <f>+'NEW Summer CHP by DISC '!AL50/12</f>
        <v>0</v>
      </c>
      <c r="AM50" s="1769">
        <f t="shared" ref="AM50:AM55" si="56">SUM(AJ50:AL50)</f>
        <v>0</v>
      </c>
      <c r="AN50" s="1679" t="str">
        <f t="shared" ref="AN50:AN56" si="57">IF(AH50&gt;0,(AM50-AH50)/AH50,(IF(AM50=0,"N/A",100%)))</f>
        <v>N/A</v>
      </c>
      <c r="AO50" s="1788">
        <f>+'NEW Summer CHP by DISC '!AO50/15</f>
        <v>0</v>
      </c>
      <c r="AP50" s="1769">
        <f>+'NEW Summer CHP by DISC '!AP50/15</f>
        <v>0</v>
      </c>
      <c r="AQ50" s="1769">
        <f>+'NEW Summer CHP by DISC '!AQ50/12</f>
        <v>0</v>
      </c>
      <c r="AR50" s="1769">
        <f t="shared" ref="AR50:AR55" si="58">SUM(AO50:AQ50)</f>
        <v>0</v>
      </c>
      <c r="AS50" s="1679" t="str">
        <f t="shared" ref="AS50:AS56" si="59">IF(AM50&gt;0,(AR50-AM50)/AM50,(IF(AR50=0,"N/A",100%)))</f>
        <v>N/A</v>
      </c>
    </row>
    <row r="51" spans="1:45" x14ac:dyDescent="0.25">
      <c r="A51" s="478" t="s">
        <v>1032</v>
      </c>
      <c r="B51" s="1769">
        <f>+'NEW Summer CHP by DISC '!B51/15</f>
        <v>1.4</v>
      </c>
      <c r="C51" s="1769">
        <f>+'NEW Summer CHP by DISC '!C51/15</f>
        <v>2</v>
      </c>
      <c r="D51" s="1769">
        <f>+'NEW Summer CHP by DISC '!D51/12</f>
        <v>0</v>
      </c>
      <c r="E51" s="1770">
        <f t="shared" si="43"/>
        <v>3.4</v>
      </c>
      <c r="F51" s="1769">
        <f>+'NEW Summer CHP by DISC '!F51/15</f>
        <v>0.6</v>
      </c>
      <c r="G51" s="1769">
        <f>+'NEW Summer CHP by DISC '!G51/15</f>
        <v>1.6</v>
      </c>
      <c r="H51" s="1769">
        <f>+'NEW Summer CHP by DISC '!H51/12</f>
        <v>0</v>
      </c>
      <c r="I51" s="1769">
        <f t="shared" si="44"/>
        <v>2.2000000000000002</v>
      </c>
      <c r="J51" s="1679">
        <f t="shared" si="45"/>
        <v>-0.35294117647058815</v>
      </c>
      <c r="K51" s="1769">
        <f>+'NEW Summer CHP by DISC '!K51/15</f>
        <v>1.4</v>
      </c>
      <c r="L51" s="1769">
        <f>+'NEW Summer CHP by DISC '!L51/15</f>
        <v>2</v>
      </c>
      <c r="M51" s="1769">
        <f>+'NEW Summer CHP by DISC '!M51/12</f>
        <v>0</v>
      </c>
      <c r="N51" s="1771">
        <f t="shared" si="46"/>
        <v>3.4</v>
      </c>
      <c r="O51" s="1679">
        <f t="shared" si="47"/>
        <v>0.5454545454545453</v>
      </c>
      <c r="P51" s="1769">
        <f>+'NEW Summer CHP by DISC '!P51/15</f>
        <v>0</v>
      </c>
      <c r="Q51" s="1769">
        <f>+'NEW Summer CHP by DISC '!Q51/15</f>
        <v>1.6</v>
      </c>
      <c r="R51" s="1769">
        <f>+'NEW Summer CHP by DISC '!R51/12</f>
        <v>0</v>
      </c>
      <c r="S51" s="1769">
        <f t="shared" si="48"/>
        <v>1.6</v>
      </c>
      <c r="T51" s="1679">
        <f t="shared" si="49"/>
        <v>-0.52941176470588236</v>
      </c>
      <c r="U51" s="1769">
        <f>+'NEW Summer CHP by DISC '!U51/15</f>
        <v>1.4</v>
      </c>
      <c r="V51" s="1769">
        <f>+'NEW Summer CHP by DISC '!V51/15</f>
        <v>1</v>
      </c>
      <c r="W51" s="1769">
        <f>+'NEW Summer CHP by DISC '!W51/12</f>
        <v>0</v>
      </c>
      <c r="X51" s="1769">
        <f t="shared" si="50"/>
        <v>2.4</v>
      </c>
      <c r="Y51" s="1679">
        <f t="shared" si="51"/>
        <v>0.49999999999999989</v>
      </c>
      <c r="Z51" s="1769">
        <f>+'NEW Summer CHP by DISC '!Z51/15</f>
        <v>0</v>
      </c>
      <c r="AA51" s="1769">
        <f>+'NEW Summer CHP by DISC '!AA51/15</f>
        <v>3.2</v>
      </c>
      <c r="AB51" s="1769">
        <f>+'NEW Summer CHP by DISC '!AB51/12</f>
        <v>0</v>
      </c>
      <c r="AC51" s="1769">
        <f t="shared" si="52"/>
        <v>3.2</v>
      </c>
      <c r="AD51" s="1679">
        <f t="shared" si="53"/>
        <v>0.33333333333333348</v>
      </c>
      <c r="AE51" s="1788">
        <f>+'NEW Summer CHP by DISC '!AE51/15</f>
        <v>0.8</v>
      </c>
      <c r="AF51" s="1769">
        <f>+'NEW Summer CHP by DISC '!AF51/15</f>
        <v>1.6</v>
      </c>
      <c r="AG51" s="1769">
        <f>+'NEW Summer CHP by DISC '!AG51/12</f>
        <v>0</v>
      </c>
      <c r="AH51" s="1769">
        <f t="shared" si="54"/>
        <v>2.4000000000000004</v>
      </c>
      <c r="AI51" s="1679">
        <f t="shared" si="55"/>
        <v>-0.24999999999999994</v>
      </c>
      <c r="AJ51" s="1788">
        <f>+'NEW Summer CHP by DISC '!AJ51/15</f>
        <v>1.2</v>
      </c>
      <c r="AK51" s="1769">
        <f>+'NEW Summer CHP by DISC '!AK51/15</f>
        <v>1.4</v>
      </c>
      <c r="AL51" s="1769">
        <f>+'NEW Summer CHP by DISC '!AL51/12</f>
        <v>0</v>
      </c>
      <c r="AM51" s="1769">
        <f t="shared" si="56"/>
        <v>2.5999999999999996</v>
      </c>
      <c r="AN51" s="1679">
        <f t="shared" si="57"/>
        <v>8.3333333333333023E-2</v>
      </c>
      <c r="AO51" s="1788">
        <f>+'NEW Summer CHP by DISC '!AO51/15</f>
        <v>2.4</v>
      </c>
      <c r="AP51" s="1769">
        <f>+'NEW Summer CHP by DISC '!AP51/15</f>
        <v>1</v>
      </c>
      <c r="AQ51" s="1769">
        <f>+'NEW Summer CHP by DISC '!AQ51/12</f>
        <v>0</v>
      </c>
      <c r="AR51" s="1769">
        <f t="shared" si="58"/>
        <v>3.4</v>
      </c>
      <c r="AS51" s="1679">
        <f t="shared" si="59"/>
        <v>0.30769230769230782</v>
      </c>
    </row>
    <row r="52" spans="1:45" x14ac:dyDescent="0.25">
      <c r="A52" s="478" t="s">
        <v>1036</v>
      </c>
      <c r="B52" s="1769">
        <f>+'NEW Summer CHP by DISC '!B52/15</f>
        <v>0.8</v>
      </c>
      <c r="C52" s="1769">
        <f>+'NEW Summer CHP by DISC '!C52/15</f>
        <v>7.2</v>
      </c>
      <c r="D52" s="1769">
        <f>+'NEW Summer CHP by DISC '!D52/12</f>
        <v>0</v>
      </c>
      <c r="E52" s="1770">
        <f t="shared" si="43"/>
        <v>8</v>
      </c>
      <c r="F52" s="1769">
        <f>+'NEW Summer CHP by DISC '!F52/15</f>
        <v>0</v>
      </c>
      <c r="G52" s="1769">
        <f>+'NEW Summer CHP by DISC '!G52/15</f>
        <v>2.4</v>
      </c>
      <c r="H52" s="1769">
        <f>+'NEW Summer CHP by DISC '!H52/12</f>
        <v>0</v>
      </c>
      <c r="I52" s="1769">
        <f t="shared" si="44"/>
        <v>2.4</v>
      </c>
      <c r="J52" s="1679">
        <f t="shared" si="45"/>
        <v>-0.7</v>
      </c>
      <c r="K52" s="1769">
        <f>+'NEW Summer CHP by DISC '!K52/15</f>
        <v>0</v>
      </c>
      <c r="L52" s="1769">
        <f>+'NEW Summer CHP by DISC '!L52/15</f>
        <v>1.2</v>
      </c>
      <c r="M52" s="1769">
        <f>+'NEW Summer CHP by DISC '!M52/12</f>
        <v>0</v>
      </c>
      <c r="N52" s="1771">
        <f t="shared" si="46"/>
        <v>1.2</v>
      </c>
      <c r="O52" s="1679">
        <f t="shared" si="47"/>
        <v>-0.5</v>
      </c>
      <c r="P52" s="1769">
        <f>+'NEW Summer CHP by DISC '!P52/15</f>
        <v>0</v>
      </c>
      <c r="Q52" s="1769">
        <f>+'NEW Summer CHP by DISC '!Q52/15</f>
        <v>6.666666666666667</v>
      </c>
      <c r="R52" s="1769">
        <f>+'NEW Summer CHP by DISC '!R52/12</f>
        <v>0</v>
      </c>
      <c r="S52" s="1769">
        <f t="shared" si="48"/>
        <v>6.666666666666667</v>
      </c>
      <c r="T52" s="1679">
        <f t="shared" si="49"/>
        <v>4.5555555555555562</v>
      </c>
      <c r="U52" s="1769">
        <f>+'NEW Summer CHP by DISC '!U52/15</f>
        <v>0.2</v>
      </c>
      <c r="V52" s="1769">
        <f>+'NEW Summer CHP by DISC '!V52/15</f>
        <v>4.4666666666666668</v>
      </c>
      <c r="W52" s="1769">
        <f>+'NEW Summer CHP by DISC '!W52/12</f>
        <v>0</v>
      </c>
      <c r="X52" s="1769">
        <f t="shared" si="50"/>
        <v>4.666666666666667</v>
      </c>
      <c r="Y52" s="1679">
        <f t="shared" si="51"/>
        <v>-0.3</v>
      </c>
      <c r="Z52" s="1769">
        <f>+'NEW Summer CHP by DISC '!Z52/15</f>
        <v>0</v>
      </c>
      <c r="AA52" s="1769">
        <f>+'NEW Summer CHP by DISC '!AA52/15</f>
        <v>6.6</v>
      </c>
      <c r="AB52" s="1769">
        <f>+'NEW Summer CHP by DISC '!AB52/12</f>
        <v>0</v>
      </c>
      <c r="AC52" s="1769">
        <f t="shared" si="52"/>
        <v>6.6</v>
      </c>
      <c r="AD52" s="1679">
        <f t="shared" si="53"/>
        <v>0.41428571428571415</v>
      </c>
      <c r="AE52" s="1788">
        <f>+'NEW Summer CHP by DISC '!AE52/15</f>
        <v>1.6</v>
      </c>
      <c r="AF52" s="1769">
        <f>+'NEW Summer CHP by DISC '!AF52/15</f>
        <v>3.6</v>
      </c>
      <c r="AG52" s="1769">
        <f>+'NEW Summer CHP by DISC '!AG52/12</f>
        <v>0</v>
      </c>
      <c r="AH52" s="1769">
        <f t="shared" si="54"/>
        <v>5.2</v>
      </c>
      <c r="AI52" s="1679">
        <f t="shared" si="55"/>
        <v>-0.21212121212121204</v>
      </c>
      <c r="AJ52" s="1788">
        <f>+'NEW Summer CHP by DISC '!AJ52/15</f>
        <v>1.4</v>
      </c>
      <c r="AK52" s="1769">
        <f>+'NEW Summer CHP by DISC '!AK52/15</f>
        <v>5</v>
      </c>
      <c r="AL52" s="1769">
        <f>+'NEW Summer CHP by DISC '!AL52/12</f>
        <v>0</v>
      </c>
      <c r="AM52" s="1769">
        <f t="shared" si="56"/>
        <v>6.4</v>
      </c>
      <c r="AN52" s="1679">
        <f t="shared" si="57"/>
        <v>0.23076923076923078</v>
      </c>
      <c r="AO52" s="1788">
        <f>+'NEW Summer CHP by DISC '!AO52/15</f>
        <v>2.6</v>
      </c>
      <c r="AP52" s="1769">
        <f>+'NEW Summer CHP by DISC '!AP52/15</f>
        <v>5</v>
      </c>
      <c r="AQ52" s="1769">
        <f>+'NEW Summer CHP by DISC '!AQ52/12</f>
        <v>0</v>
      </c>
      <c r="AR52" s="1769">
        <f t="shared" si="58"/>
        <v>7.6</v>
      </c>
      <c r="AS52" s="1679">
        <f t="shared" si="59"/>
        <v>0.18749999999999989</v>
      </c>
    </row>
    <row r="53" spans="1:45" x14ac:dyDescent="0.25">
      <c r="A53" s="478" t="s">
        <v>1035</v>
      </c>
      <c r="B53" s="1769">
        <v>0</v>
      </c>
      <c r="C53" s="1769">
        <v>0</v>
      </c>
      <c r="D53" s="1769">
        <v>0</v>
      </c>
      <c r="E53" s="1770">
        <f t="shared" si="43"/>
        <v>0</v>
      </c>
      <c r="F53" s="1769">
        <f>+'NEW Summer CHP by DISC '!F53/15</f>
        <v>0</v>
      </c>
      <c r="G53" s="1769">
        <f>+'NEW Summer CHP by DISC '!G53/15</f>
        <v>0.13333333333333333</v>
      </c>
      <c r="H53" s="1769">
        <f>+'NEW Summer CHP by DISC '!H53/12</f>
        <v>0</v>
      </c>
      <c r="I53" s="1769">
        <f t="shared" si="44"/>
        <v>0.13333333333333333</v>
      </c>
      <c r="J53" s="1679">
        <f>IF(E53&gt;0,(I53-E53)/E53,(IF(I53=0,"N/A",100%)))</f>
        <v>1</v>
      </c>
      <c r="K53" s="1769">
        <f>+'NEW Summer CHP by DISC '!K53/15</f>
        <v>0</v>
      </c>
      <c r="L53" s="1769">
        <f>+'NEW Summer CHP by DISC '!L53/15</f>
        <v>0</v>
      </c>
      <c r="M53" s="1769">
        <f>+'NEW Summer CHP by DISC '!M53/12</f>
        <v>0</v>
      </c>
      <c r="N53" s="1771">
        <f t="shared" si="46"/>
        <v>0</v>
      </c>
      <c r="O53" s="1679">
        <f t="shared" si="47"/>
        <v>-1</v>
      </c>
      <c r="P53" s="1769">
        <f>+'NEW Summer CHP by DISC '!P53/15</f>
        <v>0</v>
      </c>
      <c r="Q53" s="1769">
        <f>+'NEW Summer CHP by DISC '!Q53/15</f>
        <v>0</v>
      </c>
      <c r="R53" s="1769">
        <f>+'NEW Summer CHP by DISC '!R53/12</f>
        <v>0</v>
      </c>
      <c r="S53" s="1769">
        <f t="shared" si="48"/>
        <v>0</v>
      </c>
      <c r="T53" s="1679" t="str">
        <f>IF(N53&gt;0,(S53-N53)/N53,(IF(S53=0,"N/A",100%)))</f>
        <v>N/A</v>
      </c>
      <c r="U53" s="1769">
        <f>+'NEW Summer CHP by DISC '!U53/15</f>
        <v>0</v>
      </c>
      <c r="V53" s="1769">
        <f>+'NEW Summer CHP by DISC '!V53/15</f>
        <v>0.26666666666666666</v>
      </c>
      <c r="W53" s="1769">
        <f>+'NEW Summer CHP by DISC '!W53/12</f>
        <v>0</v>
      </c>
      <c r="X53" s="1769">
        <f t="shared" si="50"/>
        <v>0.26666666666666666</v>
      </c>
      <c r="Y53" s="1679">
        <f>IF(S53&gt;0,(X53-S53)/S53,(IF(X53=0,"N/A",100%)))</f>
        <v>1</v>
      </c>
      <c r="Z53" s="1769">
        <f>+'NEW Summer CHP by DISC '!Z53/15</f>
        <v>0</v>
      </c>
      <c r="AA53" s="1769">
        <f>+'NEW Summer CHP by DISC '!AA53/15</f>
        <v>0</v>
      </c>
      <c r="AB53" s="1769">
        <f>+'NEW Summer CHP by DISC '!AB53/12</f>
        <v>0</v>
      </c>
      <c r="AC53" s="1769">
        <f t="shared" si="52"/>
        <v>0</v>
      </c>
      <c r="AD53" s="1679">
        <f t="shared" si="53"/>
        <v>-1</v>
      </c>
      <c r="AE53" s="1788">
        <f>+'NEW Summer CHP by DISC '!AE53/15</f>
        <v>0</v>
      </c>
      <c r="AF53" s="1769">
        <f>+'NEW Summer CHP by DISC '!AF53/15</f>
        <v>0.13333333333333333</v>
      </c>
      <c r="AG53" s="1769">
        <f>+'NEW Summer CHP by DISC '!AG53/12</f>
        <v>0</v>
      </c>
      <c r="AH53" s="1769">
        <f t="shared" si="54"/>
        <v>0.13333333333333333</v>
      </c>
      <c r="AI53" s="1679">
        <f t="shared" si="55"/>
        <v>1</v>
      </c>
      <c r="AJ53" s="1788">
        <f>+'NEW Summer CHP by DISC '!AJ53/15</f>
        <v>0</v>
      </c>
      <c r="AK53" s="1769">
        <f>+'NEW Summer CHP by DISC '!AK53/15</f>
        <v>0</v>
      </c>
      <c r="AL53" s="1769">
        <f>+'NEW Summer CHP by DISC '!AL53/12</f>
        <v>0</v>
      </c>
      <c r="AM53" s="1769">
        <f t="shared" si="56"/>
        <v>0</v>
      </c>
      <c r="AN53" s="1679">
        <f t="shared" si="57"/>
        <v>-1</v>
      </c>
      <c r="AO53" s="1788">
        <f>+'NEW Summer CHP by DISC '!AO53/15</f>
        <v>0</v>
      </c>
      <c r="AP53" s="1769">
        <f>+'NEW Summer CHP by DISC '!AP53/15</f>
        <v>0.33333333333333331</v>
      </c>
      <c r="AQ53" s="1769">
        <f>+'NEW Summer CHP by DISC '!AQ53/12</f>
        <v>0</v>
      </c>
      <c r="AR53" s="1769">
        <f t="shared" si="58"/>
        <v>0.33333333333333331</v>
      </c>
      <c r="AS53" s="1679">
        <f t="shared" si="59"/>
        <v>1</v>
      </c>
    </row>
    <row r="54" spans="1:45" x14ac:dyDescent="0.25">
      <c r="A54" s="478" t="s">
        <v>1039</v>
      </c>
      <c r="B54" s="1769">
        <f>+'NEW Summer CHP by DISC '!B54/15</f>
        <v>3.2</v>
      </c>
      <c r="C54" s="1769">
        <f>+'NEW Summer CHP by DISC '!C54/15</f>
        <v>0</v>
      </c>
      <c r="D54" s="1769">
        <f>+'NEW Summer CHP by DISC '!D54/12</f>
        <v>0</v>
      </c>
      <c r="E54" s="1770">
        <f t="shared" si="43"/>
        <v>3.2</v>
      </c>
      <c r="F54" s="1769">
        <f>+'NEW Summer CHP by DISC '!F54/15</f>
        <v>2</v>
      </c>
      <c r="G54" s="1769">
        <f>+'NEW Summer CHP by DISC '!G54/15</f>
        <v>0</v>
      </c>
      <c r="H54" s="1769">
        <f>+'NEW Summer CHP by DISC '!H54/12</f>
        <v>0</v>
      </c>
      <c r="I54" s="1769">
        <f t="shared" si="44"/>
        <v>2</v>
      </c>
      <c r="J54" s="1679">
        <f t="shared" si="45"/>
        <v>-0.37500000000000006</v>
      </c>
      <c r="K54" s="1769">
        <f>+'NEW Summer CHP by DISC '!K54/15</f>
        <v>2.6</v>
      </c>
      <c r="L54" s="1769">
        <f>+'NEW Summer CHP by DISC '!L54/15</f>
        <v>0</v>
      </c>
      <c r="M54" s="1769">
        <f>+'NEW Summer CHP by DISC '!M54/12</f>
        <v>0</v>
      </c>
      <c r="N54" s="1771">
        <f t="shared" si="46"/>
        <v>2.6</v>
      </c>
      <c r="O54" s="1679">
        <f t="shared" si="47"/>
        <v>0.30000000000000004</v>
      </c>
      <c r="P54" s="1769">
        <f>+'NEW Summer CHP by DISC '!P54/15</f>
        <v>3.4</v>
      </c>
      <c r="Q54" s="1769">
        <f>+'NEW Summer CHP by DISC '!Q54/15</f>
        <v>0</v>
      </c>
      <c r="R54" s="1769">
        <f>+'NEW Summer CHP by DISC '!R54/12</f>
        <v>0</v>
      </c>
      <c r="S54" s="1769">
        <f t="shared" si="48"/>
        <v>3.4</v>
      </c>
      <c r="T54" s="1679">
        <f t="shared" si="49"/>
        <v>0.3076923076923076</v>
      </c>
      <c r="U54" s="1769">
        <f>+'NEW Summer CHP by DISC '!U54/15</f>
        <v>1.4</v>
      </c>
      <c r="V54" s="1769">
        <f>+'NEW Summer CHP by DISC '!V54/15</f>
        <v>0</v>
      </c>
      <c r="W54" s="1769">
        <f>+'NEW Summer CHP by DISC '!W54/12</f>
        <v>0</v>
      </c>
      <c r="X54" s="1769">
        <f t="shared" si="50"/>
        <v>1.4</v>
      </c>
      <c r="Y54" s="1679">
        <f t="shared" si="51"/>
        <v>-0.58823529411764708</v>
      </c>
      <c r="Z54" s="1769">
        <f>+'NEW Summer CHP by DISC '!Z54/15</f>
        <v>2.2000000000000002</v>
      </c>
      <c r="AA54" s="1769">
        <f>+'NEW Summer CHP by DISC '!AA54/15</f>
        <v>0</v>
      </c>
      <c r="AB54" s="1769">
        <f>+'NEW Summer CHP by DISC '!AB54/12</f>
        <v>0</v>
      </c>
      <c r="AC54" s="1769">
        <f t="shared" si="52"/>
        <v>2.2000000000000002</v>
      </c>
      <c r="AD54" s="1679">
        <f t="shared" si="53"/>
        <v>0.57142857142857162</v>
      </c>
      <c r="AE54" s="1788">
        <f>+'NEW Summer CHP by DISC '!AE54/15</f>
        <v>4.2</v>
      </c>
      <c r="AF54" s="1769">
        <f>+'NEW Summer CHP by DISC '!AF54/15</f>
        <v>0</v>
      </c>
      <c r="AG54" s="1769">
        <f>+'NEW Summer CHP by DISC '!AG54/12</f>
        <v>0</v>
      </c>
      <c r="AH54" s="1769">
        <f t="shared" si="54"/>
        <v>4.2</v>
      </c>
      <c r="AI54" s="1679">
        <f t="shared" si="55"/>
        <v>0.90909090909090906</v>
      </c>
      <c r="AJ54" s="1788">
        <f>+'NEW Summer CHP by DISC '!AJ54/15</f>
        <v>4</v>
      </c>
      <c r="AK54" s="1769">
        <f>+'NEW Summer CHP by DISC '!AK54/15</f>
        <v>0</v>
      </c>
      <c r="AL54" s="1769">
        <f>+'NEW Summer CHP by DISC '!AL54/12</f>
        <v>0</v>
      </c>
      <c r="AM54" s="1769">
        <f t="shared" si="56"/>
        <v>4</v>
      </c>
      <c r="AN54" s="1679">
        <f t="shared" si="57"/>
        <v>-4.7619047619047658E-2</v>
      </c>
      <c r="AO54" s="1788">
        <f>+'NEW Summer CHP by DISC '!AO54/15</f>
        <v>3</v>
      </c>
      <c r="AP54" s="1769">
        <f>+'NEW Summer CHP by DISC '!AP54/15</f>
        <v>0</v>
      </c>
      <c r="AQ54" s="1769">
        <f>+'NEW Summer CHP by DISC '!AQ54/12</f>
        <v>0</v>
      </c>
      <c r="AR54" s="1769">
        <f t="shared" si="58"/>
        <v>3</v>
      </c>
      <c r="AS54" s="1679">
        <f t="shared" si="59"/>
        <v>-0.25</v>
      </c>
    </row>
    <row r="55" spans="1:45" x14ac:dyDescent="0.25">
      <c r="A55" s="506" t="s">
        <v>1040</v>
      </c>
      <c r="B55" s="1769">
        <f>+'NEW Summer CHP by DISC '!B55/15</f>
        <v>0.53333333333333333</v>
      </c>
      <c r="C55" s="1769">
        <f>+'NEW Summer CHP by DISC '!C55/15</f>
        <v>0</v>
      </c>
      <c r="D55" s="1769">
        <f>+'NEW Summer CHP by DISC '!D55/12</f>
        <v>0</v>
      </c>
      <c r="E55" s="1770">
        <f t="shared" si="43"/>
        <v>0.53333333333333333</v>
      </c>
      <c r="F55" s="1769">
        <f>+'NEW Summer CHP by DISC '!F55/15</f>
        <v>0</v>
      </c>
      <c r="G55" s="1769">
        <f>+'NEW Summer CHP by DISC '!G55/15</f>
        <v>2.2000000000000002</v>
      </c>
      <c r="H55" s="1769">
        <f>+'NEW Summer CHP by DISC '!H55/12</f>
        <v>0</v>
      </c>
      <c r="I55" s="1769">
        <f t="shared" si="44"/>
        <v>2.2000000000000002</v>
      </c>
      <c r="J55" s="1679">
        <f t="shared" si="45"/>
        <v>3.1250000000000004</v>
      </c>
      <c r="K55" s="1769">
        <f>+'NEW Summer CHP by DISC '!K55/15</f>
        <v>0</v>
      </c>
      <c r="L55" s="1769">
        <f>+'NEW Summer CHP by DISC '!L55/15</f>
        <v>0</v>
      </c>
      <c r="M55" s="1769">
        <f>+'NEW Summer CHP by DISC '!M55/12</f>
        <v>0</v>
      </c>
      <c r="N55" s="1771">
        <f t="shared" si="46"/>
        <v>0</v>
      </c>
      <c r="O55" s="1679">
        <f t="shared" si="47"/>
        <v>-1</v>
      </c>
      <c r="P55" s="1769">
        <f>+'NEW Summer CHP by DISC '!P55/15</f>
        <v>0</v>
      </c>
      <c r="Q55" s="1769">
        <f>+'NEW Summer CHP by DISC '!Q55/15</f>
        <v>0.8</v>
      </c>
      <c r="R55" s="1769">
        <f>+'NEW Summer CHP by DISC '!R55/12</f>
        <v>0</v>
      </c>
      <c r="S55" s="1769">
        <f t="shared" si="48"/>
        <v>0.8</v>
      </c>
      <c r="T55" s="1679">
        <f t="shared" si="49"/>
        <v>1</v>
      </c>
      <c r="U55" s="1769">
        <f>+'NEW Summer CHP by DISC '!U55/15</f>
        <v>0</v>
      </c>
      <c r="V55" s="1769">
        <f>+'NEW Summer CHP by DISC '!V55/15</f>
        <v>0.4</v>
      </c>
      <c r="W55" s="1769">
        <f>+'NEW Summer CHP by DISC '!W55/12</f>
        <v>0</v>
      </c>
      <c r="X55" s="1769">
        <f t="shared" si="50"/>
        <v>0.4</v>
      </c>
      <c r="Y55" s="1679">
        <f t="shared" si="51"/>
        <v>-0.5</v>
      </c>
      <c r="Z55" s="1769">
        <f>+'NEW Summer CHP by DISC '!Z55/15</f>
        <v>0</v>
      </c>
      <c r="AA55" s="1769">
        <f>+'NEW Summer CHP by DISC '!AA55/15</f>
        <v>1.2</v>
      </c>
      <c r="AB55" s="1769">
        <f>+'NEW Summer CHP by DISC '!AB55/12</f>
        <v>0</v>
      </c>
      <c r="AC55" s="1769">
        <f t="shared" si="52"/>
        <v>1.2</v>
      </c>
      <c r="AD55" s="1679">
        <f t="shared" si="53"/>
        <v>1.9999999999999998</v>
      </c>
      <c r="AE55" s="1788">
        <f>+'NEW Summer CHP by DISC '!AE55/15</f>
        <v>0</v>
      </c>
      <c r="AF55" s="1769">
        <f>+'NEW Summer CHP by DISC '!AF55/15</f>
        <v>0.2</v>
      </c>
      <c r="AG55" s="1769">
        <f>+'NEW Summer CHP by DISC '!AG55/12</f>
        <v>0</v>
      </c>
      <c r="AH55" s="1769">
        <f t="shared" si="54"/>
        <v>0.2</v>
      </c>
      <c r="AI55" s="1679">
        <f t="shared" si="55"/>
        <v>-0.83333333333333337</v>
      </c>
      <c r="AJ55" s="1788">
        <f>+'NEW Summer CHP by DISC '!AJ55/15</f>
        <v>1.4</v>
      </c>
      <c r="AK55" s="1769">
        <f>+'NEW Summer CHP by DISC '!AK55/15</f>
        <v>0.2</v>
      </c>
      <c r="AL55" s="1769">
        <f>+'NEW Summer CHP by DISC '!AL55/12</f>
        <v>0</v>
      </c>
      <c r="AM55" s="1769">
        <f t="shared" si="56"/>
        <v>1.5999999999999999</v>
      </c>
      <c r="AN55" s="1679">
        <f t="shared" si="57"/>
        <v>6.9999999999999991</v>
      </c>
      <c r="AO55" s="1788">
        <f>+'NEW Summer CHP by DISC '!AO55/15</f>
        <v>0.4</v>
      </c>
      <c r="AP55" s="1769">
        <f>+'NEW Summer CHP by DISC '!AP55/15</f>
        <v>1.6</v>
      </c>
      <c r="AQ55" s="1769">
        <f>+'NEW Summer CHP by DISC '!AQ55/12</f>
        <v>0</v>
      </c>
      <c r="AR55" s="1769">
        <f t="shared" si="58"/>
        <v>2</v>
      </c>
      <c r="AS55" s="1679">
        <f t="shared" si="59"/>
        <v>0.25000000000000011</v>
      </c>
    </row>
    <row r="56" spans="1:45" s="484" customFormat="1" ht="13.8" x14ac:dyDescent="0.25">
      <c r="A56" s="1001" t="s">
        <v>1015</v>
      </c>
      <c r="B56" s="1776">
        <f t="shared" ref="B56:I56" si="60">SUM(B50:B55)</f>
        <v>5.9333333333333336</v>
      </c>
      <c r="C56" s="1776">
        <f t="shared" si="60"/>
        <v>9.1999999999999993</v>
      </c>
      <c r="D56" s="1776">
        <f t="shared" si="60"/>
        <v>0</v>
      </c>
      <c r="E56" s="512">
        <f t="shared" si="60"/>
        <v>15.133333333333335</v>
      </c>
      <c r="F56" s="1776">
        <f t="shared" si="60"/>
        <v>2.6</v>
      </c>
      <c r="G56" s="1776">
        <f t="shared" si="60"/>
        <v>6.3333333333333339</v>
      </c>
      <c r="H56" s="1776">
        <f t="shared" si="60"/>
        <v>0</v>
      </c>
      <c r="I56" s="1776">
        <f t="shared" si="60"/>
        <v>8.9333333333333336</v>
      </c>
      <c r="J56" s="1772">
        <f t="shared" si="45"/>
        <v>-0.40969162995594716</v>
      </c>
      <c r="K56" s="1776">
        <f t="shared" ref="K56:S56" si="61">SUM(K50:K55)</f>
        <v>4</v>
      </c>
      <c r="L56" s="1776">
        <f t="shared" si="61"/>
        <v>3.2</v>
      </c>
      <c r="M56" s="1776">
        <f t="shared" si="61"/>
        <v>0</v>
      </c>
      <c r="N56" s="1259">
        <f t="shared" si="61"/>
        <v>7.1999999999999993</v>
      </c>
      <c r="O56" s="1772">
        <f t="shared" si="47"/>
        <v>-0.19402985074626874</v>
      </c>
      <c r="P56" s="1776">
        <f t="shared" si="61"/>
        <v>3.4</v>
      </c>
      <c r="Q56" s="1776">
        <f t="shared" si="61"/>
        <v>9.0666666666666682</v>
      </c>
      <c r="R56" s="1776">
        <f t="shared" si="61"/>
        <v>0</v>
      </c>
      <c r="S56" s="1776">
        <f t="shared" si="61"/>
        <v>12.466666666666669</v>
      </c>
      <c r="T56" s="1772">
        <f t="shared" si="49"/>
        <v>0.73148148148148195</v>
      </c>
      <c r="U56" s="1776">
        <f>SUM(U50:U55)</f>
        <v>3</v>
      </c>
      <c r="V56" s="1776">
        <f>SUM(V50:V55)</f>
        <v>6.1333333333333337</v>
      </c>
      <c r="W56" s="1776">
        <f>SUM(W50:W55)</f>
        <v>0</v>
      </c>
      <c r="X56" s="1776">
        <f>SUM(X50:X55)</f>
        <v>9.1333333333333329</v>
      </c>
      <c r="Y56" s="1772">
        <f t="shared" si="51"/>
        <v>-0.26737967914438515</v>
      </c>
      <c r="Z56" s="1776">
        <f>SUM(Z50:Z55)</f>
        <v>2.2000000000000002</v>
      </c>
      <c r="AA56" s="1776">
        <f>SUM(AA50:AA55)</f>
        <v>11</v>
      </c>
      <c r="AB56" s="1776">
        <f>SUM(AB50:AB55)</f>
        <v>0</v>
      </c>
      <c r="AC56" s="1776">
        <f>SUM(AC50:AC55)</f>
        <v>13.2</v>
      </c>
      <c r="AD56" s="1772">
        <f t="shared" si="53"/>
        <v>0.44525547445255476</v>
      </c>
      <c r="AE56" s="1042">
        <f>SUM(AE50:AE55)</f>
        <v>6.6000000000000005</v>
      </c>
      <c r="AF56" s="1776">
        <f>SUM(AF50:AF55)</f>
        <v>5.5333333333333341</v>
      </c>
      <c r="AG56" s="1776">
        <f>SUM(AG50:AG55)</f>
        <v>0</v>
      </c>
      <c r="AH56" s="1776">
        <f>SUM(AH50:AH55)</f>
        <v>12.133333333333333</v>
      </c>
      <c r="AI56" s="1772">
        <f t="shared" si="55"/>
        <v>-8.0808080808080801E-2</v>
      </c>
      <c r="AJ56" s="1042">
        <f>SUM(AJ50:AJ55)</f>
        <v>8</v>
      </c>
      <c r="AK56" s="1776">
        <f>SUM(AK50:AK55)</f>
        <v>6.6000000000000005</v>
      </c>
      <c r="AL56" s="1776">
        <f>SUM(AL50:AL55)</f>
        <v>0</v>
      </c>
      <c r="AM56" s="1776">
        <f>SUM(AM50:AM55)</f>
        <v>14.6</v>
      </c>
      <c r="AN56" s="1772">
        <f t="shared" si="57"/>
        <v>0.20329670329670332</v>
      </c>
      <c r="AO56" s="1042">
        <f>SUM(AO50:AO55)</f>
        <v>8.4</v>
      </c>
      <c r="AP56" s="1776">
        <f>SUM(AP50:AP55)</f>
        <v>7.9333333333333336</v>
      </c>
      <c r="AQ56" s="1776">
        <f>SUM(AQ50:AQ55)</f>
        <v>0</v>
      </c>
      <c r="AR56" s="1776">
        <f>SUM(AR50:AR55)</f>
        <v>16.333333333333336</v>
      </c>
      <c r="AS56" s="1772">
        <f t="shared" si="59"/>
        <v>0.1187214611872148</v>
      </c>
    </row>
    <row r="57" spans="1:45" x14ac:dyDescent="0.25">
      <c r="A57" s="485" t="s">
        <v>422</v>
      </c>
      <c r="B57" s="1765"/>
      <c r="C57" s="1766"/>
      <c r="D57" s="1766"/>
      <c r="E57" s="1777"/>
      <c r="F57" s="1765"/>
      <c r="G57" s="1766"/>
      <c r="H57" s="1766"/>
      <c r="I57" s="1766"/>
      <c r="J57" s="1768"/>
      <c r="K57" s="1765"/>
      <c r="L57" s="1766"/>
      <c r="M57" s="1766"/>
      <c r="N57" s="1767"/>
      <c r="O57" s="1768"/>
      <c r="P57" s="1765"/>
      <c r="Q57" s="1766"/>
      <c r="R57" s="1766"/>
      <c r="S57" s="1766"/>
      <c r="T57" s="1768"/>
      <c r="U57" s="1765"/>
      <c r="V57" s="1766"/>
      <c r="W57" s="1766"/>
      <c r="X57" s="1766"/>
      <c r="Y57" s="1768"/>
      <c r="Z57" s="1765"/>
      <c r="AA57" s="1766"/>
      <c r="AB57" s="1766"/>
      <c r="AC57" s="1766"/>
      <c r="AD57" s="1768"/>
      <c r="AE57" s="1815"/>
      <c r="AF57" s="1766"/>
      <c r="AG57" s="1766"/>
      <c r="AH57" s="1766"/>
      <c r="AI57" s="1768"/>
      <c r="AJ57" s="1815"/>
      <c r="AK57" s="1766"/>
      <c r="AL57" s="1766"/>
      <c r="AM57" s="1766"/>
      <c r="AN57" s="1768"/>
      <c r="AO57" s="1815"/>
      <c r="AP57" s="1766"/>
      <c r="AQ57" s="1766"/>
      <c r="AR57" s="1766"/>
      <c r="AS57" s="1768"/>
    </row>
    <row r="58" spans="1:45" x14ac:dyDescent="0.25">
      <c r="A58" s="478" t="s">
        <v>1037</v>
      </c>
      <c r="B58" s="1769">
        <f>+'NEW Summer CHP by DISC '!B58/15</f>
        <v>0</v>
      </c>
      <c r="C58" s="1769">
        <f>+'NEW Summer CHP by DISC '!C58/15</f>
        <v>6.6666666666666666E-2</v>
      </c>
      <c r="D58" s="1769">
        <f>+'NEW Summer CHP by DISC '!D58/12</f>
        <v>0</v>
      </c>
      <c r="E58" s="1770">
        <f>SUM(B58:D58)</f>
        <v>6.6666666666666666E-2</v>
      </c>
      <c r="F58" s="1769">
        <f>+'NEW Summer CHP by DISC '!F58/15</f>
        <v>6.6666666666666666E-2</v>
      </c>
      <c r="G58" s="1769">
        <f>+'NEW Summer CHP by DISC '!G58/15</f>
        <v>0</v>
      </c>
      <c r="H58" s="1769">
        <f>+'NEW Summer CHP by DISC '!H58/12</f>
        <v>0</v>
      </c>
      <c r="I58" s="1769">
        <f>SUM(F58:H58)</f>
        <v>6.6666666666666666E-2</v>
      </c>
      <c r="J58" s="1679">
        <f t="shared" ref="J58:J63" si="62">IF(E58&gt;0,(I58-E58)/E58,(IF(I58=0,"N/A",100%)))</f>
        <v>0</v>
      </c>
      <c r="K58" s="1769">
        <f>+'NEW Summer CHP by DISC '!K58/15</f>
        <v>0</v>
      </c>
      <c r="L58" s="1769">
        <f>+'NEW Summer CHP by DISC '!L58/15</f>
        <v>0</v>
      </c>
      <c r="M58" s="1769">
        <f>+'NEW Summer CHP by DISC '!M58/12</f>
        <v>0</v>
      </c>
      <c r="N58" s="1771">
        <f>SUM(K58:M58)</f>
        <v>0</v>
      </c>
      <c r="O58" s="1679">
        <f t="shared" ref="O58:O63" si="63">IF(I58&gt;0,(N58-I58)/I58,(IF(N58=0,"N/A",100%)))</f>
        <v>-1</v>
      </c>
      <c r="P58" s="1769">
        <f>+'NEW Summer CHP by DISC '!P58/15</f>
        <v>0.13333333333333333</v>
      </c>
      <c r="Q58" s="1769">
        <f>+'NEW Summer CHP by DISC '!Q58/15</f>
        <v>6.6666666666666666E-2</v>
      </c>
      <c r="R58" s="1769">
        <f>+'NEW Summer CHP by DISC '!R58/12</f>
        <v>0</v>
      </c>
      <c r="S58" s="1769">
        <f>SUM(P58:R58)</f>
        <v>0.2</v>
      </c>
      <c r="T58" s="1679">
        <f t="shared" ref="T58:T63" si="64">IF(N58&gt;0,(S58-N58)/N58,(IF(S58=0,"N/A",100%)))</f>
        <v>1</v>
      </c>
      <c r="U58" s="1769">
        <f>+'NEW Summer CHP by DISC '!U58/15</f>
        <v>6.6666666666666666E-2</v>
      </c>
      <c r="V58" s="1769">
        <f>+'NEW Summer CHP by DISC '!V58/15</f>
        <v>6.6666666666666666E-2</v>
      </c>
      <c r="W58" s="1769">
        <f>+'NEW Summer CHP by DISC '!W58/12</f>
        <v>0</v>
      </c>
      <c r="X58" s="1769">
        <f>SUM(U58:W58)</f>
        <v>0.13333333333333333</v>
      </c>
      <c r="Y58" s="1679">
        <f t="shared" ref="Y58:Y63" si="65">IF(S58&gt;0,(X58-S58)/S58,(IF(X58=0,"N/A",100%)))</f>
        <v>-0.33333333333333337</v>
      </c>
      <c r="Z58" s="1769">
        <f>+'NEW Summer CHP by DISC '!Z58/15</f>
        <v>0</v>
      </c>
      <c r="AA58" s="1769">
        <f>+'NEW Summer CHP by DISC '!AA58/15</f>
        <v>0</v>
      </c>
      <c r="AB58" s="1769">
        <f>+'NEW Summer CHP by DISC '!AB58/12</f>
        <v>0</v>
      </c>
      <c r="AC58" s="1769">
        <f>SUM(Z58:AB58)</f>
        <v>0</v>
      </c>
      <c r="AD58" s="1679">
        <f t="shared" ref="AD58:AD63" si="66">IF(X58&gt;0,(AC58-X58)/X58,(IF(AC58=0,"N/A",100%)))</f>
        <v>-1</v>
      </c>
      <c r="AE58" s="1788">
        <f>+'NEW Summer CHP by DISC '!AE58/15</f>
        <v>0</v>
      </c>
      <c r="AF58" s="1769">
        <f>+'NEW Summer CHP by DISC '!AF58/15</f>
        <v>0</v>
      </c>
      <c r="AG58" s="1769">
        <f>+'NEW Summer CHP by DISC '!AG58/12</f>
        <v>0</v>
      </c>
      <c r="AH58" s="1769">
        <f>SUM(AE58:AG58)</f>
        <v>0</v>
      </c>
      <c r="AI58" s="1679" t="str">
        <f t="shared" ref="AI58:AI63" si="67">IF(AC58&gt;0,(AH58-AC58)/AC58,(IF(AH58=0,"N/A",100%)))</f>
        <v>N/A</v>
      </c>
      <c r="AJ58" s="1788">
        <f>+'NEW Summer CHP by DISC '!AJ58/15</f>
        <v>0</v>
      </c>
      <c r="AK58" s="1769">
        <f>+'NEW Summer CHP by DISC '!AK58/15</f>
        <v>0</v>
      </c>
      <c r="AL58" s="1769">
        <f>+'NEW Summer CHP by DISC '!AL58/12</f>
        <v>0</v>
      </c>
      <c r="AM58" s="1769">
        <f>SUM(AJ58:AL58)</f>
        <v>0</v>
      </c>
      <c r="AN58" s="1679" t="str">
        <f t="shared" ref="AN58:AN63" si="68">IF(AH58&gt;0,(AM58-AH58)/AH58,(IF(AM58=0,"N/A",100%)))</f>
        <v>N/A</v>
      </c>
      <c r="AO58" s="1788">
        <f>+'NEW Summer CHP by DISC '!AO58/15</f>
        <v>0</v>
      </c>
      <c r="AP58" s="1769">
        <f>+'NEW Summer CHP by DISC '!AP58/15</f>
        <v>0</v>
      </c>
      <c r="AQ58" s="1769">
        <f>+'NEW Summer CHP by DISC '!AQ58/12</f>
        <v>0</v>
      </c>
      <c r="AR58" s="1769">
        <f>SUM(AO58:AQ58)</f>
        <v>0</v>
      </c>
      <c r="AS58" s="1679" t="str">
        <f t="shared" ref="AS58:AS63" si="69">IF(AM58&gt;0,(AR58-AM58)/AM58,(IF(AR58=0,"N/A",100%)))</f>
        <v>N/A</v>
      </c>
    </row>
    <row r="59" spans="1:45" x14ac:dyDescent="0.25">
      <c r="A59" s="478" t="s">
        <v>1038</v>
      </c>
      <c r="B59" s="1769">
        <f>+'NEW Summer CHP by DISC '!B59/15</f>
        <v>6.2</v>
      </c>
      <c r="C59" s="1769">
        <f>+'NEW Summer CHP by DISC '!C59/15</f>
        <v>0.4</v>
      </c>
      <c r="D59" s="1769">
        <f>+'NEW Summer CHP by DISC '!D59/12</f>
        <v>0</v>
      </c>
      <c r="E59" s="1770">
        <f>SUM(B59:D59)</f>
        <v>6.6000000000000005</v>
      </c>
      <c r="F59" s="1769">
        <f>+'NEW Summer CHP by DISC '!F59/15</f>
        <v>2.4</v>
      </c>
      <c r="G59" s="1769">
        <f>+'NEW Summer CHP by DISC '!G59/15</f>
        <v>0</v>
      </c>
      <c r="H59" s="1769">
        <f>+'NEW Summer CHP by DISC '!H59/12</f>
        <v>0</v>
      </c>
      <c r="I59" s="1769">
        <f>SUM(F59:H59)</f>
        <v>2.4</v>
      </c>
      <c r="J59" s="1679">
        <f t="shared" si="62"/>
        <v>-0.63636363636363646</v>
      </c>
      <c r="K59" s="1769">
        <f>+'NEW Summer CHP by DISC '!K59/15</f>
        <v>3</v>
      </c>
      <c r="L59" s="1769">
        <f>+'NEW Summer CHP by DISC '!L59/15</f>
        <v>0</v>
      </c>
      <c r="M59" s="1769">
        <f>+'NEW Summer CHP by DISC '!M59/12</f>
        <v>0</v>
      </c>
      <c r="N59" s="1771">
        <f>SUM(K59:M59)</f>
        <v>3</v>
      </c>
      <c r="O59" s="1679">
        <f t="shared" si="63"/>
        <v>0.25000000000000006</v>
      </c>
      <c r="P59" s="1769">
        <f>+'NEW Summer CHP by DISC '!P59/15</f>
        <v>1.2</v>
      </c>
      <c r="Q59" s="1769">
        <f>+'NEW Summer CHP by DISC '!Q59/15</f>
        <v>0.2</v>
      </c>
      <c r="R59" s="1769">
        <f>+'NEW Summer CHP by DISC '!R59/12</f>
        <v>0</v>
      </c>
      <c r="S59" s="1769">
        <f>SUM(P59:R59)</f>
        <v>1.4</v>
      </c>
      <c r="T59" s="1679">
        <f t="shared" si="64"/>
        <v>-0.53333333333333333</v>
      </c>
      <c r="U59" s="1769">
        <f>+'NEW Summer CHP by DISC '!U59/15</f>
        <v>0.2</v>
      </c>
      <c r="V59" s="1769">
        <f>+'NEW Summer CHP by DISC '!V59/15</f>
        <v>0.13333333333333333</v>
      </c>
      <c r="W59" s="1769">
        <f>+'NEW Summer CHP by DISC '!W59/12</f>
        <v>0</v>
      </c>
      <c r="X59" s="1769">
        <f>SUM(U59:W59)</f>
        <v>0.33333333333333337</v>
      </c>
      <c r="Y59" s="1679">
        <f t="shared" si="65"/>
        <v>-0.76190476190476175</v>
      </c>
      <c r="Z59" s="1769">
        <f>+'NEW Summer CHP by DISC '!Z59/15</f>
        <v>3</v>
      </c>
      <c r="AA59" s="1769">
        <f>+'NEW Summer CHP by DISC '!AA59/15</f>
        <v>0.2</v>
      </c>
      <c r="AB59" s="1769">
        <f>+'NEW Summer CHP by DISC '!AB59/12</f>
        <v>0</v>
      </c>
      <c r="AC59" s="1769">
        <f>SUM(Z59:AB59)</f>
        <v>3.2</v>
      </c>
      <c r="AD59" s="1679">
        <f t="shared" si="66"/>
        <v>8.6</v>
      </c>
      <c r="AE59" s="1788">
        <f>+'NEW Summer CHP by DISC '!AE59/15</f>
        <v>2.8</v>
      </c>
      <c r="AF59" s="1769">
        <f>+'NEW Summer CHP by DISC '!AF59/15</f>
        <v>0</v>
      </c>
      <c r="AG59" s="1769">
        <f>+'NEW Summer CHP by DISC '!AG59/12</f>
        <v>0</v>
      </c>
      <c r="AH59" s="1769">
        <f>SUM(AE59:AG59)</f>
        <v>2.8</v>
      </c>
      <c r="AI59" s="1679">
        <f t="shared" si="67"/>
        <v>-0.12500000000000011</v>
      </c>
      <c r="AJ59" s="1788">
        <f>+'NEW Summer CHP by DISC '!AJ59/15</f>
        <v>1.4666666666666666</v>
      </c>
      <c r="AK59" s="1769">
        <f>+'NEW Summer CHP by DISC '!AK59/15</f>
        <v>0</v>
      </c>
      <c r="AL59" s="1769">
        <f>+'NEW Summer CHP by DISC '!AL59/12</f>
        <v>0</v>
      </c>
      <c r="AM59" s="1769">
        <f>SUM(AJ59:AL59)</f>
        <v>1.4666666666666666</v>
      </c>
      <c r="AN59" s="1679">
        <f t="shared" si="68"/>
        <v>-0.47619047619047622</v>
      </c>
      <c r="AO59" s="1788">
        <f>+'NEW Summer CHP by DISC '!AO59/15</f>
        <v>3.0666666666666669</v>
      </c>
      <c r="AP59" s="1769">
        <f>+'NEW Summer CHP by DISC '!AP59/15</f>
        <v>0.4</v>
      </c>
      <c r="AQ59" s="1769">
        <f>+'NEW Summer CHP by DISC '!AQ59/12</f>
        <v>0</v>
      </c>
      <c r="AR59" s="1769">
        <f>SUM(AO59:AQ59)</f>
        <v>3.4666666666666668</v>
      </c>
      <c r="AS59" s="1679">
        <f t="shared" si="69"/>
        <v>1.3636363636363638</v>
      </c>
    </row>
    <row r="60" spans="1:45" x14ac:dyDescent="0.25">
      <c r="A60" s="478" t="s">
        <v>1552</v>
      </c>
      <c r="B60" s="1769">
        <f>+'NEW Summer CHP by DISC '!B60/15</f>
        <v>0</v>
      </c>
      <c r="C60" s="1769">
        <f>+'NEW Summer CHP by DISC '!C60/15</f>
        <v>0</v>
      </c>
      <c r="D60" s="1769">
        <f>+'NEW Summer CHP by DISC '!D60/12</f>
        <v>0</v>
      </c>
      <c r="E60" s="1770">
        <f>SUM(B60:D60)</f>
        <v>0</v>
      </c>
      <c r="F60" s="1769">
        <f>+'NEW Summer CHP by DISC '!F60/15</f>
        <v>0</v>
      </c>
      <c r="G60" s="1769">
        <f>+'NEW Summer CHP by DISC '!G60/15</f>
        <v>0</v>
      </c>
      <c r="H60" s="1769">
        <f>+'NEW Summer CHP by DISC '!H60/12</f>
        <v>0</v>
      </c>
      <c r="I60" s="1769">
        <f>SUM(F60:H60)</f>
        <v>0</v>
      </c>
      <c r="J60" s="1679" t="str">
        <f t="shared" si="62"/>
        <v>N/A</v>
      </c>
      <c r="K60" s="1769">
        <f>+'NEW Summer CHP by DISC '!K60/15</f>
        <v>0</v>
      </c>
      <c r="L60" s="1769">
        <f>+'NEW Summer CHP by DISC '!L60/15</f>
        <v>0</v>
      </c>
      <c r="M60" s="1769">
        <f>+'NEW Summer CHP by DISC '!M60/12</f>
        <v>0</v>
      </c>
      <c r="N60" s="1771">
        <f>SUM(K60:M60)</f>
        <v>0</v>
      </c>
      <c r="O60" s="1679" t="str">
        <f t="shared" si="63"/>
        <v>N/A</v>
      </c>
      <c r="P60" s="1769">
        <f>+'NEW Summer CHP by DISC '!P60/15</f>
        <v>0</v>
      </c>
      <c r="Q60" s="1769">
        <f>+'NEW Summer CHP by DISC '!Q60/15</f>
        <v>0</v>
      </c>
      <c r="R60" s="1769">
        <f>+'NEW Summer CHP by DISC '!R60/12</f>
        <v>0</v>
      </c>
      <c r="S60" s="1769">
        <f>SUM(P60:R60)</f>
        <v>0</v>
      </c>
      <c r="T60" s="1679" t="str">
        <f t="shared" si="64"/>
        <v>N/A</v>
      </c>
      <c r="U60" s="1769">
        <f>+'NEW Summer CHP by DISC '!U60/15</f>
        <v>0</v>
      </c>
      <c r="V60" s="1769">
        <f>+'NEW Summer CHP by DISC '!V60/15</f>
        <v>0</v>
      </c>
      <c r="W60" s="1769">
        <f>+'NEW Summer CHP by DISC '!W60/12</f>
        <v>0</v>
      </c>
      <c r="X60" s="1769">
        <f>SUM(U60:W60)</f>
        <v>0</v>
      </c>
      <c r="Y60" s="1679" t="str">
        <f t="shared" si="65"/>
        <v>N/A</v>
      </c>
      <c r="Z60" s="1769">
        <f>+'NEW Summer CHP by DISC '!Z60/15</f>
        <v>0</v>
      </c>
      <c r="AA60" s="1769">
        <f>+'NEW Summer CHP by DISC '!AA60/15</f>
        <v>0</v>
      </c>
      <c r="AB60" s="1769">
        <f>+'NEW Summer CHP by DISC '!AB60/12</f>
        <v>0</v>
      </c>
      <c r="AC60" s="1769">
        <f>SUM(Z60:AB60)</f>
        <v>0</v>
      </c>
      <c r="AD60" s="1679" t="str">
        <f t="shared" si="66"/>
        <v>N/A</v>
      </c>
      <c r="AE60" s="1788">
        <f>+'NEW Summer CHP by DISC '!AE60/15</f>
        <v>0</v>
      </c>
      <c r="AF60" s="1769">
        <f>+'NEW Summer CHP by DISC '!AF60/15</f>
        <v>0</v>
      </c>
      <c r="AG60" s="1769">
        <f>+'NEW Summer CHP by DISC '!AG60/12</f>
        <v>0</v>
      </c>
      <c r="AH60" s="1769">
        <f>SUM(AE60:AG60)</f>
        <v>0</v>
      </c>
      <c r="AI60" s="1679" t="str">
        <f t="shared" si="67"/>
        <v>N/A</v>
      </c>
      <c r="AJ60" s="1788">
        <f>+'NEW Summer CHP by DISC '!AJ60/15</f>
        <v>0</v>
      </c>
      <c r="AK60" s="1769">
        <f>+'NEW Summer CHP by DISC '!AK60/15</f>
        <v>0</v>
      </c>
      <c r="AL60" s="1769">
        <f>+'NEW Summer CHP by DISC '!AL60/12</f>
        <v>0</v>
      </c>
      <c r="AM60" s="1769">
        <f>SUM(AJ60:AL60)</f>
        <v>0</v>
      </c>
      <c r="AN60" s="1679" t="str">
        <f t="shared" si="68"/>
        <v>N/A</v>
      </c>
      <c r="AO60" s="1788">
        <f>+'NEW Summer CHP by DISC '!AO60/15</f>
        <v>0</v>
      </c>
      <c r="AP60" s="1769">
        <f>+'NEW Summer CHP by DISC '!AP60/15</f>
        <v>0</v>
      </c>
      <c r="AQ60" s="1769">
        <f>+'NEW Summer CHP by DISC '!AQ60/12</f>
        <v>0</v>
      </c>
      <c r="AR60" s="1769">
        <f>SUM(AO60:AQ60)</f>
        <v>0</v>
      </c>
      <c r="AS60" s="1679" t="str">
        <f t="shared" si="69"/>
        <v>N/A</v>
      </c>
    </row>
    <row r="61" spans="1:45" x14ac:dyDescent="0.25">
      <c r="A61" s="478" t="s">
        <v>1553</v>
      </c>
      <c r="B61" s="1769">
        <f>+'NEW Summer CHP by DISC '!B61/15</f>
        <v>0</v>
      </c>
      <c r="C61" s="1769">
        <f>+'NEW Summer CHP by DISC '!C61/15</f>
        <v>0</v>
      </c>
      <c r="D61" s="1769">
        <f>+'NEW Summer CHP by DISC '!D61/12</f>
        <v>0</v>
      </c>
      <c r="E61" s="1770">
        <f>SUM(B61:D61)</f>
        <v>0</v>
      </c>
      <c r="F61" s="1769">
        <f>+'NEW Summer CHP by DISC '!F61/15</f>
        <v>0</v>
      </c>
      <c r="G61" s="1769">
        <f>+'NEW Summer CHP by DISC '!G61/15</f>
        <v>0</v>
      </c>
      <c r="H61" s="1769">
        <f>+'NEW Summer CHP by DISC '!H61/12</f>
        <v>0</v>
      </c>
      <c r="I61" s="1769">
        <f>SUM(F61:H61)</f>
        <v>0</v>
      </c>
      <c r="J61" s="1679" t="str">
        <f t="shared" si="62"/>
        <v>N/A</v>
      </c>
      <c r="K61" s="1769">
        <f>+'NEW Summer CHP by DISC '!K61/15</f>
        <v>0</v>
      </c>
      <c r="L61" s="1769">
        <f>+'NEW Summer CHP by DISC '!L61/15</f>
        <v>0</v>
      </c>
      <c r="M61" s="1769">
        <f>+'NEW Summer CHP by DISC '!M61/12</f>
        <v>0</v>
      </c>
      <c r="N61" s="1771">
        <f>SUM(K61:M61)</f>
        <v>0</v>
      </c>
      <c r="O61" s="1679" t="str">
        <f t="shared" si="63"/>
        <v>N/A</v>
      </c>
      <c r="P61" s="1769">
        <f>+'NEW Summer CHP by DISC '!P61/15</f>
        <v>0</v>
      </c>
      <c r="Q61" s="1769">
        <f>+'NEW Summer CHP by DISC '!Q61/15</f>
        <v>0</v>
      </c>
      <c r="R61" s="1769">
        <f>+'NEW Summer CHP by DISC '!R61/12</f>
        <v>0</v>
      </c>
      <c r="S61" s="1769">
        <f>SUM(P61:R61)</f>
        <v>0</v>
      </c>
      <c r="T61" s="1679" t="str">
        <f t="shared" si="64"/>
        <v>N/A</v>
      </c>
      <c r="U61" s="1769">
        <f>+'NEW Summer CHP by DISC '!U61/15</f>
        <v>0</v>
      </c>
      <c r="V61" s="1769">
        <f>+'NEW Summer CHP by DISC '!V61/15</f>
        <v>0</v>
      </c>
      <c r="W61" s="1769">
        <f>+'NEW Summer CHP by DISC '!W61/12</f>
        <v>0</v>
      </c>
      <c r="X61" s="1769">
        <f>SUM(U61:W61)</f>
        <v>0</v>
      </c>
      <c r="Y61" s="1679" t="str">
        <f t="shared" si="65"/>
        <v>N/A</v>
      </c>
      <c r="Z61" s="1769">
        <f>+'NEW Summer CHP by DISC '!Z61/15</f>
        <v>0</v>
      </c>
      <c r="AA61" s="1769">
        <f>+'NEW Summer CHP by DISC '!AA61/15</f>
        <v>0.13333333333333333</v>
      </c>
      <c r="AB61" s="1769">
        <f>+'NEW Summer CHP by DISC '!AB61/12</f>
        <v>0</v>
      </c>
      <c r="AC61" s="1769">
        <f>SUM(Z61:AB61)</f>
        <v>0.13333333333333333</v>
      </c>
      <c r="AD61" s="1679">
        <f t="shared" si="66"/>
        <v>1</v>
      </c>
      <c r="AE61" s="1788">
        <f>+'NEW Summer CHP by DISC '!AE61/15</f>
        <v>0</v>
      </c>
      <c r="AF61" s="1769">
        <f>+'NEW Summer CHP by DISC '!AF61/15</f>
        <v>0</v>
      </c>
      <c r="AG61" s="1769">
        <f>+'NEW Summer CHP by DISC '!AG61/12</f>
        <v>0</v>
      </c>
      <c r="AH61" s="1769">
        <f>SUM(AE61:AG61)</f>
        <v>0</v>
      </c>
      <c r="AI61" s="1679">
        <f t="shared" si="67"/>
        <v>-1</v>
      </c>
      <c r="AJ61" s="1788">
        <f>+'NEW Summer CHP by DISC '!AJ61/15</f>
        <v>0</v>
      </c>
      <c r="AK61" s="1769">
        <f>+'NEW Summer CHP by DISC '!AK61/15</f>
        <v>0.13333333333333333</v>
      </c>
      <c r="AL61" s="1769">
        <f>+'NEW Summer CHP by DISC '!AL61/12</f>
        <v>0</v>
      </c>
      <c r="AM61" s="1769">
        <f>SUM(AJ61:AL61)</f>
        <v>0.13333333333333333</v>
      </c>
      <c r="AN61" s="1679">
        <f t="shared" si="68"/>
        <v>1</v>
      </c>
      <c r="AO61" s="1788">
        <f>+'NEW Summer CHP by DISC '!AO61/15</f>
        <v>0</v>
      </c>
      <c r="AP61" s="1769">
        <f>+'NEW Summer CHP by DISC '!AP61/15</f>
        <v>0</v>
      </c>
      <c r="AQ61" s="1769">
        <f>+'NEW Summer CHP by DISC '!AQ61/12</f>
        <v>0</v>
      </c>
      <c r="AR61" s="1769">
        <f>SUM(AO61:AQ61)</f>
        <v>0</v>
      </c>
      <c r="AS61" s="1679">
        <f t="shared" si="69"/>
        <v>-1</v>
      </c>
    </row>
    <row r="62" spans="1:45" x14ac:dyDescent="0.25">
      <c r="A62" s="478" t="s">
        <v>1554</v>
      </c>
      <c r="B62" s="1769">
        <f>+'NEW Summer CHP by DISC '!B62/15</f>
        <v>0</v>
      </c>
      <c r="C62" s="1769">
        <f>+'NEW Summer CHP by DISC '!C62/15</f>
        <v>0</v>
      </c>
      <c r="D62" s="1769">
        <f>+'NEW Summer CHP by DISC '!D62/12</f>
        <v>0</v>
      </c>
      <c r="E62" s="1770">
        <f>SUM(B62:D62)</f>
        <v>0</v>
      </c>
      <c r="F62" s="1769">
        <f>+'NEW Summer CHP by DISC '!F62/15</f>
        <v>0</v>
      </c>
      <c r="G62" s="1769">
        <f>+'NEW Summer CHP by DISC '!G62/15</f>
        <v>0</v>
      </c>
      <c r="H62" s="1769">
        <f>+'NEW Summer CHP by DISC '!H62/12</f>
        <v>0</v>
      </c>
      <c r="I62" s="1769">
        <f>SUM(F62:H62)</f>
        <v>0</v>
      </c>
      <c r="J62" s="1679" t="str">
        <f t="shared" si="62"/>
        <v>N/A</v>
      </c>
      <c r="K62" s="1769">
        <f>+'NEW Summer CHP by DISC '!K62/15</f>
        <v>0</v>
      </c>
      <c r="L62" s="1769">
        <f>+'NEW Summer CHP by DISC '!L62/15</f>
        <v>0</v>
      </c>
      <c r="M62" s="1769">
        <f>+'NEW Summer CHP by DISC '!M62/12</f>
        <v>0</v>
      </c>
      <c r="N62" s="1771">
        <f>SUM(K62:M62)</f>
        <v>0</v>
      </c>
      <c r="O62" s="1679" t="str">
        <f t="shared" si="63"/>
        <v>N/A</v>
      </c>
      <c r="P62" s="1769">
        <f>+'NEW Summer CHP by DISC '!P62/15</f>
        <v>0</v>
      </c>
      <c r="Q62" s="1769">
        <f>+'NEW Summer CHP by DISC '!Q62/15</f>
        <v>0</v>
      </c>
      <c r="R62" s="1769">
        <f>+'NEW Summer CHP by DISC '!R62/12</f>
        <v>0</v>
      </c>
      <c r="S62" s="1769">
        <f>SUM(P62:R62)</f>
        <v>0</v>
      </c>
      <c r="T62" s="1679" t="str">
        <f t="shared" si="64"/>
        <v>N/A</v>
      </c>
      <c r="U62" s="1769">
        <f>+'NEW Summer CHP by DISC '!U62/15</f>
        <v>0</v>
      </c>
      <c r="V62" s="1769">
        <f>+'NEW Summer CHP by DISC '!V62/15</f>
        <v>0</v>
      </c>
      <c r="W62" s="1769">
        <f>+'NEW Summer CHP by DISC '!W62/12</f>
        <v>0</v>
      </c>
      <c r="X62" s="1769">
        <f>SUM(U62:W62)</f>
        <v>0</v>
      </c>
      <c r="Y62" s="1679" t="str">
        <f t="shared" si="65"/>
        <v>N/A</v>
      </c>
      <c r="Z62" s="1769">
        <f>+'NEW Summer CHP by DISC '!Z62/15</f>
        <v>0</v>
      </c>
      <c r="AA62" s="1769">
        <f>+'NEW Summer CHP by DISC '!AA62/15</f>
        <v>0</v>
      </c>
      <c r="AB62" s="1769">
        <f>+'NEW Summer CHP by DISC '!AB62/12</f>
        <v>0</v>
      </c>
      <c r="AC62" s="1769">
        <f>SUM(Z62:AB62)</f>
        <v>0</v>
      </c>
      <c r="AD62" s="1679" t="str">
        <f t="shared" si="66"/>
        <v>N/A</v>
      </c>
      <c r="AE62" s="1788">
        <f>+'NEW Summer CHP by DISC '!AE62/15</f>
        <v>0</v>
      </c>
      <c r="AF62" s="1769">
        <f>+'NEW Summer CHP by DISC '!AF62/15</f>
        <v>0</v>
      </c>
      <c r="AG62" s="1769">
        <f>+'NEW Summer CHP by DISC '!AG62/12</f>
        <v>0</v>
      </c>
      <c r="AH62" s="1769">
        <f>SUM(AE62:AG62)</f>
        <v>0</v>
      </c>
      <c r="AI62" s="1679" t="str">
        <f t="shared" si="67"/>
        <v>N/A</v>
      </c>
      <c r="AJ62" s="1788">
        <f>+'NEW Summer CHP by DISC '!AJ62/15</f>
        <v>0</v>
      </c>
      <c r="AK62" s="1769">
        <f>+'NEW Summer CHP by DISC '!AK62/15</f>
        <v>6.6666666666666666E-2</v>
      </c>
      <c r="AL62" s="1769">
        <f>+'NEW Summer CHP by DISC '!AL62/12</f>
        <v>0</v>
      </c>
      <c r="AM62" s="1769">
        <f>SUM(AJ62:AL62)</f>
        <v>6.6666666666666666E-2</v>
      </c>
      <c r="AN62" s="1679">
        <f t="shared" si="68"/>
        <v>1</v>
      </c>
      <c r="AO62" s="1788">
        <f>+'NEW Summer CHP by DISC '!AO62/15</f>
        <v>0</v>
      </c>
      <c r="AP62" s="1769">
        <f>+'NEW Summer CHP by DISC '!AP62/15</f>
        <v>0</v>
      </c>
      <c r="AQ62" s="1769">
        <f>+'NEW Summer CHP by DISC '!AQ62/12</f>
        <v>0</v>
      </c>
      <c r="AR62" s="1769">
        <f>SUM(AO62:AQ62)</f>
        <v>0</v>
      </c>
      <c r="AS62" s="1679">
        <f t="shared" si="69"/>
        <v>-1</v>
      </c>
    </row>
    <row r="63" spans="1:45" s="484" customFormat="1" ht="13.8" x14ac:dyDescent="0.25">
      <c r="A63" s="513" t="s">
        <v>1015</v>
      </c>
      <c r="B63" s="1776">
        <f t="shared" ref="B63:I63" si="70">SUM(B58:B62)</f>
        <v>6.2</v>
      </c>
      <c r="C63" s="1776">
        <f t="shared" si="70"/>
        <v>0.46666666666666667</v>
      </c>
      <c r="D63" s="1776">
        <f t="shared" si="70"/>
        <v>0</v>
      </c>
      <c r="E63" s="1776">
        <f t="shared" si="70"/>
        <v>6.666666666666667</v>
      </c>
      <c r="F63" s="1776">
        <f t="shared" si="70"/>
        <v>2.4666666666666668</v>
      </c>
      <c r="G63" s="1776">
        <f t="shared" si="70"/>
        <v>0</v>
      </c>
      <c r="H63" s="1776">
        <f t="shared" si="70"/>
        <v>0</v>
      </c>
      <c r="I63" s="1776">
        <f t="shared" si="70"/>
        <v>2.4666666666666668</v>
      </c>
      <c r="J63" s="1772">
        <f t="shared" si="62"/>
        <v>-0.63</v>
      </c>
      <c r="K63" s="1776">
        <f>SUM(K58:K62)</f>
        <v>3</v>
      </c>
      <c r="L63" s="1776">
        <f>SUM(L58:L62)</f>
        <v>0</v>
      </c>
      <c r="M63" s="1776">
        <f>SUM(M58:M62)</f>
        <v>0</v>
      </c>
      <c r="N63" s="1776">
        <f>SUM(N58:N62)</f>
        <v>3</v>
      </c>
      <c r="O63" s="1772">
        <f t="shared" si="63"/>
        <v>0.21621621621621614</v>
      </c>
      <c r="P63" s="1776">
        <f>SUM(P58:P62)</f>
        <v>1.3333333333333333</v>
      </c>
      <c r="Q63" s="1776">
        <f>SUM(Q58:Q62)</f>
        <v>0.26666666666666666</v>
      </c>
      <c r="R63" s="1776">
        <f>SUM(R58:R62)</f>
        <v>0</v>
      </c>
      <c r="S63" s="1776">
        <f>SUM(S58:S62)</f>
        <v>1.5999999999999999</v>
      </c>
      <c r="T63" s="1772">
        <f t="shared" si="64"/>
        <v>-0.46666666666666673</v>
      </c>
      <c r="U63" s="1776">
        <f>SUM(U58:U62)</f>
        <v>0.26666666666666666</v>
      </c>
      <c r="V63" s="1776">
        <f>SUM(V58:V62)</f>
        <v>0.2</v>
      </c>
      <c r="W63" s="1776">
        <f>SUM(W58:W62)</f>
        <v>0</v>
      </c>
      <c r="X63" s="1776">
        <f>SUM(X58:X62)</f>
        <v>0.46666666666666667</v>
      </c>
      <c r="Y63" s="1772">
        <f t="shared" si="65"/>
        <v>-0.70833333333333337</v>
      </c>
      <c r="Z63" s="1776">
        <f>SUM(Z58:Z62)</f>
        <v>3</v>
      </c>
      <c r="AA63" s="1776">
        <f>SUM(AA58:AA62)</f>
        <v>0.33333333333333337</v>
      </c>
      <c r="AB63" s="1776">
        <f>SUM(AB58:AB62)</f>
        <v>0</v>
      </c>
      <c r="AC63" s="1776">
        <f>SUM(AC58:AC62)</f>
        <v>3.3333333333333335</v>
      </c>
      <c r="AD63" s="1772">
        <f t="shared" si="66"/>
        <v>6.1428571428571432</v>
      </c>
      <c r="AE63" s="1042">
        <f>SUM(AE58:AE62)</f>
        <v>2.8</v>
      </c>
      <c r="AF63" s="1776">
        <f>SUM(AF58:AF62)</f>
        <v>0</v>
      </c>
      <c r="AG63" s="1776">
        <f>SUM(AG58:AG62)</f>
        <v>0</v>
      </c>
      <c r="AH63" s="1776">
        <f>SUM(AH58:AH62)</f>
        <v>2.8</v>
      </c>
      <c r="AI63" s="1772">
        <f t="shared" si="67"/>
        <v>-0.16000000000000009</v>
      </c>
      <c r="AJ63" s="1042">
        <f>SUM(AJ58:AJ62)</f>
        <v>1.4666666666666666</v>
      </c>
      <c r="AK63" s="1776">
        <f>SUM(AK58:AK62)</f>
        <v>0.2</v>
      </c>
      <c r="AL63" s="1776">
        <f>SUM(AL58:AL62)</f>
        <v>0</v>
      </c>
      <c r="AM63" s="1776">
        <f>SUM(AM58:AM62)</f>
        <v>1.6666666666666665</v>
      </c>
      <c r="AN63" s="1772">
        <f t="shared" si="68"/>
        <v>-0.40476190476190477</v>
      </c>
      <c r="AO63" s="1042">
        <f>SUM(AO58:AO62)</f>
        <v>3.0666666666666669</v>
      </c>
      <c r="AP63" s="1776">
        <f>SUM(AP58:AP62)</f>
        <v>0.4</v>
      </c>
      <c r="AQ63" s="1776">
        <f>SUM(AQ58:AQ62)</f>
        <v>0</v>
      </c>
      <c r="AR63" s="1776">
        <f>SUM(AR58:AR62)</f>
        <v>3.4666666666666668</v>
      </c>
      <c r="AS63" s="1772">
        <f t="shared" si="69"/>
        <v>1.0800000000000003</v>
      </c>
    </row>
    <row r="64" spans="1:45" x14ac:dyDescent="0.25">
      <c r="A64" s="477" t="s">
        <v>436</v>
      </c>
      <c r="B64" s="1765"/>
      <c r="C64" s="1766"/>
      <c r="D64" s="1766"/>
      <c r="E64" s="1777"/>
      <c r="F64" s="1765"/>
      <c r="G64" s="1766"/>
      <c r="H64" s="1766"/>
      <c r="I64" s="1766"/>
      <c r="J64" s="1768"/>
      <c r="K64" s="1765"/>
      <c r="L64" s="1766"/>
      <c r="M64" s="1766"/>
      <c r="N64" s="1767"/>
      <c r="O64" s="1768"/>
      <c r="P64" s="1765"/>
      <c r="Q64" s="1766"/>
      <c r="R64" s="1766"/>
      <c r="S64" s="1766"/>
      <c r="T64" s="1768"/>
      <c r="U64" s="1765"/>
      <c r="V64" s="1766"/>
      <c r="W64" s="1766"/>
      <c r="X64" s="1766"/>
      <c r="Y64" s="1768"/>
      <c r="Z64" s="1765"/>
      <c r="AA64" s="1766"/>
      <c r="AB64" s="1766"/>
      <c r="AC64" s="1766"/>
      <c r="AD64" s="1768"/>
      <c r="AE64" s="1815"/>
      <c r="AF64" s="1766"/>
      <c r="AG64" s="1766"/>
      <c r="AH64" s="1766"/>
      <c r="AI64" s="1768"/>
      <c r="AJ64" s="1815"/>
      <c r="AK64" s="1766"/>
      <c r="AL64" s="1766"/>
      <c r="AM64" s="1766"/>
      <c r="AN64" s="1768"/>
      <c r="AO64" s="1815"/>
      <c r="AP64" s="1766"/>
      <c r="AQ64" s="1766"/>
      <c r="AR64" s="1766"/>
      <c r="AS64" s="1768"/>
    </row>
    <row r="65" spans="1:45" x14ac:dyDescent="0.25">
      <c r="A65" s="478" t="s">
        <v>1046</v>
      </c>
      <c r="B65" s="1769">
        <f>+'NEW Summer CHP by DISC '!B65/15</f>
        <v>0</v>
      </c>
      <c r="C65" s="1769">
        <f>+'NEW Summer CHP by DISC '!C65/15</f>
        <v>0</v>
      </c>
      <c r="D65" s="1769">
        <f>+'NEW Summer CHP by DISC '!D65/12</f>
        <v>0</v>
      </c>
      <c r="E65" s="1770">
        <f t="shared" ref="E65:E70" si="71">SUM(B65:D65)</f>
        <v>0</v>
      </c>
      <c r="F65" s="1769">
        <f>+'NEW Summer CHP by DISC '!F65/15</f>
        <v>0</v>
      </c>
      <c r="G65" s="1769">
        <f>+'NEW Summer CHP by DISC '!G65/15</f>
        <v>0</v>
      </c>
      <c r="H65" s="1769">
        <f>+'NEW Summer CHP by DISC '!H65/12</f>
        <v>0</v>
      </c>
      <c r="I65" s="1769">
        <f t="shared" ref="I65:I70" si="72">SUM(F65:H65)</f>
        <v>0</v>
      </c>
      <c r="J65" s="1679" t="str">
        <f t="shared" ref="J65:J71" si="73">IF(E65&gt;0,(I65-E65)/E65,(IF(I65=0,"N/A",100%)))</f>
        <v>N/A</v>
      </c>
      <c r="K65" s="1769">
        <f>+'NEW Summer CHP by DISC '!K65/15</f>
        <v>0</v>
      </c>
      <c r="L65" s="1769">
        <f>+'NEW Summer CHP by DISC '!L65/15</f>
        <v>0</v>
      </c>
      <c r="M65" s="1769">
        <f>+'NEW Summer CHP by DISC '!M65/12</f>
        <v>0</v>
      </c>
      <c r="N65" s="1771">
        <f t="shared" ref="N65:N70" si="74">SUM(K65:M65)</f>
        <v>0</v>
      </c>
      <c r="O65" s="1679" t="str">
        <f t="shared" ref="O65:O71" si="75">IF(I65&gt;0,(N65-I65)/I65,(IF(N65=0,"N/A",100%)))</f>
        <v>N/A</v>
      </c>
      <c r="P65" s="1769">
        <f>+'NEW Summer CHP by DISC '!P65/15</f>
        <v>0</v>
      </c>
      <c r="Q65" s="1769">
        <f>+'NEW Summer CHP by DISC '!Q65/15</f>
        <v>0</v>
      </c>
      <c r="R65" s="1769">
        <f>+'NEW Summer CHP by DISC '!R65/12</f>
        <v>0</v>
      </c>
      <c r="S65" s="1769">
        <f t="shared" ref="S65:S70" si="76">SUM(P65:R65)</f>
        <v>0</v>
      </c>
      <c r="T65" s="1679" t="str">
        <f t="shared" ref="T65:T71" si="77">IF(N65&gt;0,(S65-N65)/N65,(IF(S65=0,"N/A",100%)))</f>
        <v>N/A</v>
      </c>
      <c r="U65" s="1769">
        <f>+'NEW Summer CHP by DISC '!U65/15</f>
        <v>0</v>
      </c>
      <c r="V65" s="1769">
        <f>+'NEW Summer CHP by DISC '!V65/15</f>
        <v>0</v>
      </c>
      <c r="W65" s="1769">
        <f>+'NEW Summer CHP by DISC '!W65/12</f>
        <v>0</v>
      </c>
      <c r="X65" s="1769">
        <f t="shared" ref="X65:X70" si="78">SUM(U65:W65)</f>
        <v>0</v>
      </c>
      <c r="Y65" s="1679" t="str">
        <f t="shared" ref="Y65:Y71" si="79">IF(S65&gt;0,(X65-S65)/S65,(IF(X65=0,"N/A",100%)))</f>
        <v>N/A</v>
      </c>
      <c r="Z65" s="1769">
        <f>+'NEW Summer CHP by DISC '!Z65/15</f>
        <v>1.4</v>
      </c>
      <c r="AA65" s="1769">
        <f>+'NEW Summer CHP by DISC '!AA65/15</f>
        <v>0</v>
      </c>
      <c r="AB65" s="1769">
        <f>+'NEW Summer CHP by DISC '!AB65/12</f>
        <v>0</v>
      </c>
      <c r="AC65" s="1769">
        <f t="shared" ref="AC65:AC70" si="80">SUM(Z65:AB65)</f>
        <v>1.4</v>
      </c>
      <c r="AD65" s="1679">
        <f t="shared" ref="AD65:AD71" si="81">IF(X65&gt;0,(AC65-X65)/X65,(IF(AC65=0,"N/A",100%)))</f>
        <v>1</v>
      </c>
      <c r="AE65" s="1788">
        <f>+'NEW Summer CHP by DISC '!AE65/15</f>
        <v>0.8</v>
      </c>
      <c r="AF65" s="1769">
        <f>+'NEW Summer CHP by DISC '!AF65/15</f>
        <v>0</v>
      </c>
      <c r="AG65" s="1769">
        <f>+'NEW Summer CHP by DISC '!AG65/12</f>
        <v>0</v>
      </c>
      <c r="AH65" s="1769">
        <f t="shared" ref="AH65:AH70" si="82">SUM(AE65:AG65)</f>
        <v>0.8</v>
      </c>
      <c r="AI65" s="1679">
        <f t="shared" ref="AI65:AI71" si="83">IF(AC65&gt;0,(AH65-AC65)/AC65,(IF(AH65=0,"N/A",100%)))</f>
        <v>-0.42857142857142849</v>
      </c>
      <c r="AJ65" s="1788">
        <f>+'NEW Summer CHP by DISC '!AJ65/15</f>
        <v>1.6</v>
      </c>
      <c r="AK65" s="1769">
        <f>+'NEW Summer CHP by DISC '!AK65/15</f>
        <v>0</v>
      </c>
      <c r="AL65" s="1769">
        <f>+'NEW Summer CHP by DISC '!AL65/12</f>
        <v>0</v>
      </c>
      <c r="AM65" s="1769">
        <f t="shared" ref="AM65:AM70" si="84">SUM(AJ65:AL65)</f>
        <v>1.6</v>
      </c>
      <c r="AN65" s="1679">
        <f t="shared" ref="AN65:AN71" si="85">IF(AH65&gt;0,(AM65-AH65)/AH65,(IF(AM65=0,"N/A",100%)))</f>
        <v>1</v>
      </c>
      <c r="AO65" s="1788">
        <f>+'NEW Summer CHP by DISC '!AO65/15</f>
        <v>0.2</v>
      </c>
      <c r="AP65" s="1769">
        <f>+'NEW Summer CHP by DISC '!AP65/15</f>
        <v>0</v>
      </c>
      <c r="AQ65" s="1769">
        <f>+'NEW Summer CHP by DISC '!AQ65/12</f>
        <v>0</v>
      </c>
      <c r="AR65" s="1769">
        <f t="shared" ref="AR65:AR70" si="86">SUM(AO65:AQ65)</f>
        <v>0.2</v>
      </c>
      <c r="AS65" s="1679">
        <f t="shared" ref="AS65:AS71" si="87">IF(AM65&gt;0,(AR65-AM65)/AM65,(IF(AR65=0,"N/A",100%)))</f>
        <v>-0.875</v>
      </c>
    </row>
    <row r="66" spans="1:45" x14ac:dyDescent="0.25">
      <c r="A66" s="478" t="s">
        <v>1468</v>
      </c>
      <c r="B66" s="1769">
        <f>+'NEW Summer CHP by DISC '!B66/15</f>
        <v>0</v>
      </c>
      <c r="C66" s="1769">
        <f>+'NEW Summer CHP by DISC '!C66/15</f>
        <v>0</v>
      </c>
      <c r="D66" s="1769">
        <f>+'NEW Summer CHP by DISC '!D66/12</f>
        <v>0</v>
      </c>
      <c r="E66" s="1770">
        <f t="shared" si="71"/>
        <v>0</v>
      </c>
      <c r="F66" s="1769">
        <f>+'NEW Summer CHP by DISC '!F66/15</f>
        <v>0</v>
      </c>
      <c r="G66" s="1769">
        <f>+'NEW Summer CHP by DISC '!G66/15</f>
        <v>0</v>
      </c>
      <c r="H66" s="1769">
        <f>+'NEW Summer CHP by DISC '!H66/12</f>
        <v>0</v>
      </c>
      <c r="I66" s="1769">
        <f t="shared" si="72"/>
        <v>0</v>
      </c>
      <c r="J66" s="1679" t="str">
        <f t="shared" si="73"/>
        <v>N/A</v>
      </c>
      <c r="K66" s="1769">
        <f>+'NEW Summer CHP by DISC '!K66/15</f>
        <v>0</v>
      </c>
      <c r="L66" s="1769">
        <f>+'NEW Summer CHP by DISC '!L66/15</f>
        <v>0</v>
      </c>
      <c r="M66" s="1769">
        <f>+'NEW Summer CHP by DISC '!M66/12</f>
        <v>0</v>
      </c>
      <c r="N66" s="1771">
        <f t="shared" si="74"/>
        <v>0</v>
      </c>
      <c r="O66" s="1679" t="str">
        <f t="shared" si="75"/>
        <v>N/A</v>
      </c>
      <c r="P66" s="1769">
        <f>+'NEW Summer CHP by DISC '!P66/15</f>
        <v>0</v>
      </c>
      <c r="Q66" s="1769">
        <f>+'NEW Summer CHP by DISC '!Q66/15</f>
        <v>0</v>
      </c>
      <c r="R66" s="1769">
        <f>+'NEW Summer CHP by DISC '!R66/12</f>
        <v>12.5</v>
      </c>
      <c r="S66" s="1769">
        <f t="shared" si="76"/>
        <v>12.5</v>
      </c>
      <c r="T66" s="1679">
        <f t="shared" si="77"/>
        <v>1</v>
      </c>
      <c r="U66" s="1769">
        <f>+'NEW Summer CHP by DISC '!U66/15</f>
        <v>0</v>
      </c>
      <c r="V66" s="1769">
        <f>+'NEW Summer CHP by DISC '!V66/15</f>
        <v>0</v>
      </c>
      <c r="W66" s="1769">
        <f>+'NEW Summer CHP by DISC '!W66/12</f>
        <v>13</v>
      </c>
      <c r="X66" s="1769">
        <f t="shared" si="78"/>
        <v>13</v>
      </c>
      <c r="Y66" s="1679">
        <f t="shared" si="79"/>
        <v>0.04</v>
      </c>
      <c r="Z66" s="1769">
        <f>+'NEW Summer CHP by DISC '!Z66/15</f>
        <v>0</v>
      </c>
      <c r="AA66" s="1769">
        <f>+'NEW Summer CHP by DISC '!AA66/15</f>
        <v>0</v>
      </c>
      <c r="AB66" s="1769">
        <f>+'NEW Summer CHP by DISC '!AB66/12</f>
        <v>11.5</v>
      </c>
      <c r="AC66" s="1769">
        <f t="shared" si="80"/>
        <v>11.5</v>
      </c>
      <c r="AD66" s="1679">
        <f t="shared" si="81"/>
        <v>-0.11538461538461539</v>
      </c>
      <c r="AE66" s="1788">
        <f>+'NEW Summer CHP by DISC '!AE66/15</f>
        <v>0</v>
      </c>
      <c r="AF66" s="1769">
        <f>+'NEW Summer CHP by DISC '!AF66/15</f>
        <v>0</v>
      </c>
      <c r="AG66" s="1769">
        <f>+'NEW Summer CHP by DISC '!AG66/12</f>
        <v>0</v>
      </c>
      <c r="AH66" s="1769">
        <f t="shared" si="82"/>
        <v>0</v>
      </c>
      <c r="AI66" s="1679">
        <f t="shared" si="83"/>
        <v>-1</v>
      </c>
      <c r="AJ66" s="1788">
        <f>+'NEW Summer CHP by DISC '!AJ66/15</f>
        <v>0</v>
      </c>
      <c r="AK66" s="1769">
        <f>+'NEW Summer CHP by DISC '!AK66/15</f>
        <v>0</v>
      </c>
      <c r="AL66" s="1769">
        <f>+'NEW Summer CHP by DISC '!AL66/12</f>
        <v>0</v>
      </c>
      <c r="AM66" s="1769">
        <f t="shared" si="84"/>
        <v>0</v>
      </c>
      <c r="AN66" s="1679" t="str">
        <f t="shared" si="85"/>
        <v>N/A</v>
      </c>
      <c r="AO66" s="1788">
        <f>+'NEW Summer CHP by DISC '!AO66/15</f>
        <v>0</v>
      </c>
      <c r="AP66" s="1769">
        <f>+'NEW Summer CHP by DISC '!AP66/15</f>
        <v>0</v>
      </c>
      <c r="AQ66" s="1769">
        <f>+'NEW Summer CHP by DISC '!AQ66/12</f>
        <v>0</v>
      </c>
      <c r="AR66" s="1769">
        <f t="shared" si="86"/>
        <v>0</v>
      </c>
      <c r="AS66" s="1679" t="str">
        <f t="shared" si="87"/>
        <v>N/A</v>
      </c>
    </row>
    <row r="67" spans="1:45" x14ac:dyDescent="0.25">
      <c r="A67" s="478" t="s">
        <v>1041</v>
      </c>
      <c r="B67" s="1769">
        <f>+'NEW Summer CHP by DISC '!B67/15</f>
        <v>6.6</v>
      </c>
      <c r="C67" s="1769">
        <f>+'NEW Summer CHP by DISC '!C67/15</f>
        <v>7.4</v>
      </c>
      <c r="D67" s="1769">
        <f>+'NEW Summer CHP by DISC '!D67/12</f>
        <v>0</v>
      </c>
      <c r="E67" s="1770">
        <f t="shared" si="71"/>
        <v>14</v>
      </c>
      <c r="F67" s="1769">
        <f>+'NEW Summer CHP by DISC '!F67/15</f>
        <v>2.2000000000000002</v>
      </c>
      <c r="G67" s="1769">
        <f>+'NEW Summer CHP by DISC '!G67/15</f>
        <v>7.2</v>
      </c>
      <c r="H67" s="1769">
        <f>+'NEW Summer CHP by DISC '!H67/12</f>
        <v>0</v>
      </c>
      <c r="I67" s="1769">
        <f t="shared" si="72"/>
        <v>9.4</v>
      </c>
      <c r="J67" s="1679">
        <f t="shared" si="73"/>
        <v>-0.32857142857142857</v>
      </c>
      <c r="K67" s="1769">
        <f>+'NEW Summer CHP by DISC '!K67/15</f>
        <v>2.2000000000000002</v>
      </c>
      <c r="L67" s="1769">
        <f>+'NEW Summer CHP by DISC '!L67/15</f>
        <v>7.4</v>
      </c>
      <c r="M67" s="1769">
        <f>+'NEW Summer CHP by DISC '!M67/12</f>
        <v>0</v>
      </c>
      <c r="N67" s="1771">
        <f t="shared" si="74"/>
        <v>9.6000000000000014</v>
      </c>
      <c r="O67" s="1679">
        <f t="shared" si="75"/>
        <v>2.1276595744680965E-2</v>
      </c>
      <c r="P67" s="1769">
        <f>+'NEW Summer CHP by DISC '!P67/15</f>
        <v>0.8</v>
      </c>
      <c r="Q67" s="1769">
        <f>+'NEW Summer CHP by DISC '!Q67/15</f>
        <v>3.8</v>
      </c>
      <c r="R67" s="1769">
        <f>+'NEW Summer CHP by DISC '!R67/12</f>
        <v>0</v>
      </c>
      <c r="S67" s="1769">
        <f t="shared" si="76"/>
        <v>4.5999999999999996</v>
      </c>
      <c r="T67" s="1679">
        <f t="shared" si="77"/>
        <v>-0.52083333333333348</v>
      </c>
      <c r="U67" s="1769">
        <f>+'NEW Summer CHP by DISC '!U67/15</f>
        <v>0</v>
      </c>
      <c r="V67" s="1769">
        <f>+'NEW Summer CHP by DISC '!V67/15</f>
        <v>5.8</v>
      </c>
      <c r="W67" s="1769">
        <f>+'NEW Summer CHP by DISC '!W67/12</f>
        <v>0</v>
      </c>
      <c r="X67" s="1769">
        <f t="shared" si="78"/>
        <v>5.8</v>
      </c>
      <c r="Y67" s="1679">
        <f t="shared" si="79"/>
        <v>0.26086956521739135</v>
      </c>
      <c r="Z67" s="1769">
        <f>+'NEW Summer CHP by DISC '!Z67/15</f>
        <v>2.2000000000000002</v>
      </c>
      <c r="AA67" s="1769">
        <f>+'NEW Summer CHP by DISC '!AA67/15</f>
        <v>4.4000000000000004</v>
      </c>
      <c r="AB67" s="1769">
        <f>+'NEW Summer CHP by DISC '!AB67/12</f>
        <v>0</v>
      </c>
      <c r="AC67" s="1769">
        <f t="shared" si="80"/>
        <v>6.6000000000000005</v>
      </c>
      <c r="AD67" s="1679">
        <f t="shared" si="81"/>
        <v>0.13793103448275876</v>
      </c>
      <c r="AE67" s="1788">
        <f>+'NEW Summer CHP by DISC '!AE67/15</f>
        <v>1.8</v>
      </c>
      <c r="AF67" s="1769">
        <f>+'NEW Summer CHP by DISC '!AF67/15</f>
        <v>2.4</v>
      </c>
      <c r="AG67" s="1769">
        <f>+'NEW Summer CHP by DISC '!AG67/12</f>
        <v>0</v>
      </c>
      <c r="AH67" s="1769">
        <f t="shared" si="82"/>
        <v>4.2</v>
      </c>
      <c r="AI67" s="1679">
        <f t="shared" si="83"/>
        <v>-0.36363636363636365</v>
      </c>
      <c r="AJ67" s="1788">
        <f>+'NEW Summer CHP by DISC '!AJ67/15</f>
        <v>2.6</v>
      </c>
      <c r="AK67" s="1769">
        <f>+'NEW Summer CHP by DISC '!AK67/15</f>
        <v>4</v>
      </c>
      <c r="AL67" s="1769">
        <f>+'NEW Summer CHP by DISC '!AL67/12</f>
        <v>0</v>
      </c>
      <c r="AM67" s="1769">
        <f t="shared" si="84"/>
        <v>6.6</v>
      </c>
      <c r="AN67" s="1679">
        <f t="shared" si="85"/>
        <v>0.57142857142857129</v>
      </c>
      <c r="AO67" s="1788">
        <f>+'NEW Summer CHP by DISC '!AO67/15</f>
        <v>2</v>
      </c>
      <c r="AP67" s="1769">
        <f>+'NEW Summer CHP by DISC '!AP67/15</f>
        <v>2.6</v>
      </c>
      <c r="AQ67" s="1769">
        <f>+'NEW Summer CHP by DISC '!AQ67/12</f>
        <v>0</v>
      </c>
      <c r="AR67" s="1769">
        <f t="shared" si="86"/>
        <v>4.5999999999999996</v>
      </c>
      <c r="AS67" s="1679">
        <f t="shared" si="87"/>
        <v>-0.30303030303030304</v>
      </c>
    </row>
    <row r="68" spans="1:45" x14ac:dyDescent="0.25">
      <c r="A68" s="478" t="s">
        <v>1047</v>
      </c>
      <c r="B68" s="1769">
        <f>+'NEW Summer CHP by DISC '!B68/15</f>
        <v>0</v>
      </c>
      <c r="C68" s="1769">
        <f>+'NEW Summer CHP by DISC '!C68/15</f>
        <v>2</v>
      </c>
      <c r="D68" s="1769">
        <f>+'NEW Summer CHP by DISC '!D68/12</f>
        <v>0</v>
      </c>
      <c r="E68" s="1770">
        <f t="shared" si="71"/>
        <v>2</v>
      </c>
      <c r="F68" s="1769">
        <f>+'NEW Summer CHP by DISC '!F68/15</f>
        <v>0</v>
      </c>
      <c r="G68" s="1769">
        <f>+'NEW Summer CHP by DISC '!G68/15</f>
        <v>3</v>
      </c>
      <c r="H68" s="1769">
        <f>+'NEW Summer CHP by DISC '!H68/12</f>
        <v>0</v>
      </c>
      <c r="I68" s="1769">
        <f t="shared" si="72"/>
        <v>3</v>
      </c>
      <c r="J68" s="1679">
        <f t="shared" si="73"/>
        <v>0.5</v>
      </c>
      <c r="K68" s="1769">
        <f>+'NEW Summer CHP by DISC '!K68/15</f>
        <v>0</v>
      </c>
      <c r="L68" s="1769">
        <f>+'NEW Summer CHP by DISC '!L68/15</f>
        <v>3</v>
      </c>
      <c r="M68" s="1769">
        <f>+'NEW Summer CHP by DISC '!M68/12</f>
        <v>0</v>
      </c>
      <c r="N68" s="1771">
        <f t="shared" si="74"/>
        <v>3</v>
      </c>
      <c r="O68" s="1679">
        <f t="shared" si="75"/>
        <v>0</v>
      </c>
      <c r="P68" s="1769">
        <f>+'NEW Summer CHP by DISC '!P68/15</f>
        <v>0</v>
      </c>
      <c r="Q68" s="1769">
        <f>+'NEW Summer CHP by DISC '!Q68/15</f>
        <v>5</v>
      </c>
      <c r="R68" s="1769">
        <f>+'NEW Summer CHP by DISC '!R68/12</f>
        <v>0</v>
      </c>
      <c r="S68" s="1769">
        <f t="shared" si="76"/>
        <v>5</v>
      </c>
      <c r="T68" s="1679">
        <f t="shared" si="77"/>
        <v>0.66666666666666663</v>
      </c>
      <c r="U68" s="1769">
        <f>+'NEW Summer CHP by DISC '!U68/15</f>
        <v>0</v>
      </c>
      <c r="V68" s="1769">
        <f>+'NEW Summer CHP by DISC '!V68/15</f>
        <v>5.8</v>
      </c>
      <c r="W68" s="1769">
        <f>+'NEW Summer CHP by DISC '!W68/12</f>
        <v>0</v>
      </c>
      <c r="X68" s="1769">
        <f t="shared" si="78"/>
        <v>5.8</v>
      </c>
      <c r="Y68" s="1679">
        <f t="shared" si="79"/>
        <v>0.15999999999999998</v>
      </c>
      <c r="Z68" s="1769">
        <f>+'NEW Summer CHP by DISC '!Z68/15</f>
        <v>0</v>
      </c>
      <c r="AA68" s="1769">
        <f>+'NEW Summer CHP by DISC '!AA68/15</f>
        <v>2.8</v>
      </c>
      <c r="AB68" s="1769">
        <f>+'NEW Summer CHP by DISC '!AB68/12</f>
        <v>0</v>
      </c>
      <c r="AC68" s="1769">
        <f t="shared" si="80"/>
        <v>2.8</v>
      </c>
      <c r="AD68" s="1679">
        <f t="shared" si="81"/>
        <v>-0.51724137931034486</v>
      </c>
      <c r="AE68" s="1788">
        <f>+'NEW Summer CHP by DISC '!AE68/15</f>
        <v>0</v>
      </c>
      <c r="AF68" s="1769">
        <f>+'NEW Summer CHP by DISC '!AF68/15</f>
        <v>2</v>
      </c>
      <c r="AG68" s="1769">
        <f>+'NEW Summer CHP by DISC '!AG68/12</f>
        <v>0</v>
      </c>
      <c r="AH68" s="1769">
        <f t="shared" si="82"/>
        <v>2</v>
      </c>
      <c r="AI68" s="1679">
        <f t="shared" si="83"/>
        <v>-0.28571428571428564</v>
      </c>
      <c r="AJ68" s="1788">
        <f>+'NEW Summer CHP by DISC '!AJ68/15</f>
        <v>0</v>
      </c>
      <c r="AK68" s="1769">
        <f>+'NEW Summer CHP by DISC '!AK68/15</f>
        <v>1.6</v>
      </c>
      <c r="AL68" s="1769">
        <f>+'NEW Summer CHP by DISC '!AL68/12</f>
        <v>0</v>
      </c>
      <c r="AM68" s="1769">
        <f t="shared" si="84"/>
        <v>1.6</v>
      </c>
      <c r="AN68" s="1679">
        <f t="shared" si="85"/>
        <v>-0.19999999999999996</v>
      </c>
      <c r="AO68" s="1788">
        <f>+'NEW Summer CHP by DISC '!AO68/15</f>
        <v>0</v>
      </c>
      <c r="AP68" s="1769">
        <f>+'NEW Summer CHP by DISC '!AP68/15</f>
        <v>4.5999999999999996</v>
      </c>
      <c r="AQ68" s="1769">
        <f>+'NEW Summer CHP by DISC '!AQ68/12</f>
        <v>0</v>
      </c>
      <c r="AR68" s="1769">
        <f t="shared" si="86"/>
        <v>4.5999999999999996</v>
      </c>
      <c r="AS68" s="1679">
        <f t="shared" si="87"/>
        <v>1.8749999999999996</v>
      </c>
    </row>
    <row r="69" spans="1:45" x14ac:dyDescent="0.25">
      <c r="A69" s="478" t="s">
        <v>1048</v>
      </c>
      <c r="B69" s="1769">
        <f>+'NEW Summer CHP by DISC '!B69/15</f>
        <v>5.8</v>
      </c>
      <c r="C69" s="1769">
        <f>+'NEW Summer CHP by DISC '!C69/15</f>
        <v>0.2</v>
      </c>
      <c r="D69" s="1769">
        <f>+'NEW Summer CHP by DISC '!D69/12</f>
        <v>0</v>
      </c>
      <c r="E69" s="1770">
        <f t="shared" si="71"/>
        <v>6</v>
      </c>
      <c r="F69" s="1769">
        <f>+'NEW Summer CHP by DISC '!F69/15</f>
        <v>5.6</v>
      </c>
      <c r="G69" s="1769">
        <f>+'NEW Summer CHP by DISC '!G69/15</f>
        <v>1.8</v>
      </c>
      <c r="H69" s="1769">
        <f>+'NEW Summer CHP by DISC '!H69/12</f>
        <v>0</v>
      </c>
      <c r="I69" s="1769">
        <f t="shared" si="72"/>
        <v>7.3999999999999995</v>
      </c>
      <c r="J69" s="1679">
        <f t="shared" si="73"/>
        <v>0.23333333333333325</v>
      </c>
      <c r="K69" s="1769">
        <f>+'NEW Summer CHP by DISC '!K69/15</f>
        <v>5.8</v>
      </c>
      <c r="L69" s="1769">
        <f>+'NEW Summer CHP by DISC '!L69/15</f>
        <v>1.2</v>
      </c>
      <c r="M69" s="1769">
        <f>+'NEW Summer CHP by DISC '!M69/12</f>
        <v>0</v>
      </c>
      <c r="N69" s="1771">
        <f t="shared" si="74"/>
        <v>7</v>
      </c>
      <c r="O69" s="1679">
        <f t="shared" si="75"/>
        <v>-5.4054054054053988E-2</v>
      </c>
      <c r="P69" s="1769">
        <f>+'NEW Summer CHP by DISC '!P69/15</f>
        <v>9.1999999999999993</v>
      </c>
      <c r="Q69" s="1769">
        <f>+'NEW Summer CHP by DISC '!Q69/15</f>
        <v>0</v>
      </c>
      <c r="R69" s="1769">
        <f>+'NEW Summer CHP by DISC '!R69/12</f>
        <v>0</v>
      </c>
      <c r="S69" s="1769">
        <f t="shared" si="76"/>
        <v>9.1999999999999993</v>
      </c>
      <c r="T69" s="1679">
        <f t="shared" si="77"/>
        <v>0.31428571428571417</v>
      </c>
      <c r="U69" s="1769">
        <f>+'NEW Summer CHP by DISC '!U69/15</f>
        <v>6.6</v>
      </c>
      <c r="V69" s="1769">
        <f>+'NEW Summer CHP by DISC '!V69/15</f>
        <v>2.4</v>
      </c>
      <c r="W69" s="1769">
        <f>+'NEW Summer CHP by DISC '!W69/12</f>
        <v>0</v>
      </c>
      <c r="X69" s="1769">
        <f t="shared" si="78"/>
        <v>9</v>
      </c>
      <c r="Y69" s="1679">
        <f t="shared" si="79"/>
        <v>-2.1739130434782532E-2</v>
      </c>
      <c r="Z69" s="1769">
        <f>+'NEW Summer CHP by DISC '!Z69/15</f>
        <v>5.4</v>
      </c>
      <c r="AA69" s="1769">
        <f>+'NEW Summer CHP by DISC '!AA69/15</f>
        <v>1.6</v>
      </c>
      <c r="AB69" s="1769">
        <f>+'NEW Summer CHP by DISC '!AB69/12</f>
        <v>0</v>
      </c>
      <c r="AC69" s="1769">
        <f t="shared" si="80"/>
        <v>7</v>
      </c>
      <c r="AD69" s="1679">
        <f t="shared" si="81"/>
        <v>-0.22222222222222221</v>
      </c>
      <c r="AE69" s="1788">
        <f>+'NEW Summer CHP by DISC '!AE69/15</f>
        <v>0</v>
      </c>
      <c r="AF69" s="1769">
        <f>+'NEW Summer CHP by DISC '!AF69/15</f>
        <v>1.6</v>
      </c>
      <c r="AG69" s="1769">
        <f>+'NEW Summer CHP by DISC '!AG69/12</f>
        <v>0</v>
      </c>
      <c r="AH69" s="1769">
        <f t="shared" si="82"/>
        <v>1.6</v>
      </c>
      <c r="AI69" s="1679">
        <f t="shared" si="83"/>
        <v>-0.77142857142857146</v>
      </c>
      <c r="AJ69" s="1788">
        <f>+'NEW Summer CHP by DISC '!AJ69/15</f>
        <v>2.4</v>
      </c>
      <c r="AK69" s="1769">
        <f>+'NEW Summer CHP by DISC '!AK69/15</f>
        <v>2.8</v>
      </c>
      <c r="AL69" s="1769">
        <f>+'NEW Summer CHP by DISC '!AL69/12</f>
        <v>0</v>
      </c>
      <c r="AM69" s="1769">
        <f t="shared" si="84"/>
        <v>5.1999999999999993</v>
      </c>
      <c r="AN69" s="1679">
        <f t="shared" si="85"/>
        <v>2.2499999999999996</v>
      </c>
      <c r="AO69" s="1788">
        <f>+'NEW Summer CHP by DISC '!AO69/15</f>
        <v>3.6</v>
      </c>
      <c r="AP69" s="1769">
        <f>+'NEW Summer CHP by DISC '!AP69/15</f>
        <v>1.2</v>
      </c>
      <c r="AQ69" s="1769">
        <f>+'NEW Summer CHP by DISC '!AQ69/12</f>
        <v>0</v>
      </c>
      <c r="AR69" s="1769">
        <f t="shared" si="86"/>
        <v>4.8</v>
      </c>
      <c r="AS69" s="1679">
        <f t="shared" si="87"/>
        <v>-7.692307692307683E-2</v>
      </c>
    </row>
    <row r="70" spans="1:45" x14ac:dyDescent="0.25">
      <c r="A70" s="478" t="s">
        <v>1437</v>
      </c>
      <c r="B70" s="1769">
        <f>+'NEW Summer CHP by DISC '!B70/15</f>
        <v>0</v>
      </c>
      <c r="C70" s="1769">
        <f>+'NEW Summer CHP by DISC '!C70/15</f>
        <v>0</v>
      </c>
      <c r="D70" s="1769">
        <f>+'NEW Summer CHP by DISC '!D70/12</f>
        <v>0</v>
      </c>
      <c r="E70" s="1770">
        <f t="shared" si="71"/>
        <v>0</v>
      </c>
      <c r="F70" s="1769">
        <f>+'NEW Summer CHP by DISC '!F70/15</f>
        <v>0</v>
      </c>
      <c r="G70" s="1769">
        <f>+'NEW Summer CHP by DISC '!G70/15</f>
        <v>0</v>
      </c>
      <c r="H70" s="1769">
        <f>+'NEW Summer CHP by DISC '!H70/12</f>
        <v>0</v>
      </c>
      <c r="I70" s="1769">
        <f t="shared" si="72"/>
        <v>0</v>
      </c>
      <c r="J70" s="1679" t="str">
        <f t="shared" si="73"/>
        <v>N/A</v>
      </c>
      <c r="K70" s="1769">
        <f>+'NEW Summer CHP by DISC '!K70/15</f>
        <v>0</v>
      </c>
      <c r="L70" s="1769">
        <f>+'NEW Summer CHP by DISC '!L70/15</f>
        <v>0</v>
      </c>
      <c r="M70" s="1769">
        <f>+'NEW Summer CHP by DISC '!M70/12</f>
        <v>0</v>
      </c>
      <c r="N70" s="1771">
        <f t="shared" si="74"/>
        <v>0</v>
      </c>
      <c r="O70" s="1679" t="str">
        <f t="shared" si="75"/>
        <v>N/A</v>
      </c>
      <c r="P70" s="1769">
        <f>+'NEW Summer CHP by DISC '!P70/15</f>
        <v>0</v>
      </c>
      <c r="Q70" s="1769">
        <f>+'NEW Summer CHP by DISC '!Q70/15</f>
        <v>0.2</v>
      </c>
      <c r="R70" s="1769">
        <f>+'NEW Summer CHP by DISC '!R70/12</f>
        <v>0</v>
      </c>
      <c r="S70" s="1769">
        <f t="shared" si="76"/>
        <v>0.2</v>
      </c>
      <c r="T70" s="1679">
        <f t="shared" si="77"/>
        <v>1</v>
      </c>
      <c r="U70" s="1769">
        <f>+'NEW Summer CHP by DISC '!U70/15</f>
        <v>0</v>
      </c>
      <c r="V70" s="1769">
        <f>+'NEW Summer CHP by DISC '!V70/15</f>
        <v>0.4</v>
      </c>
      <c r="W70" s="1769">
        <f>+'NEW Summer CHP by DISC '!W70/12</f>
        <v>0</v>
      </c>
      <c r="X70" s="1769">
        <f t="shared" si="78"/>
        <v>0.4</v>
      </c>
      <c r="Y70" s="1679">
        <f t="shared" si="79"/>
        <v>1</v>
      </c>
      <c r="Z70" s="1769">
        <f>+'NEW Summer CHP by DISC '!Z70/15</f>
        <v>0</v>
      </c>
      <c r="AA70" s="1769">
        <f>+'NEW Summer CHP by DISC '!AA70/15</f>
        <v>2</v>
      </c>
      <c r="AB70" s="1769">
        <f>+'NEW Summer CHP by DISC '!AB70/12</f>
        <v>0</v>
      </c>
      <c r="AC70" s="1769">
        <f t="shared" si="80"/>
        <v>2</v>
      </c>
      <c r="AD70" s="1679">
        <f t="shared" si="81"/>
        <v>4</v>
      </c>
      <c r="AE70" s="1788">
        <f>+'NEW Summer CHP by DISC '!AE70/15</f>
        <v>0</v>
      </c>
      <c r="AF70" s="1769">
        <f>+'NEW Summer CHP by DISC '!AF70/15</f>
        <v>1.8</v>
      </c>
      <c r="AG70" s="1769">
        <f>+'NEW Summer CHP by DISC '!AG70/12</f>
        <v>0</v>
      </c>
      <c r="AH70" s="1769">
        <f t="shared" si="82"/>
        <v>1.8</v>
      </c>
      <c r="AI70" s="1679">
        <f t="shared" si="83"/>
        <v>-9.9999999999999978E-2</v>
      </c>
      <c r="AJ70" s="1788">
        <f>+'NEW Summer CHP by DISC '!AJ70/15</f>
        <v>0</v>
      </c>
      <c r="AK70" s="1769">
        <f>+'NEW Summer CHP by DISC '!AK70/15</f>
        <v>0.2</v>
      </c>
      <c r="AL70" s="1769">
        <f>+'NEW Summer CHP by DISC '!AL70/12</f>
        <v>0</v>
      </c>
      <c r="AM70" s="1769">
        <f t="shared" si="84"/>
        <v>0.2</v>
      </c>
      <c r="AN70" s="1679">
        <f t="shared" si="85"/>
        <v>-0.88888888888888895</v>
      </c>
      <c r="AO70" s="1788">
        <f>+'NEW Summer CHP by DISC '!AO70/15</f>
        <v>0</v>
      </c>
      <c r="AP70" s="1769">
        <f>+'NEW Summer CHP by DISC '!AP70/15</f>
        <v>0.6</v>
      </c>
      <c r="AQ70" s="1769">
        <f>+'NEW Summer CHP by DISC '!AQ70/12</f>
        <v>0</v>
      </c>
      <c r="AR70" s="1769">
        <f t="shared" si="86"/>
        <v>0.6</v>
      </c>
      <c r="AS70" s="1679">
        <f t="shared" si="87"/>
        <v>1.9999999999999998</v>
      </c>
    </row>
    <row r="71" spans="1:45" s="484" customFormat="1" ht="13.8" x14ac:dyDescent="0.25">
      <c r="A71" s="513" t="s">
        <v>1015</v>
      </c>
      <c r="B71" s="1776">
        <f t="shared" ref="B71:I71" si="88">SUM(B65:B70)</f>
        <v>12.399999999999999</v>
      </c>
      <c r="C71" s="1776">
        <f t="shared" si="88"/>
        <v>9.6</v>
      </c>
      <c r="D71" s="1776">
        <f t="shared" si="88"/>
        <v>0</v>
      </c>
      <c r="E71" s="1776">
        <f t="shared" si="88"/>
        <v>22</v>
      </c>
      <c r="F71" s="1776">
        <f t="shared" si="88"/>
        <v>7.8</v>
      </c>
      <c r="G71" s="1776">
        <f t="shared" si="88"/>
        <v>12</v>
      </c>
      <c r="H71" s="1776">
        <f t="shared" si="88"/>
        <v>0</v>
      </c>
      <c r="I71" s="1776">
        <f t="shared" si="88"/>
        <v>19.8</v>
      </c>
      <c r="J71" s="1772">
        <f t="shared" si="73"/>
        <v>-9.9999999999999964E-2</v>
      </c>
      <c r="K71" s="1776">
        <f>SUM(K65:K70)</f>
        <v>8</v>
      </c>
      <c r="L71" s="1776">
        <f>SUM(L65:L70)</f>
        <v>11.6</v>
      </c>
      <c r="M71" s="1776">
        <f>SUM(M65:M70)</f>
        <v>0</v>
      </c>
      <c r="N71" s="1776">
        <f>SUM(N65:N70)</f>
        <v>19.600000000000001</v>
      </c>
      <c r="O71" s="1772">
        <f t="shared" si="75"/>
        <v>-1.0101010101010065E-2</v>
      </c>
      <c r="P71" s="1776">
        <f>SUM(P65:P70)</f>
        <v>10</v>
      </c>
      <c r="Q71" s="1776">
        <f>SUM(Q65:Q70)</f>
        <v>9</v>
      </c>
      <c r="R71" s="1776">
        <f>SUM(R65:R70)</f>
        <v>12.5</v>
      </c>
      <c r="S71" s="1776">
        <f>SUM(S65:S70)</f>
        <v>31.5</v>
      </c>
      <c r="T71" s="1772">
        <f t="shared" si="77"/>
        <v>0.60714285714285698</v>
      </c>
      <c r="U71" s="1776">
        <f>SUM(U65:U70)</f>
        <v>6.6</v>
      </c>
      <c r="V71" s="1776">
        <f>SUM(V65:V70)</f>
        <v>14.4</v>
      </c>
      <c r="W71" s="1776">
        <f>SUM(W65:W70)</f>
        <v>13</v>
      </c>
      <c r="X71" s="1776">
        <f>SUM(X65:X70)</f>
        <v>34</v>
      </c>
      <c r="Y71" s="1772">
        <f t="shared" si="79"/>
        <v>7.9365079365079361E-2</v>
      </c>
      <c r="Z71" s="1776">
        <f>SUM(Z65:Z70)</f>
        <v>9</v>
      </c>
      <c r="AA71" s="1776">
        <f>SUM(AA65:AA70)</f>
        <v>10.8</v>
      </c>
      <c r="AB71" s="1776">
        <f>SUM(AB65:AB70)</f>
        <v>11.5</v>
      </c>
      <c r="AC71" s="1776">
        <f>SUM(AC65:AC70)</f>
        <v>31.3</v>
      </c>
      <c r="AD71" s="1772">
        <f t="shared" si="81"/>
        <v>-7.9411764705882334E-2</v>
      </c>
      <c r="AE71" s="1042">
        <f>SUM(AE65:AE70)</f>
        <v>2.6</v>
      </c>
      <c r="AF71" s="1776">
        <f>SUM(AF65:AF70)</f>
        <v>7.8</v>
      </c>
      <c r="AG71" s="1776">
        <f>SUM(AG65:AG70)</f>
        <v>0</v>
      </c>
      <c r="AH71" s="1776">
        <f>SUM(AH65:AH70)</f>
        <v>10.4</v>
      </c>
      <c r="AI71" s="1772">
        <f t="shared" si="83"/>
        <v>-0.66773162939297115</v>
      </c>
      <c r="AJ71" s="1042">
        <f>SUM(AJ65:AJ70)</f>
        <v>6.6</v>
      </c>
      <c r="AK71" s="1776">
        <f>SUM(AK65:AK70)</f>
        <v>8.5999999999999979</v>
      </c>
      <c r="AL71" s="1776">
        <f>SUM(AL65:AL70)</f>
        <v>0</v>
      </c>
      <c r="AM71" s="1776">
        <f>SUM(AM65:AM70)</f>
        <v>15.199999999999998</v>
      </c>
      <c r="AN71" s="1772">
        <f t="shared" si="85"/>
        <v>0.46153846153846123</v>
      </c>
      <c r="AO71" s="1042">
        <f>SUM(AO65:AO70)</f>
        <v>5.8000000000000007</v>
      </c>
      <c r="AP71" s="1776">
        <f>SUM(AP65:AP70)</f>
        <v>8.9999999999999982</v>
      </c>
      <c r="AQ71" s="1776">
        <f>SUM(AQ65:AQ70)</f>
        <v>0</v>
      </c>
      <c r="AR71" s="1776">
        <f>SUM(AR65:AR70)</f>
        <v>14.799999999999999</v>
      </c>
      <c r="AS71" s="1772">
        <f t="shared" si="87"/>
        <v>-2.6315789473684122E-2</v>
      </c>
    </row>
    <row r="72" spans="1:45" x14ac:dyDescent="0.25">
      <c r="A72" s="477" t="s">
        <v>418</v>
      </c>
      <c r="B72" s="1765"/>
      <c r="C72" s="1766"/>
      <c r="D72" s="1766"/>
      <c r="E72" s="1777"/>
      <c r="F72" s="1765"/>
      <c r="G72" s="1766"/>
      <c r="H72" s="1766"/>
      <c r="I72" s="1766"/>
      <c r="J72" s="1768"/>
      <c r="K72" s="1765"/>
      <c r="L72" s="1766"/>
      <c r="M72" s="1766"/>
      <c r="N72" s="1767"/>
      <c r="O72" s="1768"/>
      <c r="P72" s="1765"/>
      <c r="Q72" s="1766"/>
      <c r="R72" s="1766"/>
      <c r="S72" s="1766"/>
      <c r="T72" s="1768"/>
      <c r="U72" s="1765"/>
      <c r="V72" s="1766"/>
      <c r="W72" s="1766"/>
      <c r="X72" s="1766"/>
      <c r="Y72" s="1768"/>
      <c r="Z72" s="1765"/>
      <c r="AA72" s="1766"/>
      <c r="AB72" s="1766"/>
      <c r="AC72" s="1766"/>
      <c r="AD72" s="1768"/>
      <c r="AE72" s="1815"/>
      <c r="AF72" s="1766"/>
      <c r="AG72" s="1766"/>
      <c r="AH72" s="1766"/>
      <c r="AI72" s="1768"/>
      <c r="AJ72" s="1815"/>
      <c r="AK72" s="1766"/>
      <c r="AL72" s="1766"/>
      <c r="AM72" s="1766"/>
      <c r="AN72" s="1768"/>
      <c r="AO72" s="1815"/>
      <c r="AP72" s="1766"/>
      <c r="AQ72" s="1766"/>
      <c r="AR72" s="1766"/>
      <c r="AS72" s="1768"/>
    </row>
    <row r="73" spans="1:45" x14ac:dyDescent="0.25">
      <c r="A73" s="478" t="s">
        <v>1044</v>
      </c>
      <c r="B73" s="1769">
        <f>+'NEW Summer CHP by DISC '!B73/15</f>
        <v>9</v>
      </c>
      <c r="C73" s="1769">
        <f>+'NEW Summer CHP by DISC '!C73/15</f>
        <v>1</v>
      </c>
      <c r="D73" s="1769">
        <f>+'NEW Summer CHP by DISC '!D73/12</f>
        <v>0</v>
      </c>
      <c r="E73" s="1770">
        <f>SUM(B73:D73)</f>
        <v>10</v>
      </c>
      <c r="F73" s="1769">
        <f>+'NEW Summer CHP by DISC '!F73/15</f>
        <v>14.4</v>
      </c>
      <c r="G73" s="1769">
        <f>+'NEW Summer CHP by DISC '!G73/15</f>
        <v>2.2000000000000002</v>
      </c>
      <c r="H73" s="1769">
        <f>+'NEW Summer CHP by DISC '!H73/12</f>
        <v>0</v>
      </c>
      <c r="I73" s="1769">
        <f>SUM(F73:H73)</f>
        <v>16.600000000000001</v>
      </c>
      <c r="J73" s="1679">
        <f>IF(E73&gt;0,(I73-E73)/E73,(IF(I73=0,"N/A",100%)))</f>
        <v>0.66000000000000014</v>
      </c>
      <c r="K73" s="1769">
        <f>+'NEW Summer CHP by DISC '!K73/15</f>
        <v>17</v>
      </c>
      <c r="L73" s="1769">
        <f>+'NEW Summer CHP by DISC '!L73/15</f>
        <v>1.4</v>
      </c>
      <c r="M73" s="1769">
        <f>+'NEW Summer CHP by DISC '!M73/12</f>
        <v>0</v>
      </c>
      <c r="N73" s="1724">
        <f>SUM(K73:M73)</f>
        <v>18.399999999999999</v>
      </c>
      <c r="O73" s="1679">
        <f>IF(I73&gt;0,(N73-I73)/I73,(IF(N73=0,"N/A",100%)))</f>
        <v>0.10843373493975886</v>
      </c>
      <c r="P73" s="1769">
        <f>+'NEW Summer CHP by DISC '!P73/15</f>
        <v>15.2</v>
      </c>
      <c r="Q73" s="1769">
        <f>+'NEW Summer CHP by DISC '!Q73/15</f>
        <v>0.4</v>
      </c>
      <c r="R73" s="1769">
        <f>+'NEW Summer CHP by DISC '!R73/12</f>
        <v>0</v>
      </c>
      <c r="S73" s="1769">
        <f>SUM(P73:R73)</f>
        <v>15.6</v>
      </c>
      <c r="T73" s="1679">
        <f>IF(N73&gt;0,(S73-N73)/N73,(IF(S73=0,"N/A",100%)))</f>
        <v>-0.15217391304347822</v>
      </c>
      <c r="U73" s="1769">
        <f>+'NEW Summer CHP by DISC '!U73/15</f>
        <v>12.4</v>
      </c>
      <c r="V73" s="1769">
        <f>+'NEW Summer CHP by DISC '!V73/15</f>
        <v>0</v>
      </c>
      <c r="W73" s="1769">
        <f>+'NEW Summer CHP by DISC '!W73/12</f>
        <v>0</v>
      </c>
      <c r="X73" s="1769">
        <f>SUM(U73:W73)</f>
        <v>12.4</v>
      </c>
      <c r="Y73" s="1679">
        <f>IF(S73&gt;0,(X73-S73)/S73,(IF(X73=0,"N/A",100%)))</f>
        <v>-0.20512820512820509</v>
      </c>
      <c r="Z73" s="1769">
        <f>+'NEW Summer CHP by DISC '!Z73/15</f>
        <v>1.8</v>
      </c>
      <c r="AA73" s="1769">
        <f>+'NEW Summer CHP by DISC '!AA73/15</f>
        <v>11.8</v>
      </c>
      <c r="AB73" s="1769">
        <f>+'NEW Summer CHP by DISC '!AB73/12</f>
        <v>0</v>
      </c>
      <c r="AC73" s="1769">
        <f>SUM(Z73:AB73)</f>
        <v>13.600000000000001</v>
      </c>
      <c r="AD73" s="1679">
        <f>IF(X73&gt;0,(AC73-X73)/X73,(IF(AC73=0,"N/A",100%)))</f>
        <v>9.6774193548387177E-2</v>
      </c>
      <c r="AE73" s="1788">
        <f>+'NEW Summer CHP by DISC '!AE73/15</f>
        <v>13</v>
      </c>
      <c r="AF73" s="1769">
        <f>+'NEW Summer CHP by DISC '!AF73/15</f>
        <v>1.2</v>
      </c>
      <c r="AG73" s="1769">
        <f>+'NEW Summer CHP by DISC '!AG73/12</f>
        <v>0</v>
      </c>
      <c r="AH73" s="1769">
        <f>SUM(AE73:AG73)</f>
        <v>14.2</v>
      </c>
      <c r="AI73" s="1679">
        <f>IF(AC73&gt;0,(AH73-AC73)/AC73,(IF(AH73=0,"N/A",100%)))</f>
        <v>4.4117647058823366E-2</v>
      </c>
      <c r="AJ73" s="1788">
        <f>+'NEW Summer CHP by DISC '!AJ73/15</f>
        <v>13.4</v>
      </c>
      <c r="AK73" s="1769">
        <f>+'NEW Summer CHP by DISC '!AK73/15</f>
        <v>0.66666666666666663</v>
      </c>
      <c r="AL73" s="1769">
        <f>+'NEW Summer CHP by DISC '!AL73/12</f>
        <v>0</v>
      </c>
      <c r="AM73" s="1769">
        <f>SUM(AJ73:AL73)</f>
        <v>14.066666666666666</v>
      </c>
      <c r="AN73" s="1679">
        <f>IF(AH73&gt;0,(AM73-AH73)/AH73,(IF(AM73=0,"N/A",100%)))</f>
        <v>-9.3896713615023147E-3</v>
      </c>
      <c r="AO73" s="1788">
        <f>+'NEW Summer CHP by DISC '!AO73/15</f>
        <v>12.4</v>
      </c>
      <c r="AP73" s="1769">
        <f>+'NEW Summer CHP by DISC '!AP73/15</f>
        <v>0</v>
      </c>
      <c r="AQ73" s="1769">
        <f>+'NEW Summer CHP by DISC '!AQ73/12</f>
        <v>0</v>
      </c>
      <c r="AR73" s="1769">
        <f>SUM(AO73:AQ73)</f>
        <v>12.4</v>
      </c>
      <c r="AS73" s="1679">
        <f>IF(AM73&gt;0,(AR73-AM73)/AM73,(IF(AR73=0,"N/A",100%)))</f>
        <v>-0.11848341232227484</v>
      </c>
    </row>
    <row r="74" spans="1:45" x14ac:dyDescent="0.25">
      <c r="A74" s="478" t="s">
        <v>1049</v>
      </c>
      <c r="B74" s="1769">
        <f>+'NEW Summer CHP by DISC '!B74/15</f>
        <v>9</v>
      </c>
      <c r="C74" s="1769">
        <f>+'NEW Summer CHP by DISC '!C74/15</f>
        <v>0</v>
      </c>
      <c r="D74" s="1769">
        <f>+'NEW Summer CHP by DISC '!D74/12</f>
        <v>0</v>
      </c>
      <c r="E74" s="1770">
        <f>SUM(B74:D74)</f>
        <v>9</v>
      </c>
      <c r="F74" s="1769">
        <f>+'NEW Summer CHP by DISC '!F74/15</f>
        <v>5.8</v>
      </c>
      <c r="G74" s="1769">
        <f>+'NEW Summer CHP by DISC '!G74/15</f>
        <v>0</v>
      </c>
      <c r="H74" s="1769">
        <f>+'NEW Summer CHP by DISC '!H74/12</f>
        <v>0</v>
      </c>
      <c r="I74" s="1769">
        <f>SUM(F74:H74)</f>
        <v>5.8</v>
      </c>
      <c r="J74" s="1679">
        <f>IF(E74&gt;0,(I74-E74)/E74,(IF(I74=0,"N/A",100%)))</f>
        <v>-0.35555555555555557</v>
      </c>
      <c r="K74" s="1769">
        <f>+'NEW Summer CHP by DISC '!K74/15</f>
        <v>11.2</v>
      </c>
      <c r="L74" s="1769">
        <f>+'NEW Summer CHP by DISC '!L74/15</f>
        <v>0</v>
      </c>
      <c r="M74" s="1769">
        <f>+'NEW Summer CHP by DISC '!M74/12</f>
        <v>0</v>
      </c>
      <c r="N74" s="1771">
        <f>SUM(K74:M74)</f>
        <v>11.2</v>
      </c>
      <c r="O74" s="1679">
        <f>IF(I74&gt;0,(N74-I74)/I74,(IF(N74=0,"N/A",100%)))</f>
        <v>0.93103448275862066</v>
      </c>
      <c r="P74" s="1769">
        <f>+'NEW Summer CHP by DISC '!P74/15</f>
        <v>9.4</v>
      </c>
      <c r="Q74" s="1769">
        <f>+'NEW Summer CHP by DISC '!Q74/15</f>
        <v>0</v>
      </c>
      <c r="R74" s="1769">
        <f>+'NEW Summer CHP by DISC '!R74/12</f>
        <v>0</v>
      </c>
      <c r="S74" s="1769">
        <f>SUM(P74:R74)</f>
        <v>9.4</v>
      </c>
      <c r="T74" s="1679">
        <f>IF(N74&gt;0,(S74-N74)/N74,(IF(S74=0,"N/A",100%)))</f>
        <v>-0.16071428571428564</v>
      </c>
      <c r="U74" s="1769">
        <f>+'NEW Summer CHP by DISC '!U74/15</f>
        <v>13.2</v>
      </c>
      <c r="V74" s="1769">
        <f>+'NEW Summer CHP by DISC '!V74/15</f>
        <v>0</v>
      </c>
      <c r="W74" s="1769">
        <f>+'NEW Summer CHP by DISC '!W74/12</f>
        <v>0</v>
      </c>
      <c r="X74" s="1769">
        <f>SUM(U74:W74)</f>
        <v>13.2</v>
      </c>
      <c r="Y74" s="1679">
        <f>IF(S74&gt;0,(X74-S74)/S74,(IF(X74=0,"N/A",100%)))</f>
        <v>0.40425531914893603</v>
      </c>
      <c r="Z74" s="1769">
        <f>+'NEW Summer CHP by DISC '!Z74/15</f>
        <v>6.8</v>
      </c>
      <c r="AA74" s="1769">
        <f>+'NEW Summer CHP by DISC '!AA74/15</f>
        <v>0.2</v>
      </c>
      <c r="AB74" s="1769">
        <f>+'NEW Summer CHP by DISC '!AB74/12</f>
        <v>0</v>
      </c>
      <c r="AC74" s="1769">
        <f>SUM(Z74:AB74)</f>
        <v>7</v>
      </c>
      <c r="AD74" s="1679">
        <f>IF(X74&gt;0,(AC74-X74)/X74,(IF(AC74=0,"N/A",100%)))</f>
        <v>-0.46969696969696967</v>
      </c>
      <c r="AE74" s="1788">
        <f>+'NEW Summer CHP by DISC '!AE74/15</f>
        <v>2.2000000000000002</v>
      </c>
      <c r="AF74" s="1769">
        <f>+'NEW Summer CHP by DISC '!AF74/15</f>
        <v>0</v>
      </c>
      <c r="AG74" s="1769">
        <f>+'NEW Summer CHP by DISC '!AG74/12</f>
        <v>0</v>
      </c>
      <c r="AH74" s="1769">
        <f>SUM(AE74:AG74)</f>
        <v>2.2000000000000002</v>
      </c>
      <c r="AI74" s="1679">
        <f>IF(AC74&gt;0,(AH74-AC74)/AC74,(IF(AH74=0,"N/A",100%)))</f>
        <v>-0.68571428571428572</v>
      </c>
      <c r="AJ74" s="1788">
        <f>+'NEW Summer CHP by DISC '!AJ74/15</f>
        <v>5.6</v>
      </c>
      <c r="AK74" s="1769">
        <f>+'NEW Summer CHP by DISC '!AK74/15</f>
        <v>0</v>
      </c>
      <c r="AL74" s="1769">
        <f>+'NEW Summer CHP by DISC '!AL74/12</f>
        <v>0</v>
      </c>
      <c r="AM74" s="1769">
        <f>SUM(AJ74:AL74)</f>
        <v>5.6</v>
      </c>
      <c r="AN74" s="1679">
        <f>IF(AH74&gt;0,(AM74-AH74)/AH74,(IF(AM74=0,"N/A",100%)))</f>
        <v>1.5454545454545452</v>
      </c>
      <c r="AO74" s="1788">
        <f>+'NEW Summer CHP by DISC '!AO74/15</f>
        <v>3.6</v>
      </c>
      <c r="AP74" s="1769">
        <f>+'NEW Summer CHP by DISC '!AP74/15</f>
        <v>0</v>
      </c>
      <c r="AQ74" s="1769">
        <f>+'NEW Summer CHP by DISC '!AQ74/12</f>
        <v>0</v>
      </c>
      <c r="AR74" s="1769">
        <f>SUM(AO74:AQ74)</f>
        <v>3.6</v>
      </c>
      <c r="AS74" s="1679">
        <f>IF(AM74&gt;0,(AR74-AM74)/AM74,(IF(AR74=0,"N/A",100%)))</f>
        <v>-0.3571428571428571</v>
      </c>
    </row>
    <row r="75" spans="1:45" s="484" customFormat="1" ht="13.8" x14ac:dyDescent="0.25">
      <c r="A75" s="513" t="s">
        <v>1015</v>
      </c>
      <c r="B75" s="1776">
        <f t="shared" ref="B75:I75" si="89">SUM(B73:B74)</f>
        <v>18</v>
      </c>
      <c r="C75" s="1776">
        <f t="shared" si="89"/>
        <v>1</v>
      </c>
      <c r="D75" s="1776">
        <f t="shared" si="89"/>
        <v>0</v>
      </c>
      <c r="E75" s="512">
        <f t="shared" si="89"/>
        <v>19</v>
      </c>
      <c r="F75" s="1776">
        <f t="shared" si="89"/>
        <v>20.2</v>
      </c>
      <c r="G75" s="1776">
        <f t="shared" si="89"/>
        <v>2.2000000000000002</v>
      </c>
      <c r="H75" s="1776">
        <f t="shared" si="89"/>
        <v>0</v>
      </c>
      <c r="I75" s="1776">
        <f t="shared" si="89"/>
        <v>22.400000000000002</v>
      </c>
      <c r="J75" s="1772">
        <f>IF(E75&gt;0,(I75-E75)/E75,(IF(I75=0,"N/A",100%)))</f>
        <v>0.17894736842105274</v>
      </c>
      <c r="K75" s="1776">
        <f t="shared" ref="K75:S75" si="90">SUM(K73:K74)</f>
        <v>28.2</v>
      </c>
      <c r="L75" s="1776">
        <f t="shared" si="90"/>
        <v>1.4</v>
      </c>
      <c r="M75" s="1776">
        <f t="shared" si="90"/>
        <v>0</v>
      </c>
      <c r="N75" s="1779">
        <f t="shared" si="90"/>
        <v>29.599999999999998</v>
      </c>
      <c r="O75" s="1772">
        <f>IF(I75&gt;0,(N75-I75)/I75,(IF(N75=0,"N/A",100%)))</f>
        <v>0.32142857142857123</v>
      </c>
      <c r="P75" s="1776">
        <f t="shared" si="90"/>
        <v>24.6</v>
      </c>
      <c r="Q75" s="1776">
        <f t="shared" si="90"/>
        <v>0.4</v>
      </c>
      <c r="R75" s="1776">
        <f t="shared" si="90"/>
        <v>0</v>
      </c>
      <c r="S75" s="1776">
        <f t="shared" si="90"/>
        <v>25</v>
      </c>
      <c r="T75" s="1772">
        <f>IF(N75&gt;0,(S75-N75)/N75,(IF(S75=0,"N/A",100%)))</f>
        <v>-0.15540540540540534</v>
      </c>
      <c r="U75" s="1776">
        <f>SUM(U73:U74)</f>
        <v>25.6</v>
      </c>
      <c r="V75" s="1776">
        <f>SUM(V73:V74)</f>
        <v>0</v>
      </c>
      <c r="W75" s="1776">
        <f>SUM(W73:W74)</f>
        <v>0</v>
      </c>
      <c r="X75" s="1776">
        <f>SUM(X73:X74)</f>
        <v>25.6</v>
      </c>
      <c r="Y75" s="1772">
        <f>IF(S75&gt;0,(X75-S75)/S75,(IF(X75=0,"N/A",100%)))</f>
        <v>2.4000000000000056E-2</v>
      </c>
      <c r="Z75" s="1776">
        <f>SUM(Z73:Z74)</f>
        <v>8.6</v>
      </c>
      <c r="AA75" s="1776">
        <f>SUM(AA73:AA74)</f>
        <v>12</v>
      </c>
      <c r="AB75" s="1776">
        <f>SUM(AB73:AB74)</f>
        <v>0</v>
      </c>
      <c r="AC75" s="1776">
        <f>SUM(AC73:AC74)</f>
        <v>20.6</v>
      </c>
      <c r="AD75" s="1772">
        <f>IF(X75&gt;0,(AC75-X75)/X75,(IF(AC75=0,"N/A",100%)))</f>
        <v>-0.1953125</v>
      </c>
      <c r="AE75" s="1042">
        <f>SUM(AE73:AE74)</f>
        <v>15.2</v>
      </c>
      <c r="AF75" s="1776">
        <f>SUM(AF73:AF74)</f>
        <v>1.2</v>
      </c>
      <c r="AG75" s="1776">
        <f>SUM(AG73:AG74)</f>
        <v>0</v>
      </c>
      <c r="AH75" s="1776">
        <f>SUM(AH73:AH74)</f>
        <v>16.399999999999999</v>
      </c>
      <c r="AI75" s="1772">
        <f>IF(AC75&gt;0,(AH75-AC75)/AC75,(IF(AH75=0,"N/A",100%)))</f>
        <v>-0.2038834951456312</v>
      </c>
      <c r="AJ75" s="1042">
        <f>SUM(AJ73:AJ74)</f>
        <v>19</v>
      </c>
      <c r="AK75" s="1776">
        <f>SUM(AK73:AK74)</f>
        <v>0.66666666666666663</v>
      </c>
      <c r="AL75" s="1776">
        <f>SUM(AL73:AL74)</f>
        <v>0</v>
      </c>
      <c r="AM75" s="1776">
        <f>SUM(AM73:AM74)</f>
        <v>19.666666666666664</v>
      </c>
      <c r="AN75" s="1772">
        <f>IF(AH75&gt;0,(AM75-AH75)/AH75,(IF(AM75=0,"N/A",100%)))</f>
        <v>0.19918699186991864</v>
      </c>
      <c r="AO75" s="1042">
        <f>SUM(AO73:AO74)</f>
        <v>16</v>
      </c>
      <c r="AP75" s="1776">
        <f>SUM(AP73:AP74)</f>
        <v>0</v>
      </c>
      <c r="AQ75" s="1776">
        <f>SUM(AQ73:AQ74)</f>
        <v>0</v>
      </c>
      <c r="AR75" s="1776">
        <f>SUM(AR73:AR74)</f>
        <v>16</v>
      </c>
      <c r="AS75" s="1772">
        <f>IF(AM75&gt;0,(AR75-AM75)/AM75,(IF(AR75=0,"N/A",100%)))</f>
        <v>-0.18644067796610159</v>
      </c>
    </row>
    <row r="76" spans="1:45" s="502" customFormat="1" ht="16.2" thickBot="1" x14ac:dyDescent="0.35">
      <c r="A76" s="497" t="s">
        <v>423</v>
      </c>
      <c r="B76" s="498">
        <f t="shared" ref="B76:I76" si="91">+B48+B56+B63+B71+B75</f>
        <v>46.733333333333334</v>
      </c>
      <c r="C76" s="498">
        <f t="shared" si="91"/>
        <v>20.266666666666666</v>
      </c>
      <c r="D76" s="498">
        <f t="shared" si="91"/>
        <v>13.25</v>
      </c>
      <c r="E76" s="500">
        <f t="shared" si="91"/>
        <v>80.25</v>
      </c>
      <c r="F76" s="498">
        <f t="shared" si="91"/>
        <v>36.266666666666666</v>
      </c>
      <c r="G76" s="498">
        <f t="shared" si="91"/>
        <v>22.2</v>
      </c>
      <c r="H76" s="498">
        <f t="shared" si="91"/>
        <v>19.5</v>
      </c>
      <c r="I76" s="498">
        <f t="shared" si="91"/>
        <v>77.966666666666669</v>
      </c>
      <c r="J76" s="525">
        <f>IF(E76&gt;0,(I76-E76)/E76,(IF(I76=0,"N/A",100%)))</f>
        <v>-2.8452751817237776E-2</v>
      </c>
      <c r="K76" s="498">
        <f>+K48+K56+K63+K71+K75</f>
        <v>45.4</v>
      </c>
      <c r="L76" s="498">
        <f>+L48+L56+L63+L71+L75</f>
        <v>16.399999999999999</v>
      </c>
      <c r="M76" s="498">
        <f>+M48+M56+M63+M71+M75</f>
        <v>10.25</v>
      </c>
      <c r="N76" s="499">
        <f>+N48+N56+N63+N71+N75</f>
        <v>72.05</v>
      </c>
      <c r="O76" s="501">
        <f>IF(I76&gt;0,(N76-I76)/I76,(IF(N76=0,"N/A",100%)))</f>
        <v>-7.5887131252672144E-2</v>
      </c>
      <c r="P76" s="498">
        <f>+P48+P56+P63+P71+P75</f>
        <v>40.333333333333336</v>
      </c>
      <c r="Q76" s="498">
        <f>+Q48+Q56+Q63+Q71+Q75</f>
        <v>18.933333333333334</v>
      </c>
      <c r="R76" s="498">
        <f>+R48+R56+R63+R71+R75</f>
        <v>28</v>
      </c>
      <c r="S76" s="498">
        <f>+S48+S56+S63+S71+S75</f>
        <v>87.266666666666666</v>
      </c>
      <c r="T76" s="525">
        <f>IF(N76&gt;0,(S76-N76)/N76,(IF(S76=0,"N/A",100%)))</f>
        <v>0.21119592875318069</v>
      </c>
      <c r="U76" s="498">
        <f>+U48+U56+U63+U71+U75</f>
        <v>35.466666666666669</v>
      </c>
      <c r="V76" s="498">
        <f>+V48+V56+V63+V71+V75</f>
        <v>21.333333333333336</v>
      </c>
      <c r="W76" s="498">
        <f>+W48+W56+W63+W71+W75</f>
        <v>20.5</v>
      </c>
      <c r="X76" s="498">
        <f>+X48+X56+X63+X71+X75</f>
        <v>77.300000000000011</v>
      </c>
      <c r="Y76" s="525">
        <f>IF(S76&gt;0,(X76-S76)/S76,(IF(X76=0,"N/A",100%)))</f>
        <v>-0.11420932009167289</v>
      </c>
      <c r="Z76" s="498">
        <f>+Z48+Z56+Z63+Z71+Z75</f>
        <v>22.799999999999997</v>
      </c>
      <c r="AA76" s="498">
        <f>+AA48+AA56+AA63+AA71+AA75</f>
        <v>35.333333333333336</v>
      </c>
      <c r="AB76" s="498">
        <f>+AB48+AB56+AB63+AB71+AB75</f>
        <v>21.5</v>
      </c>
      <c r="AC76" s="498">
        <f>+AC48+AC56+AC63+AC71+AC75</f>
        <v>79.633333333333326</v>
      </c>
      <c r="AD76" s="525">
        <f>IF(X76&gt;0,(AC76-X76)/X76,(IF(AC76=0,"N/A",100%)))</f>
        <v>3.0185424752048048E-2</v>
      </c>
      <c r="AE76" s="774">
        <f>+AE48+AE56+AE63+AE71+AE75</f>
        <v>28</v>
      </c>
      <c r="AF76" s="498">
        <f>+AF48+AF56+AF63+AF71+AF75</f>
        <v>14.533333333333333</v>
      </c>
      <c r="AG76" s="498">
        <f>+AG48+AG56+AG63+AG71+AG75</f>
        <v>7</v>
      </c>
      <c r="AH76" s="498">
        <f>+AH48+AH56+AH63+AH71+AH75</f>
        <v>49.533333333333331</v>
      </c>
      <c r="AI76" s="525">
        <f>IF(AC76&gt;0,(AH76-AC76)/AC76,(IF(AH76=0,"N/A",100%)))</f>
        <v>-0.37798241942235239</v>
      </c>
      <c r="AJ76" s="774">
        <f>+AJ48+AJ56+AJ63+AJ71+AJ75</f>
        <v>36.866666666666667</v>
      </c>
      <c r="AK76" s="498">
        <f>+AK48+AK56+AK63+AK71+AK75</f>
        <v>16.066666666666666</v>
      </c>
      <c r="AL76" s="498">
        <f>+AL48+AL56+AL63+AL71+AL75</f>
        <v>4</v>
      </c>
      <c r="AM76" s="498">
        <f>+AM48+AM56+AM63+AM71+AM75</f>
        <v>56.93333333333333</v>
      </c>
      <c r="AN76" s="525">
        <f>IF(AH76&gt;0,(AM76-AH76)/AH76,(IF(AM76=0,"N/A",100%)))</f>
        <v>0.14939434724091519</v>
      </c>
      <c r="AO76" s="774">
        <f>+AO48+AO56+AO63+AO71+AO75</f>
        <v>35.06666666666667</v>
      </c>
      <c r="AP76" s="498">
        <f>+AP48+AP56+AP63+AP71+AP75</f>
        <v>17.533333333333331</v>
      </c>
      <c r="AQ76" s="498">
        <f>+AQ48+AQ56+AQ63+AQ71+AQ75</f>
        <v>0</v>
      </c>
      <c r="AR76" s="498">
        <f>+AR48+AR56+AR63+AR71+AR75</f>
        <v>52.6</v>
      </c>
      <c r="AS76" s="525">
        <f>IF(AM76&gt;0,(AR76-AM76)/AM76,(IF(AR76=0,"N/A",100%)))</f>
        <v>-7.6112412177985866E-2</v>
      </c>
    </row>
    <row r="77" spans="1:45" ht="14.25" customHeight="1" thickTop="1" x14ac:dyDescent="0.25">
      <c r="A77" s="507"/>
      <c r="B77" s="507"/>
      <c r="C77" s="507"/>
      <c r="D77" s="507"/>
      <c r="E77" s="507"/>
      <c r="F77" s="507"/>
      <c r="G77" s="507"/>
      <c r="H77" s="507"/>
      <c r="I77" s="507"/>
      <c r="J77" s="507"/>
      <c r="K77" s="1738"/>
      <c r="L77" s="1738"/>
      <c r="M77" s="1738"/>
      <c r="N77" s="1738"/>
      <c r="O77" s="1738"/>
      <c r="P77" s="1738"/>
      <c r="Q77" s="1738"/>
      <c r="R77" s="1738"/>
      <c r="S77" s="1738"/>
      <c r="T77" s="504"/>
      <c r="U77" s="1738"/>
      <c r="V77" s="1738"/>
      <c r="W77" s="1738"/>
      <c r="X77" s="1738"/>
      <c r="Y77" s="504"/>
    </row>
    <row r="78" spans="1:45" ht="14.25" customHeight="1" thickBot="1" x14ac:dyDescent="0.3">
      <c r="A78" s="507"/>
      <c r="B78" s="507"/>
      <c r="C78" s="507"/>
      <c r="D78" s="507"/>
      <c r="E78" s="507"/>
      <c r="F78" s="507"/>
      <c r="G78" s="507"/>
      <c r="H78" s="507"/>
      <c r="I78" s="507"/>
      <c r="J78" s="507"/>
      <c r="K78" s="1738"/>
      <c r="L78" s="1738"/>
      <c r="M78" s="1738"/>
      <c r="N78" s="1738"/>
      <c r="O78" s="1738"/>
      <c r="P78" s="1738"/>
      <c r="Q78" s="1738"/>
      <c r="R78" s="1738"/>
      <c r="S78" s="1738"/>
      <c r="T78" s="504"/>
      <c r="U78" s="1738"/>
      <c r="V78" s="1738"/>
      <c r="W78" s="1738"/>
      <c r="X78" s="1738"/>
      <c r="Y78" s="504"/>
    </row>
    <row r="79" spans="1:45" s="1546" customFormat="1" ht="18" thickBot="1" x14ac:dyDescent="0.35">
      <c r="A79" s="2161" t="s">
        <v>409</v>
      </c>
      <c r="B79" s="2162"/>
      <c r="C79" s="2162"/>
      <c r="D79" s="2162"/>
      <c r="E79" s="2162"/>
      <c r="F79" s="2162"/>
      <c r="G79" s="2162"/>
      <c r="H79" s="2162"/>
      <c r="I79" s="2162"/>
      <c r="J79" s="2162"/>
      <c r="K79" s="2162"/>
      <c r="L79" s="2162"/>
      <c r="M79" s="2162"/>
      <c r="N79" s="2162"/>
      <c r="O79" s="2162"/>
      <c r="P79" s="2162"/>
      <c r="Q79" s="2162"/>
      <c r="R79" s="2162"/>
      <c r="S79" s="2162"/>
      <c r="T79" s="2162"/>
      <c r="U79" s="2162"/>
      <c r="V79" s="2162"/>
      <c r="W79" s="2162"/>
      <c r="X79" s="2162"/>
      <c r="Y79" s="2162"/>
      <c r="Z79" s="2162"/>
      <c r="AA79" s="2162"/>
      <c r="AB79" s="2162"/>
      <c r="AC79" s="2162"/>
      <c r="AD79" s="2162"/>
      <c r="AE79" s="2162"/>
      <c r="AF79" s="2162"/>
      <c r="AG79" s="2162"/>
      <c r="AH79" s="2162"/>
      <c r="AI79" s="2162"/>
      <c r="AJ79" s="2162"/>
      <c r="AK79" s="2162"/>
      <c r="AL79" s="2162"/>
      <c r="AM79" s="2162"/>
      <c r="AN79" s="2162"/>
      <c r="AO79" s="2162"/>
      <c r="AP79" s="2162"/>
      <c r="AQ79" s="2162"/>
      <c r="AR79" s="2162"/>
      <c r="AS79" s="2163"/>
    </row>
    <row r="80" spans="1:45" ht="26.4" x14ac:dyDescent="0.25">
      <c r="A80" s="2167" t="s">
        <v>1006</v>
      </c>
      <c r="B80" s="1710" t="s">
        <v>1008</v>
      </c>
      <c r="C80" s="1710" t="s">
        <v>1009</v>
      </c>
      <c r="D80" s="1710" t="s">
        <v>1010</v>
      </c>
      <c r="E80" s="680" t="s">
        <v>1011</v>
      </c>
      <c r="F80" s="1711" t="s">
        <v>1008</v>
      </c>
      <c r="G80" s="1710" t="s">
        <v>1009</v>
      </c>
      <c r="H80" s="1710" t="s">
        <v>1010</v>
      </c>
      <c r="I80" s="1712" t="s">
        <v>1011</v>
      </c>
      <c r="J80" s="680" t="s">
        <v>1012</v>
      </c>
      <c r="K80" s="1711" t="s">
        <v>1008</v>
      </c>
      <c r="L80" s="1711" t="s">
        <v>1009</v>
      </c>
      <c r="M80" s="1711" t="s">
        <v>1010</v>
      </c>
      <c r="N80" s="1712" t="s">
        <v>1069</v>
      </c>
      <c r="O80" s="1763" t="s">
        <v>1012</v>
      </c>
      <c r="P80" s="1711" t="s">
        <v>1008</v>
      </c>
      <c r="Q80" s="1711" t="s">
        <v>1009</v>
      </c>
      <c r="R80" s="1711" t="s">
        <v>1010</v>
      </c>
      <c r="S80" s="1712" t="s">
        <v>1069</v>
      </c>
      <c r="T80" s="1763" t="s">
        <v>1071</v>
      </c>
      <c r="U80" s="1711" t="s">
        <v>1008</v>
      </c>
      <c r="V80" s="1711" t="s">
        <v>1009</v>
      </c>
      <c r="W80" s="1711" t="s">
        <v>1010</v>
      </c>
      <c r="X80" s="1712" t="s">
        <v>1069</v>
      </c>
      <c r="Y80" s="1763" t="s">
        <v>1071</v>
      </c>
      <c r="Z80" s="1711" t="s">
        <v>1008</v>
      </c>
      <c r="AA80" s="1711" t="s">
        <v>1009</v>
      </c>
      <c r="AB80" s="1711" t="s">
        <v>1010</v>
      </c>
      <c r="AC80" s="1712" t="s">
        <v>1069</v>
      </c>
      <c r="AD80" s="1763" t="s">
        <v>1071</v>
      </c>
      <c r="AE80" s="1818" t="s">
        <v>1008</v>
      </c>
      <c r="AF80" s="1819" t="s">
        <v>1009</v>
      </c>
      <c r="AG80" s="1819" t="s">
        <v>1010</v>
      </c>
      <c r="AH80" s="1820" t="s">
        <v>1069</v>
      </c>
      <c r="AI80" s="1821" t="s">
        <v>1071</v>
      </c>
      <c r="AJ80" s="2092" t="s">
        <v>1008</v>
      </c>
      <c r="AK80" s="2093" t="s">
        <v>1009</v>
      </c>
      <c r="AL80" s="2093" t="s">
        <v>1010</v>
      </c>
      <c r="AM80" s="1820" t="s">
        <v>1069</v>
      </c>
      <c r="AN80" s="1821" t="s">
        <v>1071</v>
      </c>
      <c r="AO80" s="2092" t="s">
        <v>1008</v>
      </c>
      <c r="AP80" s="2093" t="s">
        <v>1009</v>
      </c>
      <c r="AQ80" s="2093" t="s">
        <v>1010</v>
      </c>
      <c r="AR80" s="1820" t="s">
        <v>1069</v>
      </c>
      <c r="AS80" s="1821" t="s">
        <v>1071</v>
      </c>
    </row>
    <row r="81" spans="1:45" ht="12.75" customHeight="1" x14ac:dyDescent="0.25">
      <c r="A81" s="2168"/>
      <c r="B81" s="2157" t="s">
        <v>1466</v>
      </c>
      <c r="C81" s="2157"/>
      <c r="D81" s="2157"/>
      <c r="E81" s="2158"/>
      <c r="F81" s="2157" t="s">
        <v>1467</v>
      </c>
      <c r="G81" s="2157"/>
      <c r="H81" s="2157"/>
      <c r="I81" s="2157"/>
      <c r="J81" s="2158"/>
      <c r="K81" s="2138" t="s">
        <v>1454</v>
      </c>
      <c r="L81" s="2139"/>
      <c r="M81" s="2139"/>
      <c r="N81" s="2139"/>
      <c r="O81" s="2153"/>
      <c r="P81" s="2139" t="s">
        <v>1455</v>
      </c>
      <c r="Q81" s="2139"/>
      <c r="R81" s="2139"/>
      <c r="S81" s="2139"/>
      <c r="T81" s="2153"/>
      <c r="U81" s="2139" t="s">
        <v>1456</v>
      </c>
      <c r="V81" s="2139"/>
      <c r="W81" s="2139"/>
      <c r="X81" s="2139"/>
      <c r="Y81" s="2153"/>
      <c r="Z81" s="2139" t="str">
        <f>+Z44</f>
        <v>Summer 2013</v>
      </c>
      <c r="AA81" s="2139"/>
      <c r="AB81" s="2139"/>
      <c r="AC81" s="2139"/>
      <c r="AD81" s="2153"/>
      <c r="AE81" s="2138" t="str">
        <f>+AE44</f>
        <v>Summer 2014</v>
      </c>
      <c r="AF81" s="2139"/>
      <c r="AG81" s="2139"/>
      <c r="AH81" s="2139"/>
      <c r="AI81" s="2140"/>
      <c r="AJ81" s="2138" t="s">
        <v>1717</v>
      </c>
      <c r="AK81" s="2139"/>
      <c r="AL81" s="2139"/>
      <c r="AM81" s="2139"/>
      <c r="AN81" s="2140"/>
      <c r="AO81" s="2138" t="s">
        <v>1717</v>
      </c>
      <c r="AP81" s="2139"/>
      <c r="AQ81" s="2139"/>
      <c r="AR81" s="2139"/>
      <c r="AS81" s="2140"/>
    </row>
    <row r="82" spans="1:45" x14ac:dyDescent="0.25">
      <c r="A82" s="477" t="s">
        <v>411</v>
      </c>
      <c r="B82" s="1244"/>
      <c r="C82" s="1244"/>
      <c r="D82" s="1244"/>
      <c r="E82" s="972"/>
      <c r="F82" s="1716"/>
      <c r="G82" s="1244"/>
      <c r="H82" s="1244"/>
      <c r="I82" s="1244"/>
      <c r="J82" s="972"/>
      <c r="K82" s="1765"/>
      <c r="L82" s="1766"/>
      <c r="M82" s="1766"/>
      <c r="N82" s="1718"/>
      <c r="O82" s="1722"/>
      <c r="P82" s="1765"/>
      <c r="Q82" s="1766"/>
      <c r="R82" s="1766"/>
      <c r="S82" s="1766"/>
      <c r="T82" s="1768"/>
      <c r="U82" s="1765"/>
      <c r="V82" s="1766"/>
      <c r="W82" s="1766"/>
      <c r="X82" s="1766"/>
      <c r="Y82" s="1768"/>
      <c r="Z82" s="1765"/>
      <c r="AA82" s="1766"/>
      <c r="AB82" s="1766"/>
      <c r="AC82" s="1766"/>
      <c r="AD82" s="1768"/>
      <c r="AE82" s="1815"/>
      <c r="AF82" s="1766"/>
      <c r="AG82" s="1766"/>
      <c r="AH82" s="1766"/>
      <c r="AI82" s="1768"/>
      <c r="AJ82" s="1815"/>
      <c r="AK82" s="1766"/>
      <c r="AL82" s="1766"/>
      <c r="AM82" s="1766"/>
      <c r="AN82" s="1768"/>
      <c r="AO82" s="1815"/>
      <c r="AP82" s="1766"/>
      <c r="AQ82" s="1766"/>
      <c r="AR82" s="1766"/>
      <c r="AS82" s="1768"/>
    </row>
    <row r="83" spans="1:45" x14ac:dyDescent="0.25">
      <c r="A83" s="478" t="s">
        <v>1060</v>
      </c>
      <c r="B83" s="1769">
        <f>+'NEW Summer CHP by DISC '!B83/15</f>
        <v>14.4</v>
      </c>
      <c r="C83" s="1769">
        <f>+'NEW Summer CHP by DISC '!C83/15</f>
        <v>4.2</v>
      </c>
      <c r="D83" s="1769">
        <f>+'NEW Summer CHP by DISC '!D83/12</f>
        <v>4.75</v>
      </c>
      <c r="E83" s="1723">
        <f>SUM(B83:D83)</f>
        <v>23.35</v>
      </c>
      <c r="F83" s="1769">
        <f>+'NEW Summer CHP by DISC '!F83/15</f>
        <v>14.4</v>
      </c>
      <c r="G83" s="1769">
        <f>+'NEW Summer CHP by DISC '!G83/15</f>
        <v>6.2666666666666666</v>
      </c>
      <c r="H83" s="1769">
        <f>+'NEW Summer CHP by DISC '!H83/12</f>
        <v>3.5</v>
      </c>
      <c r="I83" s="1769">
        <f>SUM(F83:H83)</f>
        <v>24.166666666666668</v>
      </c>
      <c r="J83" s="514">
        <f>IF(E83&gt;0,(I83-E83)/E83,(IF(I83=0,"N/A",100%)))</f>
        <v>3.4975017844396848E-2</v>
      </c>
      <c r="K83" s="1769">
        <f>+'NEW Summer CHP by DISC '!K83/15</f>
        <v>17.866666666666667</v>
      </c>
      <c r="L83" s="1769">
        <f>+'NEW Summer CHP by DISC '!L83/15</f>
        <v>1.8</v>
      </c>
      <c r="M83" s="1769">
        <f>+'NEW Summer CHP by DISC '!M83/12</f>
        <v>5.25</v>
      </c>
      <c r="N83" s="1724">
        <f>SUM(K83:M83)</f>
        <v>24.916666666666668</v>
      </c>
      <c r="O83" s="1679">
        <f>IF(I83&gt;0,(N83-I83)/I83,(IF(N83=0,"N/A",100%)))</f>
        <v>3.1034482758620689E-2</v>
      </c>
      <c r="P83" s="1769">
        <f>+'NEW Summer CHP by DISC '!P83/15</f>
        <v>17.333333333333332</v>
      </c>
      <c r="Q83" s="1769">
        <f>+'NEW Summer CHP by DISC '!Q83/15</f>
        <v>3.4666666666666668</v>
      </c>
      <c r="R83" s="1769">
        <f>+'NEW Summer CHP by DISC '!R83/12</f>
        <v>3.75</v>
      </c>
      <c r="S83" s="1769">
        <f>SUM(P83:R83)</f>
        <v>24.549999999999997</v>
      </c>
      <c r="T83" s="514">
        <f>IF(N83&gt;0,(S83-N83)/N83,(IF(S83=0,"N/A",100%)))</f>
        <v>-1.4715719063545312E-2</v>
      </c>
      <c r="U83" s="1769">
        <f>+'NEW Summer CHP by DISC '!U83/15</f>
        <v>19.2</v>
      </c>
      <c r="V83" s="1769">
        <f>+'NEW Summer CHP by DISC '!V83/15</f>
        <v>0</v>
      </c>
      <c r="W83" s="1769">
        <f>+'NEW Summer CHP by DISC '!W83/12</f>
        <v>5.75</v>
      </c>
      <c r="X83" s="1769">
        <f>SUM(U83:W83)</f>
        <v>24.95</v>
      </c>
      <c r="Y83" s="1679">
        <f>IF(S83&gt;0,(X83-S83)/S83,(IF(X83=0,"N/A",100%)))</f>
        <v>1.6293279022403347E-2</v>
      </c>
      <c r="Z83" s="1769">
        <f>+'NEW Summer CHP by DISC '!Z83/15</f>
        <v>1.8666666666666667</v>
      </c>
      <c r="AA83" s="1769">
        <f>+'NEW Summer CHP by DISC '!AA83/15</f>
        <v>13.066666666666666</v>
      </c>
      <c r="AB83" s="1769">
        <f>+'NEW Summer CHP by DISC '!AB83/12</f>
        <v>3</v>
      </c>
      <c r="AC83" s="1769">
        <f>SUM(Z83:AB83)</f>
        <v>17.933333333333334</v>
      </c>
      <c r="AD83" s="1679">
        <f>IF(X83&gt;0,(AC83-X83)/X83,(IF(AC83=0,"N/A",100%)))</f>
        <v>-0.28122912491649965</v>
      </c>
      <c r="AE83" s="1788">
        <f>+'NEW Summer CHP by DISC '!AE83/15</f>
        <v>10.933333333333334</v>
      </c>
      <c r="AF83" s="1769">
        <f>+'NEW Summer CHP by DISC '!AF83/15</f>
        <v>0</v>
      </c>
      <c r="AG83" s="1769">
        <f>+'NEW Summer CHP by DISC '!AG83/12</f>
        <v>3.5</v>
      </c>
      <c r="AH83" s="1769">
        <f>SUM(AE83:AG83)</f>
        <v>14.433333333333334</v>
      </c>
      <c r="AI83" s="1679">
        <f>IF(AC83&gt;0,(AH83-AC83)/AC83,(IF(AH83=0,"N/A",100%)))</f>
        <v>-0.19516728624535315</v>
      </c>
      <c r="AJ83" s="1788">
        <f>+'NEW Summer CHP by DISC '!AJ83/15</f>
        <v>11.466666666666667</v>
      </c>
      <c r="AK83" s="1769">
        <f>+'NEW Summer CHP by DISC '!AK83/15</f>
        <v>0</v>
      </c>
      <c r="AL83" s="1769">
        <f>+'NEW Summer CHP by DISC '!AL83/12</f>
        <v>4</v>
      </c>
      <c r="AM83" s="1769">
        <f>SUM(AJ83:AL83)</f>
        <v>15.466666666666667</v>
      </c>
      <c r="AN83" s="1679">
        <f>IF(AH83&gt;0,(AM83-AH83)/AH83,(IF(AM83=0,"N/A",100%)))</f>
        <v>7.1593533487297911E-2</v>
      </c>
      <c r="AO83" s="1788">
        <f>+'NEW Summer CHP by DISC '!AO83/15</f>
        <v>9.8666666666666671</v>
      </c>
      <c r="AP83" s="1769">
        <f>+'NEW Summer CHP by DISC '!AP83/15</f>
        <v>0</v>
      </c>
      <c r="AQ83" s="1769">
        <f>+'NEW Summer CHP by DISC '!AQ83/12</f>
        <v>2</v>
      </c>
      <c r="AR83" s="1769">
        <f>SUM(AO83:AQ83)</f>
        <v>11.866666666666667</v>
      </c>
      <c r="AS83" s="1679">
        <f>IF(AM83&gt;0,(AR83-AM83)/AM83,(IF(AR83=0,"N/A",100%)))</f>
        <v>-0.23275862068965514</v>
      </c>
    </row>
    <row r="84" spans="1:45" x14ac:dyDescent="0.25">
      <c r="A84" s="478" t="s">
        <v>1354</v>
      </c>
      <c r="B84" s="1769">
        <f>+'NEW Summer CHP by DISC '!B84/15</f>
        <v>0</v>
      </c>
      <c r="C84" s="1769">
        <f>+'NEW Summer CHP by DISC '!C84/15</f>
        <v>0</v>
      </c>
      <c r="D84" s="1769">
        <f>+'NEW Summer CHP by DISC '!D84/12</f>
        <v>0</v>
      </c>
      <c r="E84" s="1723">
        <f>SUM(B84:D84)</f>
        <v>0</v>
      </c>
      <c r="F84" s="1769">
        <f>+'NEW Summer CHP by DISC '!F84/15</f>
        <v>0</v>
      </c>
      <c r="G84" s="1769">
        <f>+'NEW Summer CHP by DISC '!G84/15</f>
        <v>0</v>
      </c>
      <c r="H84" s="1769">
        <f>+'NEW Summer CHP by DISC '!H84/12</f>
        <v>0</v>
      </c>
      <c r="I84" s="1769">
        <f>SUM(F84:H84)</f>
        <v>0</v>
      </c>
      <c r="J84" s="514" t="str">
        <f>IF(E84&gt;0,(I84-E84)/E84,(IF(I84=0,"N/A",100%)))</f>
        <v>N/A</v>
      </c>
      <c r="K84" s="1769">
        <f>+'NEW Summer CHP by DISC '!K84/15</f>
        <v>0</v>
      </c>
      <c r="L84" s="1769">
        <f>+'NEW Summer CHP by DISC '!L84/15</f>
        <v>0</v>
      </c>
      <c r="M84" s="1769">
        <f>+'NEW Summer CHP by DISC '!M84/12</f>
        <v>0</v>
      </c>
      <c r="N84" s="1724">
        <f>SUM(K84:M84)</f>
        <v>0</v>
      </c>
      <c r="O84" s="1679" t="str">
        <f>IF(I84&gt;0,(N84-I84)/I84,(IF(N84=0,"N/A",100%)))</f>
        <v>N/A</v>
      </c>
      <c r="P84" s="1769">
        <f>+'NEW Summer CHP by DISC '!P84/15</f>
        <v>0</v>
      </c>
      <c r="Q84" s="1769">
        <f>+'NEW Summer CHP by DISC '!Q84/15</f>
        <v>0</v>
      </c>
      <c r="R84" s="1769">
        <f>+'NEW Summer CHP by DISC '!R84/12</f>
        <v>0</v>
      </c>
      <c r="S84" s="1769">
        <f>SUM(P84:R84)</f>
        <v>0</v>
      </c>
      <c r="T84" s="514" t="str">
        <f>IF(N84&gt;0,(S84-N84)/N84,(IF(S84=0,"N/A",100%)))</f>
        <v>N/A</v>
      </c>
      <c r="U84" s="1769">
        <f>+'NEW Summer CHP by DISC '!U84/15</f>
        <v>0</v>
      </c>
      <c r="V84" s="1769">
        <f>+'NEW Summer CHP by DISC '!V84/15</f>
        <v>0</v>
      </c>
      <c r="W84" s="1769">
        <f>+'NEW Summer CHP by DISC '!W84/12</f>
        <v>0</v>
      </c>
      <c r="X84" s="1769">
        <f>SUM(U84:W84)</f>
        <v>0</v>
      </c>
      <c r="Y84" s="1679" t="str">
        <f>IF(S84&gt;0,(X84-S84)/S84,(IF(X84=0,"N/A",100%)))</f>
        <v>N/A</v>
      </c>
      <c r="Z84" s="1769">
        <f>+'NEW Summer CHP by DISC '!Z84/15</f>
        <v>0</v>
      </c>
      <c r="AA84" s="1769">
        <f>+'NEW Summer CHP by DISC '!AA84/15</f>
        <v>0</v>
      </c>
      <c r="AB84" s="1769">
        <f>+'NEW Summer CHP by DISC '!AB84/12</f>
        <v>0</v>
      </c>
      <c r="AC84" s="1769">
        <f>SUM(Z84:AB84)</f>
        <v>0</v>
      </c>
      <c r="AD84" s="1679" t="str">
        <f>IF(X84&gt;0,(AC84-X84)/X84,(IF(AC84=0,"N/A",100%)))</f>
        <v>N/A</v>
      </c>
      <c r="AE84" s="1788">
        <f>+'NEW Summer CHP by DISC '!AE84/15</f>
        <v>0</v>
      </c>
      <c r="AF84" s="1769">
        <f>+'NEW Summer CHP by DISC '!AF84/15</f>
        <v>0</v>
      </c>
      <c r="AG84" s="1769">
        <f>+'NEW Summer CHP by DISC '!AG84/12</f>
        <v>0</v>
      </c>
      <c r="AH84" s="1769">
        <f>SUM(AE84:AG84)</f>
        <v>0</v>
      </c>
      <c r="AI84" s="1679" t="str">
        <f>IF(AC84&gt;0,(AH84-AC84)/AC84,(IF(AH84=0,"N/A",100%)))</f>
        <v>N/A</v>
      </c>
      <c r="AJ84" s="1788">
        <f>+'NEW Summer CHP by DISC '!AJ84/15</f>
        <v>0</v>
      </c>
      <c r="AK84" s="1769">
        <f>+'NEW Summer CHP by DISC '!AK84/15</f>
        <v>0</v>
      </c>
      <c r="AL84" s="1769">
        <f>+'NEW Summer CHP by DISC '!AL84/12</f>
        <v>0</v>
      </c>
      <c r="AM84" s="1769">
        <f>SUM(AJ84:AL84)</f>
        <v>0</v>
      </c>
      <c r="AN84" s="1679" t="str">
        <f>IF(AH84&gt;0,(AM84-AH84)/AH84,(IF(AM84=0,"N/A",100%)))</f>
        <v>N/A</v>
      </c>
      <c r="AO84" s="1788">
        <f>+'NEW Summer CHP by DISC '!AO84/15</f>
        <v>0</v>
      </c>
      <c r="AP84" s="1769">
        <f>+'NEW Summer CHP by DISC '!AP84/15</f>
        <v>0</v>
      </c>
      <c r="AQ84" s="1769">
        <f>+'NEW Summer CHP by DISC '!AQ84/12</f>
        <v>0</v>
      </c>
      <c r="AR84" s="1769">
        <f>SUM(AO84:AQ84)</f>
        <v>0</v>
      </c>
      <c r="AS84" s="1679" t="str">
        <f>IF(AM84&gt;0,(AR84-AM84)/AM84,(IF(AR84=0,"N/A",100%)))</f>
        <v>N/A</v>
      </c>
    </row>
    <row r="85" spans="1:45" ht="13.8" x14ac:dyDescent="0.25">
      <c r="A85" s="513" t="s">
        <v>1015</v>
      </c>
      <c r="B85" s="1776">
        <f>+B84+B83</f>
        <v>14.4</v>
      </c>
      <c r="C85" s="1776">
        <f>+C84+C83</f>
        <v>4.2</v>
      </c>
      <c r="D85" s="1776">
        <f>+D84+D83</f>
        <v>4.75</v>
      </c>
      <c r="E85" s="495">
        <f>SUM(B85:D85)</f>
        <v>23.35</v>
      </c>
      <c r="F85" s="1776">
        <f>+F84+F83</f>
        <v>14.4</v>
      </c>
      <c r="G85" s="1776">
        <f>+G84+G83</f>
        <v>6.2666666666666666</v>
      </c>
      <c r="H85" s="1776">
        <f>+H84+H83</f>
        <v>3.5</v>
      </c>
      <c r="I85" s="1776">
        <f>+I84+I83</f>
        <v>24.166666666666668</v>
      </c>
      <c r="J85" s="543">
        <f>IF(E85&gt;0,(I85-E85)/E85,(IF(I85=0,"N/A",100%)))</f>
        <v>3.4975017844396848E-2</v>
      </c>
      <c r="K85" s="1776">
        <f>+K84+K83</f>
        <v>17.866666666666667</v>
      </c>
      <c r="L85" s="1776">
        <f>+L84+L83</f>
        <v>1.8</v>
      </c>
      <c r="M85" s="1776">
        <f>+M84+M83</f>
        <v>5.25</v>
      </c>
      <c r="N85" s="1259">
        <f>SUM(K85:M85)</f>
        <v>24.916666666666668</v>
      </c>
      <c r="O85" s="1772">
        <f>IF(I85&gt;0,(N85-I85)/I85,(IF(N85=0,"N/A",100%)))</f>
        <v>3.1034482758620689E-2</v>
      </c>
      <c r="P85" s="1776">
        <f>+P84+P83</f>
        <v>17.333333333333332</v>
      </c>
      <c r="Q85" s="1776">
        <f>+Q84+Q83</f>
        <v>3.4666666666666668</v>
      </c>
      <c r="R85" s="1776">
        <f>+R84+R83</f>
        <v>3.75</v>
      </c>
      <c r="S85" s="1776">
        <f>+S84+S83</f>
        <v>24.549999999999997</v>
      </c>
      <c r="T85" s="543">
        <f>IF(N85&gt;0,(S85-N85)/N85,(IF(S85=0,"N/A",100%)))</f>
        <v>-1.4715719063545312E-2</v>
      </c>
      <c r="U85" s="1776">
        <f>+U84+U83</f>
        <v>19.2</v>
      </c>
      <c r="V85" s="1776">
        <f>+V84+V83</f>
        <v>0</v>
      </c>
      <c r="W85" s="1776">
        <f>+W84+W83</f>
        <v>5.75</v>
      </c>
      <c r="X85" s="1776">
        <f>+X84+X83</f>
        <v>24.95</v>
      </c>
      <c r="Y85" s="1772">
        <f>IF(S85&gt;0,(X85-S85)/S85,(IF(X85=0,"N/A",100%)))</f>
        <v>1.6293279022403347E-2</v>
      </c>
      <c r="Z85" s="1776">
        <f>+Z84+Z83</f>
        <v>1.8666666666666667</v>
      </c>
      <c r="AA85" s="1776">
        <f>+AA84+AA83</f>
        <v>13.066666666666666</v>
      </c>
      <c r="AB85" s="1776">
        <f>+AB84+AB83</f>
        <v>3</v>
      </c>
      <c r="AC85" s="1776">
        <f>+AC84+AC83</f>
        <v>17.933333333333334</v>
      </c>
      <c r="AD85" s="1772">
        <f>IF(X85&gt;0,(AC85-X85)/X85,(IF(AC85=0,"N/A",100%)))</f>
        <v>-0.28122912491649965</v>
      </c>
      <c r="AE85" s="1042">
        <f>+AE84+AE83</f>
        <v>10.933333333333334</v>
      </c>
      <c r="AF85" s="1776">
        <f>+AF84+AF83</f>
        <v>0</v>
      </c>
      <c r="AG85" s="1776">
        <f>+AG84+AG83</f>
        <v>3.5</v>
      </c>
      <c r="AH85" s="1776">
        <f>+AH84+AH83</f>
        <v>14.433333333333334</v>
      </c>
      <c r="AI85" s="1772">
        <f>IF(AC85&gt;0,(AH85-AC85)/AC85,(IF(AH85=0,"N/A",100%)))</f>
        <v>-0.19516728624535315</v>
      </c>
      <c r="AJ85" s="1042">
        <f>+AJ84+AJ83</f>
        <v>11.466666666666667</v>
      </c>
      <c r="AK85" s="1776">
        <f>+AK84+AK83</f>
        <v>0</v>
      </c>
      <c r="AL85" s="1776">
        <f>+AL84+AL83</f>
        <v>4</v>
      </c>
      <c r="AM85" s="1776">
        <f>+AM84+AM83</f>
        <v>15.466666666666667</v>
      </c>
      <c r="AN85" s="1772">
        <f>IF(AH85&gt;0,(AM85-AH85)/AH85,(IF(AM85=0,"N/A",100%)))</f>
        <v>7.1593533487297911E-2</v>
      </c>
      <c r="AO85" s="1042">
        <f>+AO84+AO83</f>
        <v>9.8666666666666671</v>
      </c>
      <c r="AP85" s="1776">
        <f>+AP84+AP83</f>
        <v>0</v>
      </c>
      <c r="AQ85" s="1776">
        <f>+AQ84+AQ83</f>
        <v>2</v>
      </c>
      <c r="AR85" s="1776">
        <f>+AR84+AR83</f>
        <v>11.866666666666667</v>
      </c>
      <c r="AS85" s="1772">
        <f>IF(AM85&gt;0,(AR85-AM85)/AM85,(IF(AR85=0,"N/A",100%)))</f>
        <v>-0.23275862068965514</v>
      </c>
    </row>
    <row r="86" spans="1:45" x14ac:dyDescent="0.25">
      <c r="A86" s="477" t="s">
        <v>412</v>
      </c>
      <c r="B86" s="1765"/>
      <c r="C86" s="1766"/>
      <c r="D86" s="1766"/>
      <c r="E86" s="1777"/>
      <c r="F86" s="1765"/>
      <c r="G86" s="1766"/>
      <c r="H86" s="1766"/>
      <c r="I86" s="1766"/>
      <c r="J86" s="1768"/>
      <c r="K86" s="1765"/>
      <c r="L86" s="1766"/>
      <c r="M86" s="1766"/>
      <c r="N86" s="1767"/>
      <c r="O86" s="1768"/>
      <c r="P86" s="1765"/>
      <c r="Q86" s="1766"/>
      <c r="R86" s="1766"/>
      <c r="S86" s="1766"/>
      <c r="T86" s="1768"/>
      <c r="U86" s="1765"/>
      <c r="V86" s="1766"/>
      <c r="W86" s="1766"/>
      <c r="X86" s="1766"/>
      <c r="Y86" s="1768"/>
      <c r="Z86" s="1765"/>
      <c r="AA86" s="1766"/>
      <c r="AB86" s="1766"/>
      <c r="AC86" s="1766"/>
      <c r="AD86" s="1768"/>
      <c r="AE86" s="1815"/>
      <c r="AF86" s="1766"/>
      <c r="AG86" s="1766"/>
      <c r="AH86" s="1766"/>
      <c r="AI86" s="1768"/>
      <c r="AJ86" s="1815"/>
      <c r="AK86" s="1766"/>
      <c r="AL86" s="1766"/>
      <c r="AM86" s="1766"/>
      <c r="AN86" s="1768"/>
      <c r="AO86" s="1815"/>
      <c r="AP86" s="1766"/>
      <c r="AQ86" s="1766"/>
      <c r="AR86" s="1766"/>
      <c r="AS86" s="1768"/>
    </row>
    <row r="87" spans="1:45" x14ac:dyDescent="0.25">
      <c r="A87" s="478" t="s">
        <v>1355</v>
      </c>
      <c r="B87" s="1769">
        <f>+'NEW Summer CHP by DISC '!B87/15</f>
        <v>3.8</v>
      </c>
      <c r="C87" s="1769">
        <f>+'NEW Summer CHP by DISC '!C87/15</f>
        <v>0</v>
      </c>
      <c r="D87" s="1769">
        <f>+'NEW Summer CHP by DISC '!D87/12</f>
        <v>0</v>
      </c>
      <c r="E87" s="1770">
        <f>SUM(B87:D87)</f>
        <v>3.8</v>
      </c>
      <c r="F87" s="1769">
        <f>+'NEW Summer CHP by DISC '!F87/15</f>
        <v>4.5999999999999996</v>
      </c>
      <c r="G87" s="1769">
        <f>+'NEW Summer CHP by DISC '!G87/15</f>
        <v>0</v>
      </c>
      <c r="H87" s="1769">
        <f>+'NEW Summer CHP by DISC '!H87/12</f>
        <v>0</v>
      </c>
      <c r="I87" s="1769">
        <f>SUM(F87:H87)</f>
        <v>4.5999999999999996</v>
      </c>
      <c r="J87" s="1679">
        <f>IF(E87&gt;0,(I87-E87)/E87,(IF(I87=0,"N/A",100%)))</f>
        <v>0.21052631578947364</v>
      </c>
      <c r="K87" s="1769">
        <f>+'NEW Summer CHP by DISC '!K87/15</f>
        <v>7</v>
      </c>
      <c r="L87" s="1769">
        <f>+'NEW Summer CHP by DISC '!L87/15</f>
        <v>0</v>
      </c>
      <c r="M87" s="1769">
        <f>+'NEW Summer CHP by DISC '!M87/12</f>
        <v>0</v>
      </c>
      <c r="N87" s="1771">
        <f>SUM(K87:M87)</f>
        <v>7</v>
      </c>
      <c r="O87" s="1679">
        <f>IF(I87&gt;0,(N87-I87)/I87,(IF(N87=0,"N/A",100%)))</f>
        <v>0.52173913043478271</v>
      </c>
      <c r="P87" s="1769">
        <f>+'NEW Summer CHP by DISC '!P87/15</f>
        <v>4.2</v>
      </c>
      <c r="Q87" s="1769">
        <f>+'NEW Summer CHP by DISC '!Q87/15</f>
        <v>0</v>
      </c>
      <c r="R87" s="1769">
        <f>+'NEW Summer CHP by DISC '!R87/12</f>
        <v>0</v>
      </c>
      <c r="S87" s="1769">
        <f>SUM(P87:R87)</f>
        <v>4.2</v>
      </c>
      <c r="T87" s="1679">
        <f>IF(N87&gt;0,(S87-N87)/N87,(IF(S87=0,"N/A",100%)))</f>
        <v>-0.39999999999999997</v>
      </c>
      <c r="U87" s="1769">
        <f>+'NEW Summer CHP by DISC '!U87/15</f>
        <v>4.8</v>
      </c>
      <c r="V87" s="1769">
        <f>+'NEW Summer CHP by DISC '!V87/15</f>
        <v>0</v>
      </c>
      <c r="W87" s="1769">
        <f>+'NEW Summer CHP by DISC '!W87/12</f>
        <v>0</v>
      </c>
      <c r="X87" s="1769">
        <f>SUM(U87:W87)</f>
        <v>4.8</v>
      </c>
      <c r="Y87" s="1679">
        <f>IF(S87&gt;0,(X87-S87)/S87,(IF(X87=0,"N/A",100%)))</f>
        <v>0.14285714285714277</v>
      </c>
      <c r="Z87" s="1769">
        <f>+'NEW Summer CHP by DISC '!Z87/15</f>
        <v>3</v>
      </c>
      <c r="AA87" s="1769">
        <f>+'NEW Summer CHP by DISC '!AA87/15</f>
        <v>0</v>
      </c>
      <c r="AB87" s="1769">
        <f>+'NEW Summer CHP by DISC '!AB87/12</f>
        <v>0</v>
      </c>
      <c r="AC87" s="1769">
        <f>SUM(Z87:AB87)</f>
        <v>3</v>
      </c>
      <c r="AD87" s="1679">
        <f>IF(X87&gt;0,(AC87-X87)/X87,(IF(AC87=0,"N/A",100%)))</f>
        <v>-0.375</v>
      </c>
      <c r="AE87" s="1788">
        <f>+'NEW Summer CHP by DISC '!AE87/15</f>
        <v>2.6</v>
      </c>
      <c r="AF87" s="1769">
        <f>+'NEW Summer CHP by DISC '!AF87/15</f>
        <v>0</v>
      </c>
      <c r="AG87" s="1769">
        <f>+'NEW Summer CHP by DISC '!AG87/12</f>
        <v>0</v>
      </c>
      <c r="AH87" s="1769">
        <f>SUM(AE87:AG87)</f>
        <v>2.6</v>
      </c>
      <c r="AI87" s="1679">
        <f>IF(AC87&gt;0,(AH87-AC87)/AC87,(IF(AH87=0,"N/A",100%)))</f>
        <v>-0.1333333333333333</v>
      </c>
      <c r="AJ87" s="1788">
        <f>+'NEW Summer CHP by DISC '!AJ87/15</f>
        <v>3.9333333333333331</v>
      </c>
      <c r="AK87" s="1769">
        <f>+'NEW Summer CHP by DISC '!AK87/15</f>
        <v>0</v>
      </c>
      <c r="AL87" s="1769">
        <f>+'NEW Summer CHP by DISC '!AL87/12</f>
        <v>0</v>
      </c>
      <c r="AM87" s="1769">
        <f>SUM(AJ87:AL87)</f>
        <v>3.9333333333333331</v>
      </c>
      <c r="AN87" s="1679">
        <f>IF(AH87&gt;0,(AM87-AH87)/AH87,(IF(AM87=0,"N/A",100%)))</f>
        <v>0.51282051282051266</v>
      </c>
      <c r="AO87" s="1788">
        <f>+'NEW Summer CHP by DISC '!AO87/15</f>
        <v>3.8666666666666667</v>
      </c>
      <c r="AP87" s="1769">
        <f>+'NEW Summer CHP by DISC '!AP87/15</f>
        <v>0.2</v>
      </c>
      <c r="AQ87" s="1769">
        <f>+'NEW Summer CHP by DISC '!AQ87/12</f>
        <v>0</v>
      </c>
      <c r="AR87" s="1769">
        <f>SUM(AO87:AQ87)</f>
        <v>4.0666666666666664</v>
      </c>
      <c r="AS87" s="1679">
        <f>IF(AM87&gt;0,(AR87-AM87)/AM87,(IF(AR87=0,"N/A",100%)))</f>
        <v>3.3898305084745756E-2</v>
      </c>
    </row>
    <row r="88" spans="1:45" x14ac:dyDescent="0.25">
      <c r="A88" s="478" t="s">
        <v>854</v>
      </c>
      <c r="B88" s="1769">
        <f>+'NEW Summer CHP by DISC '!B88/15</f>
        <v>10.199999999999999</v>
      </c>
      <c r="C88" s="1769">
        <f>+'NEW Summer CHP by DISC '!C88/15</f>
        <v>0</v>
      </c>
      <c r="D88" s="1769">
        <f>+'NEW Summer CHP by DISC '!D88/12</f>
        <v>0</v>
      </c>
      <c r="E88" s="1723">
        <f>SUM(B88:D88)</f>
        <v>10.199999999999999</v>
      </c>
      <c r="F88" s="1769">
        <f>+'NEW Summer CHP by DISC '!F88/15</f>
        <v>10.4</v>
      </c>
      <c r="G88" s="1769">
        <f>+'NEW Summer CHP by DISC '!G88/15</f>
        <v>1</v>
      </c>
      <c r="H88" s="1769">
        <f>+'NEW Summer CHP by DISC '!H88/12</f>
        <v>0</v>
      </c>
      <c r="I88" s="1769">
        <f>SUM(F88:H88)</f>
        <v>11.4</v>
      </c>
      <c r="J88" s="1679">
        <f>IF(E88&gt;0,(I88-E88)/E88,(IF(I88=0,"N/A",100%)))</f>
        <v>0.11764705882352952</v>
      </c>
      <c r="K88" s="1769">
        <f>+'NEW Summer CHP by DISC '!K88/15</f>
        <v>16</v>
      </c>
      <c r="L88" s="1769">
        <f>+'NEW Summer CHP by DISC '!L88/15</f>
        <v>0</v>
      </c>
      <c r="M88" s="1769">
        <f>+'NEW Summer CHP by DISC '!M88/12</f>
        <v>0</v>
      </c>
      <c r="N88" s="1724">
        <f>SUM(K88:M88)</f>
        <v>16</v>
      </c>
      <c r="O88" s="1679">
        <f>IF(I88&gt;0,(N88-I88)/I88,(IF(N88=0,"N/A",100%)))</f>
        <v>0.40350877192982454</v>
      </c>
      <c r="P88" s="1769">
        <f>+'NEW Summer CHP by DISC '!P88/15</f>
        <v>15</v>
      </c>
      <c r="Q88" s="1769">
        <f>+'NEW Summer CHP by DISC '!Q88/15</f>
        <v>0</v>
      </c>
      <c r="R88" s="1769">
        <f>+'NEW Summer CHP by DISC '!R88/12</f>
        <v>0</v>
      </c>
      <c r="S88" s="1769">
        <f>SUM(P88:R88)</f>
        <v>15</v>
      </c>
      <c r="T88" s="1679">
        <f>IF(N88&gt;0,(S88-N88)/N88,(IF(S88=0,"N/A",100%)))</f>
        <v>-6.25E-2</v>
      </c>
      <c r="U88" s="1769">
        <f>+'NEW Summer CHP by DISC '!U88/15</f>
        <v>10.199999999999999</v>
      </c>
      <c r="V88" s="1769">
        <f>+'NEW Summer CHP by DISC '!V88/15</f>
        <v>0.8</v>
      </c>
      <c r="W88" s="1769">
        <f>+'NEW Summer CHP by DISC '!W88/12</f>
        <v>0</v>
      </c>
      <c r="X88" s="1769">
        <f>SUM(U88:W88)</f>
        <v>11</v>
      </c>
      <c r="Y88" s="1679">
        <f>IF(S88&gt;0,(X88-S88)/S88,(IF(X88=0,"N/A",100%)))</f>
        <v>-0.26666666666666666</v>
      </c>
      <c r="Z88" s="1769">
        <f>+'NEW Summer CHP by DISC '!Z88/15</f>
        <v>8.4</v>
      </c>
      <c r="AA88" s="1769">
        <f>+'NEW Summer CHP by DISC '!AA88/15</f>
        <v>3.6</v>
      </c>
      <c r="AB88" s="1769">
        <f>+'NEW Summer CHP by DISC '!AB88/12</f>
        <v>0</v>
      </c>
      <c r="AC88" s="1769">
        <f>SUM(Z88:AB88)</f>
        <v>12</v>
      </c>
      <c r="AD88" s="1679">
        <f>IF(X88&gt;0,(AC88-X88)/X88,(IF(AC88=0,"N/A",100%)))</f>
        <v>9.0909090909090912E-2</v>
      </c>
      <c r="AE88" s="1788">
        <f>+'NEW Summer CHP by DISC '!AE88/15</f>
        <v>9.1999999999999993</v>
      </c>
      <c r="AF88" s="1769">
        <f>+'NEW Summer CHP by DISC '!AF88/15</f>
        <v>0</v>
      </c>
      <c r="AG88" s="1769">
        <f>+'NEW Summer CHP by DISC '!AG88/12</f>
        <v>0</v>
      </c>
      <c r="AH88" s="1769">
        <f>SUM(AE88:AG88)</f>
        <v>9.1999999999999993</v>
      </c>
      <c r="AI88" s="1679">
        <f>IF(AC88&gt;0,(AH88-AC88)/AC88,(IF(AH88=0,"N/A",100%)))</f>
        <v>-0.23333333333333339</v>
      </c>
      <c r="AJ88" s="1788">
        <f>+'NEW Summer CHP by DISC '!AJ88/15</f>
        <v>10.199999999999999</v>
      </c>
      <c r="AK88" s="1769">
        <f>+'NEW Summer CHP by DISC '!AK88/15</f>
        <v>0</v>
      </c>
      <c r="AL88" s="1769">
        <f>+'NEW Summer CHP by DISC '!AL88/12</f>
        <v>0</v>
      </c>
      <c r="AM88" s="1769">
        <f>SUM(AJ88:AL88)</f>
        <v>10.199999999999999</v>
      </c>
      <c r="AN88" s="1679">
        <f>IF(AH88&gt;0,(AM88-AH88)/AH88,(IF(AM88=0,"N/A",100%)))</f>
        <v>0.10869565217391305</v>
      </c>
      <c r="AO88" s="1788">
        <f>+'NEW Summer CHP by DISC '!AO88/15</f>
        <v>10.6</v>
      </c>
      <c r="AP88" s="1769">
        <f>+'NEW Summer CHP by DISC '!AP88/15</f>
        <v>1</v>
      </c>
      <c r="AQ88" s="1769">
        <f>+'NEW Summer CHP by DISC '!AQ88/12</f>
        <v>0</v>
      </c>
      <c r="AR88" s="1769">
        <f>SUM(AO88:AQ88)</f>
        <v>11.6</v>
      </c>
      <c r="AS88" s="1679">
        <f>IF(AM88&gt;0,(AR88-AM88)/AM88,(IF(AR88=0,"N/A",100%)))</f>
        <v>0.13725490196078435</v>
      </c>
    </row>
    <row r="89" spans="1:45" s="484" customFormat="1" ht="13.8" x14ac:dyDescent="0.25">
      <c r="A89" s="513" t="s">
        <v>1015</v>
      </c>
      <c r="B89" s="1776">
        <f t="shared" ref="B89:I89" si="92">SUM(B87:B88)</f>
        <v>14</v>
      </c>
      <c r="C89" s="1776">
        <f t="shared" si="92"/>
        <v>0</v>
      </c>
      <c r="D89" s="1776">
        <f t="shared" si="92"/>
        <v>0</v>
      </c>
      <c r="E89" s="512">
        <f t="shared" si="92"/>
        <v>14</v>
      </c>
      <c r="F89" s="1776">
        <f t="shared" si="92"/>
        <v>15</v>
      </c>
      <c r="G89" s="1776">
        <f t="shared" si="92"/>
        <v>1</v>
      </c>
      <c r="H89" s="1776">
        <f t="shared" si="92"/>
        <v>0</v>
      </c>
      <c r="I89" s="1776">
        <f t="shared" si="92"/>
        <v>16</v>
      </c>
      <c r="J89" s="1772">
        <f>IF(E89&gt;0,(I89-E89)/E89,(IF(I89=0,"N/A",100%)))</f>
        <v>0.14285714285714285</v>
      </c>
      <c r="K89" s="1776">
        <f t="shared" ref="K89:S89" si="93">SUM(K87:K88)</f>
        <v>23</v>
      </c>
      <c r="L89" s="1776">
        <f t="shared" si="93"/>
        <v>0</v>
      </c>
      <c r="M89" s="1776">
        <f t="shared" si="93"/>
        <v>0</v>
      </c>
      <c r="N89" s="1779">
        <f t="shared" si="93"/>
        <v>23</v>
      </c>
      <c r="O89" s="1772">
        <f>IF(I89&gt;0,(N89-I89)/I89,(IF(N89=0,"N/A",100%)))</f>
        <v>0.4375</v>
      </c>
      <c r="P89" s="1776">
        <f t="shared" si="93"/>
        <v>19.2</v>
      </c>
      <c r="Q89" s="1776">
        <f t="shared" si="93"/>
        <v>0</v>
      </c>
      <c r="R89" s="1776">
        <f t="shared" si="93"/>
        <v>0</v>
      </c>
      <c r="S89" s="1776">
        <f t="shared" si="93"/>
        <v>19.2</v>
      </c>
      <c r="T89" s="1772">
        <f>IF(N89&gt;0,(S89-N89)/N89,(IF(S89=0,"N/A",100%)))</f>
        <v>-0.16521739130434784</v>
      </c>
      <c r="U89" s="1776">
        <f>SUM(U87:U88)</f>
        <v>15</v>
      </c>
      <c r="V89" s="1776">
        <f>SUM(V87:V88)</f>
        <v>0.8</v>
      </c>
      <c r="W89" s="1776">
        <f>SUM(W87:W88)</f>
        <v>0</v>
      </c>
      <c r="X89" s="1776">
        <f>SUM(X87:X88)</f>
        <v>15.8</v>
      </c>
      <c r="Y89" s="1772">
        <f>IF(S89&gt;0,(X89-S89)/S89,(IF(X89=0,"N/A",100%)))</f>
        <v>-0.17708333333333326</v>
      </c>
      <c r="Z89" s="1776">
        <f>SUM(Z87:Z88)</f>
        <v>11.4</v>
      </c>
      <c r="AA89" s="1776">
        <f>SUM(AA87:AA88)</f>
        <v>3.6</v>
      </c>
      <c r="AB89" s="1776">
        <f>SUM(AB87:AB88)</f>
        <v>0</v>
      </c>
      <c r="AC89" s="1776">
        <f>SUM(AC87:AC88)</f>
        <v>15</v>
      </c>
      <c r="AD89" s="1772">
        <f>IF(X89&gt;0,(AC89-X89)/X89,(IF(AC89=0,"N/A",100%)))</f>
        <v>-5.0632911392405104E-2</v>
      </c>
      <c r="AE89" s="1042">
        <f>SUM(AE87:AE88)</f>
        <v>11.799999999999999</v>
      </c>
      <c r="AF89" s="1776">
        <f>SUM(AF87:AF88)</f>
        <v>0</v>
      </c>
      <c r="AG89" s="1776">
        <f>SUM(AG87:AG88)</f>
        <v>0</v>
      </c>
      <c r="AH89" s="1776">
        <f>SUM(AH87:AH88)</f>
        <v>11.799999999999999</v>
      </c>
      <c r="AI89" s="1772">
        <f>IF(AC89&gt;0,(AH89-AC89)/AC89,(IF(AH89=0,"N/A",100%)))</f>
        <v>-0.2133333333333334</v>
      </c>
      <c r="AJ89" s="1042">
        <f>SUM(AJ87:AJ88)</f>
        <v>14.133333333333333</v>
      </c>
      <c r="AK89" s="1776">
        <f>SUM(AK87:AK88)</f>
        <v>0</v>
      </c>
      <c r="AL89" s="1776">
        <f>SUM(AL87:AL88)</f>
        <v>0</v>
      </c>
      <c r="AM89" s="1776">
        <f>SUM(AM87:AM88)</f>
        <v>14.133333333333333</v>
      </c>
      <c r="AN89" s="1772">
        <f>IF(AH89&gt;0,(AM89-AH89)/AH89,(IF(AM89=0,"N/A",100%)))</f>
        <v>0.19774011299435035</v>
      </c>
      <c r="AO89" s="1042">
        <f>SUM(AO87:AO88)</f>
        <v>14.466666666666667</v>
      </c>
      <c r="AP89" s="1776">
        <f>SUM(AP87:AP88)</f>
        <v>1.2</v>
      </c>
      <c r="AQ89" s="1776">
        <f>SUM(AQ87:AQ88)</f>
        <v>0</v>
      </c>
      <c r="AR89" s="1776">
        <f>SUM(AR87:AR88)</f>
        <v>15.666666666666666</v>
      </c>
      <c r="AS89" s="1772">
        <f>IF(AM89&gt;0,(AR89-AM89)/AM89,(IF(AR89=0,"N/A",100%)))</f>
        <v>0.10849056603773584</v>
      </c>
    </row>
    <row r="90" spans="1:45" s="1546" customFormat="1" x14ac:dyDescent="0.25">
      <c r="A90" s="1780" t="s">
        <v>414</v>
      </c>
      <c r="B90" s="1752"/>
      <c r="C90" s="1752"/>
      <c r="D90" s="1752"/>
      <c r="E90" s="1750"/>
      <c r="F90" s="1752"/>
      <c r="G90" s="1752"/>
      <c r="H90" s="1752"/>
      <c r="I90" s="1752"/>
      <c r="J90" s="1750"/>
      <c r="K90" s="1752"/>
      <c r="L90" s="1752"/>
      <c r="M90" s="1752"/>
      <c r="N90" s="1752"/>
      <c r="O90" s="1756"/>
      <c r="P90" s="1753"/>
      <c r="Q90" s="1752"/>
      <c r="R90" s="1752"/>
      <c r="S90" s="1752"/>
      <c r="T90" s="1750"/>
      <c r="U90" s="1752"/>
      <c r="V90" s="1752"/>
      <c r="W90" s="1752"/>
      <c r="X90" s="1752"/>
      <c r="Y90" s="1750"/>
      <c r="Z90" s="1753"/>
      <c r="AA90" s="1752"/>
      <c r="AB90" s="1752"/>
      <c r="AC90" s="1752"/>
      <c r="AD90" s="1750"/>
      <c r="AE90" s="1822"/>
      <c r="AF90" s="1752"/>
      <c r="AG90" s="1752"/>
      <c r="AH90" s="1752"/>
      <c r="AI90" s="1750"/>
      <c r="AJ90" s="1822"/>
      <c r="AK90" s="1752"/>
      <c r="AL90" s="1752"/>
      <c r="AM90" s="1752"/>
      <c r="AN90" s="1750"/>
      <c r="AO90" s="1822"/>
      <c r="AP90" s="1752"/>
      <c r="AQ90" s="1752"/>
      <c r="AR90" s="1752"/>
      <c r="AS90" s="1750"/>
    </row>
    <row r="91" spans="1:45" x14ac:dyDescent="0.25">
      <c r="A91" s="478" t="s">
        <v>1061</v>
      </c>
      <c r="B91" s="1769">
        <f>+'NEW Summer CHP by DISC '!B91/15</f>
        <v>12.8</v>
      </c>
      <c r="C91" s="1769">
        <f>+'NEW Summer CHP by DISC '!C91/15</f>
        <v>0</v>
      </c>
      <c r="D91" s="1769">
        <f>+'NEW Summer CHP by DISC '!D91/12</f>
        <v>0</v>
      </c>
      <c r="E91" s="1723">
        <f>SUM(B91:D91)</f>
        <v>12.8</v>
      </c>
      <c r="F91" s="1769">
        <f>+'NEW Summer CHP by DISC '!F91/15</f>
        <v>21.866666666666667</v>
      </c>
      <c r="G91" s="1769">
        <f>+'NEW Summer CHP by DISC '!G91/15</f>
        <v>0</v>
      </c>
      <c r="H91" s="1769">
        <f>+'NEW Summer CHP by DISC '!H91/12</f>
        <v>0</v>
      </c>
      <c r="I91" s="1724">
        <f>SUM(F91:H91)</f>
        <v>21.866666666666667</v>
      </c>
      <c r="J91" s="491">
        <f t="shared" ref="J91:J96" si="94">IF(E91&gt;0,(I91-E91)/E91,(IF(I91=0,"N/A",100%)))</f>
        <v>0.70833333333333326</v>
      </c>
      <c r="K91" s="1769">
        <f>+'NEW Summer CHP by DISC '!K91/15</f>
        <v>16.8</v>
      </c>
      <c r="L91" s="1769">
        <f>+'NEW Summer CHP by DISC '!L91/15</f>
        <v>0.26666666666666666</v>
      </c>
      <c r="M91" s="1769">
        <f>+'NEW Summer CHP by DISC '!M91/12</f>
        <v>0</v>
      </c>
      <c r="N91" s="1724">
        <f>SUM(K91:M91)</f>
        <v>17.066666666666666</v>
      </c>
      <c r="O91" s="1679">
        <f t="shared" ref="O91:O96" si="95">IF(I91&gt;0,(N91-I91)/I91,(IF(N91=0,"N/A",100%)))</f>
        <v>-0.21951219512195125</v>
      </c>
      <c r="P91" s="1769">
        <f>+'NEW Summer CHP by DISC '!P91/15</f>
        <v>18.133333333333333</v>
      </c>
      <c r="Q91" s="1769">
        <f>+'NEW Summer CHP by DISC '!Q91/15</f>
        <v>0</v>
      </c>
      <c r="R91" s="1769">
        <f>+'NEW Summer CHP by DISC '!R91/12</f>
        <v>0</v>
      </c>
      <c r="S91" s="1724">
        <f>SUM(P91:R91)</f>
        <v>18.133333333333333</v>
      </c>
      <c r="T91" s="491">
        <f t="shared" ref="T91:T96" si="96">IF(N91&gt;0,(S91-N91)/N91,(IF(S91=0,"N/A",100%)))</f>
        <v>6.2499999999999986E-2</v>
      </c>
      <c r="U91" s="1769">
        <f>+'NEW Summer CHP by DISC '!U91/15</f>
        <v>15.733333333333333</v>
      </c>
      <c r="V91" s="1769">
        <f>+'NEW Summer CHP by DISC '!V91/15</f>
        <v>0</v>
      </c>
      <c r="W91" s="1769">
        <f>+'NEW Summer CHP by DISC '!W91/12</f>
        <v>0</v>
      </c>
      <c r="X91" s="1724">
        <f>SUM(U91:W91)</f>
        <v>15.733333333333333</v>
      </c>
      <c r="Y91" s="491">
        <f t="shared" ref="Y91:Y96" si="97">IF(S91&gt;0,(X91-S91)/S91,(IF(X91=0,"N/A",100%)))</f>
        <v>-0.13235294117647062</v>
      </c>
      <c r="Z91" s="1769">
        <f>+'NEW Summer CHP by DISC '!Z91/15</f>
        <v>6.9333333333333336</v>
      </c>
      <c r="AA91" s="1769">
        <f>+'NEW Summer CHP by DISC '!AA91/15</f>
        <v>3.7333333333333334</v>
      </c>
      <c r="AB91" s="1769">
        <f>+'NEW Summer CHP by DISC '!AB91/12</f>
        <v>0</v>
      </c>
      <c r="AC91" s="1724">
        <f>SUM(Z91:AB91)</f>
        <v>10.666666666666668</v>
      </c>
      <c r="AD91" s="491">
        <f t="shared" ref="AD91:AD96" si="98">IF(X91&gt;0,(AC91-X91)/X91,(IF(AC91=0,"N/A",100%)))</f>
        <v>-0.32203389830508461</v>
      </c>
      <c r="AE91" s="1788">
        <f>+'NEW Summer CHP by DISC '!AE91/15</f>
        <v>11.733333333333333</v>
      </c>
      <c r="AF91" s="1769">
        <f>+'NEW Summer CHP by DISC '!AF91/15</f>
        <v>0</v>
      </c>
      <c r="AG91" s="1769">
        <f>+'NEW Summer CHP by DISC '!AG91/12</f>
        <v>0</v>
      </c>
      <c r="AH91" s="1724">
        <f>SUM(AE91:AG91)</f>
        <v>11.733333333333333</v>
      </c>
      <c r="AI91" s="491">
        <f t="shared" ref="AI91:AI96" si="99">IF(AC91&gt;0,(AH91-AC91)/AC91,(IF(AH91=0,"N/A",100%)))</f>
        <v>9.9999999999999797E-2</v>
      </c>
      <c r="AJ91" s="1788">
        <f>+'NEW Summer CHP by DISC '!AJ91/15</f>
        <v>10.133333333333333</v>
      </c>
      <c r="AK91" s="1769">
        <f>+'NEW Summer CHP by DISC '!AK91/15</f>
        <v>0</v>
      </c>
      <c r="AL91" s="1769">
        <f>+'NEW Summer CHP by DISC '!AL91/12</f>
        <v>0</v>
      </c>
      <c r="AM91" s="1724">
        <f>SUM(AJ91:AL91)</f>
        <v>10.133333333333333</v>
      </c>
      <c r="AN91" s="491">
        <f t="shared" ref="AN91:AN96" si="100">IF(AH91&gt;0,(AM91-AH91)/AH91,(IF(AM91=0,"N/A",100%)))</f>
        <v>-0.13636363636363635</v>
      </c>
      <c r="AO91" s="1788">
        <f>+'NEW Summer CHP by DISC '!AO91/15</f>
        <v>8.8000000000000007</v>
      </c>
      <c r="AP91" s="1769">
        <f>+'NEW Summer CHP by DISC '!AP91/15</f>
        <v>0</v>
      </c>
      <c r="AQ91" s="1769">
        <f>+'NEW Summer CHP by DISC '!AQ91/12</f>
        <v>0</v>
      </c>
      <c r="AR91" s="1724">
        <f>SUM(AO91:AQ91)</f>
        <v>8.8000000000000007</v>
      </c>
      <c r="AS91" s="491">
        <f t="shared" ref="AS91:AS96" si="101">IF(AM91&gt;0,(AR91-AM91)/AM91,(IF(AR91=0,"N/A",100%)))</f>
        <v>-0.13157894736842093</v>
      </c>
    </row>
    <row r="92" spans="1:45" x14ac:dyDescent="0.25">
      <c r="A92" s="478" t="s">
        <v>1062</v>
      </c>
      <c r="B92" s="1769">
        <f>+'NEW Summer CHP by DISC '!B92/15</f>
        <v>1.6666666666666667</v>
      </c>
      <c r="C92" s="1769">
        <f>+'NEW Summer CHP by DISC '!C92/15</f>
        <v>0</v>
      </c>
      <c r="D92" s="1769">
        <f>+'NEW Summer CHP by DISC '!D92/12</f>
        <v>0</v>
      </c>
      <c r="E92" s="1723">
        <f>SUM(B92:D92)</f>
        <v>1.6666666666666667</v>
      </c>
      <c r="F92" s="1769">
        <f>+'NEW Summer CHP by DISC '!F92/15</f>
        <v>1.2</v>
      </c>
      <c r="G92" s="1769">
        <f>+'NEW Summer CHP by DISC '!G92/15</f>
        <v>0</v>
      </c>
      <c r="H92" s="1769">
        <f>+'NEW Summer CHP by DISC '!H92/12</f>
        <v>0</v>
      </c>
      <c r="I92" s="1724">
        <f>SUM(F92:H92)</f>
        <v>1.2</v>
      </c>
      <c r="J92" s="491">
        <f t="shared" si="94"/>
        <v>-0.28000000000000008</v>
      </c>
      <c r="K92" s="1769">
        <f>+'NEW Summer CHP by DISC '!K92/15</f>
        <v>1.2</v>
      </c>
      <c r="L92" s="1769">
        <f>+'NEW Summer CHP by DISC '!L92/15</f>
        <v>0</v>
      </c>
      <c r="M92" s="1769">
        <f>+'NEW Summer CHP by DISC '!M92/12</f>
        <v>0</v>
      </c>
      <c r="N92" s="1724">
        <f>SUM(K92:M92)</f>
        <v>1.2</v>
      </c>
      <c r="O92" s="1679">
        <f t="shared" si="95"/>
        <v>0</v>
      </c>
      <c r="P92" s="1769">
        <f>+'NEW Summer CHP by DISC '!P92/15</f>
        <v>0</v>
      </c>
      <c r="Q92" s="1769">
        <f>+'NEW Summer CHP by DISC '!Q92/15</f>
        <v>0</v>
      </c>
      <c r="R92" s="1769">
        <f>+'NEW Summer CHP by DISC '!R92/12</f>
        <v>0</v>
      </c>
      <c r="S92" s="1724">
        <f>SUM(P92:R92)</f>
        <v>0</v>
      </c>
      <c r="T92" s="491">
        <f t="shared" si="96"/>
        <v>-1</v>
      </c>
      <c r="U92" s="1769">
        <f>+'NEW Summer CHP by DISC '!U92/15</f>
        <v>0</v>
      </c>
      <c r="V92" s="1769">
        <f>+'NEW Summer CHP by DISC '!V92/15</f>
        <v>0</v>
      </c>
      <c r="W92" s="1769">
        <f>+'NEW Summer CHP by DISC '!W92/12</f>
        <v>0</v>
      </c>
      <c r="X92" s="1724">
        <f>SUM(U92:W92)</f>
        <v>0</v>
      </c>
      <c r="Y92" s="491" t="str">
        <f t="shared" si="97"/>
        <v>N/A</v>
      </c>
      <c r="Z92" s="1769">
        <f>+'NEW Summer CHP by DISC '!Z92/15</f>
        <v>0</v>
      </c>
      <c r="AA92" s="1769">
        <f>+'NEW Summer CHP by DISC '!AA92/15</f>
        <v>0</v>
      </c>
      <c r="AB92" s="1769">
        <f>+'NEW Summer CHP by DISC '!AB92/12</f>
        <v>0</v>
      </c>
      <c r="AC92" s="1724">
        <f>SUM(Z92:AB92)</f>
        <v>0</v>
      </c>
      <c r="AD92" s="491" t="str">
        <f t="shared" si="98"/>
        <v>N/A</v>
      </c>
      <c r="AE92" s="1788">
        <f>+'NEW Summer CHP by DISC '!AE92/15</f>
        <v>0</v>
      </c>
      <c r="AF92" s="1769">
        <f>+'NEW Summer CHP by DISC '!AF92/15</f>
        <v>0</v>
      </c>
      <c r="AG92" s="1769">
        <f>+'NEW Summer CHP by DISC '!AG92/12</f>
        <v>0</v>
      </c>
      <c r="AH92" s="1724">
        <f>SUM(AE92:AG92)</f>
        <v>0</v>
      </c>
      <c r="AI92" s="491" t="str">
        <f t="shared" si="99"/>
        <v>N/A</v>
      </c>
      <c r="AJ92" s="1788">
        <f>+'NEW Summer CHP by DISC '!AJ92/15</f>
        <v>0</v>
      </c>
      <c r="AK92" s="1769">
        <f>+'NEW Summer CHP by DISC '!AK92/15</f>
        <v>0</v>
      </c>
      <c r="AL92" s="1769">
        <f>+'NEW Summer CHP by DISC '!AL92/12</f>
        <v>0</v>
      </c>
      <c r="AM92" s="1724">
        <f>SUM(AJ92:AL92)</f>
        <v>0</v>
      </c>
      <c r="AN92" s="491" t="str">
        <f t="shared" si="100"/>
        <v>N/A</v>
      </c>
      <c r="AO92" s="1788">
        <f>+'NEW Summer CHP by DISC '!AO92/15</f>
        <v>0</v>
      </c>
      <c r="AP92" s="1769">
        <f>+'NEW Summer CHP by DISC '!AP92/15</f>
        <v>0</v>
      </c>
      <c r="AQ92" s="1769">
        <f>+'NEW Summer CHP by DISC '!AQ92/12</f>
        <v>0</v>
      </c>
      <c r="AR92" s="1724">
        <f>SUM(AO92:AQ92)</f>
        <v>0</v>
      </c>
      <c r="AS92" s="491" t="str">
        <f t="shared" si="101"/>
        <v>N/A</v>
      </c>
    </row>
    <row r="93" spans="1:45" x14ac:dyDescent="0.25">
      <c r="A93" s="478" t="s">
        <v>1063</v>
      </c>
      <c r="B93" s="1769">
        <f>+'NEW Summer CHP by DISC '!B93/15</f>
        <v>0</v>
      </c>
      <c r="C93" s="1769">
        <f>+'NEW Summer CHP by DISC '!C93/15</f>
        <v>0</v>
      </c>
      <c r="D93" s="1769">
        <f>+'NEW Summer CHP by DISC '!D93/12</f>
        <v>0</v>
      </c>
      <c r="E93" s="1723">
        <f>SUM(B93:D93)</f>
        <v>0</v>
      </c>
      <c r="F93" s="1769">
        <f>+'NEW Summer CHP by DISC '!F93/15</f>
        <v>0</v>
      </c>
      <c r="G93" s="1769">
        <f>+'NEW Summer CHP by DISC '!G93/15</f>
        <v>0</v>
      </c>
      <c r="H93" s="1769">
        <f>+'NEW Summer CHP by DISC '!H93/12</f>
        <v>0</v>
      </c>
      <c r="I93" s="1724">
        <f>SUM(F93:H93)</f>
        <v>0</v>
      </c>
      <c r="J93" s="491" t="str">
        <f t="shared" si="94"/>
        <v>N/A</v>
      </c>
      <c r="K93" s="1769">
        <f>+'NEW Summer CHP by DISC '!K93/15</f>
        <v>0</v>
      </c>
      <c r="L93" s="1769">
        <f>+'NEW Summer CHP by DISC '!L93/15</f>
        <v>0</v>
      </c>
      <c r="M93" s="1769">
        <f>+'NEW Summer CHP by DISC '!M93/12</f>
        <v>0</v>
      </c>
      <c r="N93" s="1724">
        <f>SUM(K93:M93)</f>
        <v>0</v>
      </c>
      <c r="O93" s="1679" t="str">
        <f t="shared" si="95"/>
        <v>N/A</v>
      </c>
      <c r="P93" s="1769">
        <f>+'NEW Summer CHP by DISC '!P93/15</f>
        <v>0</v>
      </c>
      <c r="Q93" s="1769">
        <f>+'NEW Summer CHP by DISC '!Q93/15</f>
        <v>0</v>
      </c>
      <c r="R93" s="1769">
        <f>+'NEW Summer CHP by DISC '!R93/12</f>
        <v>0</v>
      </c>
      <c r="S93" s="1724">
        <f>SUM(P93:R93)</f>
        <v>0</v>
      </c>
      <c r="T93" s="491" t="str">
        <f t="shared" si="96"/>
        <v>N/A</v>
      </c>
      <c r="U93" s="1769">
        <f>+'NEW Summer CHP by DISC '!U93/15</f>
        <v>1.6</v>
      </c>
      <c r="V93" s="1769">
        <f>+'NEW Summer CHP by DISC '!V93/15</f>
        <v>0</v>
      </c>
      <c r="W93" s="1769">
        <f>+'NEW Summer CHP by DISC '!W93/12</f>
        <v>0</v>
      </c>
      <c r="X93" s="1724">
        <f>SUM(U93:W93)</f>
        <v>1.6</v>
      </c>
      <c r="Y93" s="491">
        <f t="shared" si="97"/>
        <v>1</v>
      </c>
      <c r="Z93" s="1769">
        <f>+'NEW Summer CHP by DISC '!Z93/15</f>
        <v>0</v>
      </c>
      <c r="AA93" s="1769">
        <f>+'NEW Summer CHP by DISC '!AA93/15</f>
        <v>0</v>
      </c>
      <c r="AB93" s="1769">
        <f>+'NEW Summer CHP by DISC '!AB93/12</f>
        <v>0</v>
      </c>
      <c r="AC93" s="1724">
        <f>SUM(Z93:AB93)</f>
        <v>0</v>
      </c>
      <c r="AD93" s="491">
        <f t="shared" si="98"/>
        <v>-1</v>
      </c>
      <c r="AE93" s="1788">
        <f>+'NEW Summer CHP by DISC '!AE93/15</f>
        <v>0</v>
      </c>
      <c r="AF93" s="1769">
        <f>+'NEW Summer CHP by DISC '!AF93/15</f>
        <v>0</v>
      </c>
      <c r="AG93" s="1769">
        <f>+'NEW Summer CHP by DISC '!AG93/12</f>
        <v>0</v>
      </c>
      <c r="AH93" s="1724">
        <f>SUM(AE93:AG93)</f>
        <v>0</v>
      </c>
      <c r="AI93" s="491" t="str">
        <f t="shared" si="99"/>
        <v>N/A</v>
      </c>
      <c r="AJ93" s="1788">
        <f>+'NEW Summer CHP by DISC '!AJ93/15</f>
        <v>0</v>
      </c>
      <c r="AK93" s="1769">
        <f>+'NEW Summer CHP by DISC '!AK93/15</f>
        <v>0</v>
      </c>
      <c r="AL93" s="1769">
        <f>+'NEW Summer CHP by DISC '!AL93/12</f>
        <v>0</v>
      </c>
      <c r="AM93" s="1724">
        <f>SUM(AJ93:AL93)</f>
        <v>0</v>
      </c>
      <c r="AN93" s="491" t="str">
        <f t="shared" si="100"/>
        <v>N/A</v>
      </c>
      <c r="AO93" s="1788">
        <f>+'NEW Summer CHP by DISC '!AO93/15</f>
        <v>0</v>
      </c>
      <c r="AP93" s="1769">
        <f>+'NEW Summer CHP by DISC '!AP93/15</f>
        <v>0</v>
      </c>
      <c r="AQ93" s="1769">
        <f>+'NEW Summer CHP by DISC '!AQ93/12</f>
        <v>0</v>
      </c>
      <c r="AR93" s="1724">
        <f>SUM(AO93:AQ93)</f>
        <v>0</v>
      </c>
      <c r="AS93" s="491" t="str">
        <f t="shared" si="101"/>
        <v>N/A</v>
      </c>
    </row>
    <row r="94" spans="1:45" x14ac:dyDescent="0.25">
      <c r="A94" s="478" t="s">
        <v>1064</v>
      </c>
      <c r="B94" s="1769">
        <f>+'NEW Summer CHP by DISC '!B94/15</f>
        <v>1.8666666666666667</v>
      </c>
      <c r="C94" s="1769">
        <f>+'NEW Summer CHP by DISC '!C94/15</f>
        <v>0</v>
      </c>
      <c r="D94" s="1769">
        <f>+'NEW Summer CHP by DISC '!D94/12</f>
        <v>0</v>
      </c>
      <c r="E94" s="1723">
        <f>SUM(B94:D94)</f>
        <v>1.8666666666666667</v>
      </c>
      <c r="F94" s="1769">
        <f>+'NEW Summer CHP by DISC '!F94/15</f>
        <v>4.2666666666666666</v>
      </c>
      <c r="G94" s="1769">
        <f>+'NEW Summer CHP by DISC '!G94/15</f>
        <v>0</v>
      </c>
      <c r="H94" s="1769">
        <f>+'NEW Summer CHP by DISC '!H94/12</f>
        <v>0</v>
      </c>
      <c r="I94" s="1724">
        <f>SUM(F94:H94)</f>
        <v>4.2666666666666666</v>
      </c>
      <c r="J94" s="491">
        <f t="shared" si="94"/>
        <v>1.2857142857142856</v>
      </c>
      <c r="K94" s="1769">
        <f>+'NEW Summer CHP by DISC '!K94/15</f>
        <v>2.4</v>
      </c>
      <c r="L94" s="1769">
        <f>+'NEW Summer CHP by DISC '!L94/15</f>
        <v>0</v>
      </c>
      <c r="M94" s="1769">
        <f>+'NEW Summer CHP by DISC '!M94/12</f>
        <v>0</v>
      </c>
      <c r="N94" s="1724">
        <f>SUM(K94:M94)</f>
        <v>2.4</v>
      </c>
      <c r="O94" s="1679">
        <f t="shared" si="95"/>
        <v>-0.4375</v>
      </c>
      <c r="P94" s="1769">
        <f>+'NEW Summer CHP by DISC '!P94/15</f>
        <v>2.1333333333333333</v>
      </c>
      <c r="Q94" s="1769">
        <f>+'NEW Summer CHP by DISC '!Q94/15</f>
        <v>0</v>
      </c>
      <c r="R94" s="1769">
        <f>+'NEW Summer CHP by DISC '!R94/12</f>
        <v>0</v>
      </c>
      <c r="S94" s="1724">
        <f>SUM(P94:R94)</f>
        <v>2.1333333333333333</v>
      </c>
      <c r="T94" s="491">
        <f t="shared" si="96"/>
        <v>-0.11111111111111109</v>
      </c>
      <c r="U94" s="1769">
        <f>+'NEW Summer CHP by DISC '!U94/15</f>
        <v>4</v>
      </c>
      <c r="V94" s="1769">
        <f>+'NEW Summer CHP by DISC '!V94/15</f>
        <v>0</v>
      </c>
      <c r="W94" s="1769">
        <f>+'NEW Summer CHP by DISC '!W94/12</f>
        <v>0</v>
      </c>
      <c r="X94" s="1724">
        <f>SUM(U94:W94)</f>
        <v>4</v>
      </c>
      <c r="Y94" s="491">
        <f t="shared" si="97"/>
        <v>0.875</v>
      </c>
      <c r="Z94" s="1769">
        <f>+'NEW Summer CHP by DISC '!Z94/15</f>
        <v>0</v>
      </c>
      <c r="AA94" s="1769">
        <f>+'NEW Summer CHP by DISC '!AA94/15</f>
        <v>4</v>
      </c>
      <c r="AB94" s="1769">
        <f>+'NEW Summer CHP by DISC '!AB94/12</f>
        <v>0</v>
      </c>
      <c r="AC94" s="1724">
        <f>SUM(Z94:AB94)</f>
        <v>4</v>
      </c>
      <c r="AD94" s="491">
        <f t="shared" si="98"/>
        <v>0</v>
      </c>
      <c r="AE94" s="1788">
        <f>+'NEW Summer CHP by DISC '!AE94/15</f>
        <v>3.7333333333333334</v>
      </c>
      <c r="AF94" s="1769">
        <f>+'NEW Summer CHP by DISC '!AF94/15</f>
        <v>0</v>
      </c>
      <c r="AG94" s="1769">
        <f>+'NEW Summer CHP by DISC '!AG94/12</f>
        <v>0</v>
      </c>
      <c r="AH94" s="1724">
        <f>SUM(AE94:AG94)</f>
        <v>3.7333333333333334</v>
      </c>
      <c r="AI94" s="491">
        <f t="shared" si="99"/>
        <v>-6.6666666666666652E-2</v>
      </c>
      <c r="AJ94" s="1788">
        <f>+'NEW Summer CHP by DISC '!AJ94/15</f>
        <v>1.6</v>
      </c>
      <c r="AK94" s="1769">
        <f>+'NEW Summer CHP by DISC '!AK94/15</f>
        <v>0</v>
      </c>
      <c r="AL94" s="1769">
        <f>+'NEW Summer CHP by DISC '!AL94/12</f>
        <v>0</v>
      </c>
      <c r="AM94" s="1724">
        <f>SUM(AJ94:AL94)</f>
        <v>1.6</v>
      </c>
      <c r="AN94" s="491">
        <f t="shared" si="100"/>
        <v>-0.5714285714285714</v>
      </c>
      <c r="AO94" s="1788">
        <f>+'NEW Summer CHP by DISC '!AO94/15</f>
        <v>0</v>
      </c>
      <c r="AP94" s="1769">
        <f>+'NEW Summer CHP by DISC '!AP94/15</f>
        <v>0</v>
      </c>
      <c r="AQ94" s="1769">
        <f>+'NEW Summer CHP by DISC '!AQ94/12</f>
        <v>0</v>
      </c>
      <c r="AR94" s="1724">
        <f>SUM(AO94:AQ94)</f>
        <v>0</v>
      </c>
      <c r="AS94" s="491">
        <f t="shared" si="101"/>
        <v>-1</v>
      </c>
    </row>
    <row r="95" spans="1:45" x14ac:dyDescent="0.25">
      <c r="A95" s="478" t="s">
        <v>1065</v>
      </c>
      <c r="B95" s="1769">
        <f>+'NEW Summer CHP by DISC '!B95/15</f>
        <v>6.9333333333333336</v>
      </c>
      <c r="C95" s="1769">
        <f>+'NEW Summer CHP by DISC '!C95/15</f>
        <v>0</v>
      </c>
      <c r="D95" s="1769">
        <f>+'NEW Summer CHP by DISC '!D95/12</f>
        <v>0</v>
      </c>
      <c r="E95" s="1723">
        <f>SUM(B95:D95)</f>
        <v>6.9333333333333336</v>
      </c>
      <c r="F95" s="1769">
        <f>+'NEW Summer CHP by DISC '!F95/15</f>
        <v>8.8000000000000007</v>
      </c>
      <c r="G95" s="1769">
        <f>+'NEW Summer CHP by DISC '!G95/15</f>
        <v>0</v>
      </c>
      <c r="H95" s="1769">
        <f>+'NEW Summer CHP by DISC '!H95/12</f>
        <v>0</v>
      </c>
      <c r="I95" s="1724">
        <f>SUM(F95:H95)</f>
        <v>8.8000000000000007</v>
      </c>
      <c r="J95" s="491">
        <f t="shared" si="94"/>
        <v>0.26923076923076927</v>
      </c>
      <c r="K95" s="1769">
        <f>+'NEW Summer CHP by DISC '!K95/15</f>
        <v>8</v>
      </c>
      <c r="L95" s="1769">
        <f>+'NEW Summer CHP by DISC '!L95/15</f>
        <v>0</v>
      </c>
      <c r="M95" s="1769">
        <f>+'NEW Summer CHP by DISC '!M95/12</f>
        <v>0</v>
      </c>
      <c r="N95" s="1724">
        <f>SUM(K95:M95)</f>
        <v>8</v>
      </c>
      <c r="O95" s="1679">
        <f t="shared" si="95"/>
        <v>-9.0909090909090981E-2</v>
      </c>
      <c r="P95" s="1769">
        <f>+'NEW Summer CHP by DISC '!P95/15</f>
        <v>7.4666666666666668</v>
      </c>
      <c r="Q95" s="1769">
        <f>+'NEW Summer CHP by DISC '!Q95/15</f>
        <v>0</v>
      </c>
      <c r="R95" s="1769">
        <f>+'NEW Summer CHP by DISC '!R95/12</f>
        <v>0</v>
      </c>
      <c r="S95" s="1724">
        <f>SUM(P95:R95)</f>
        <v>7.4666666666666668</v>
      </c>
      <c r="T95" s="491">
        <f t="shared" si="96"/>
        <v>-6.6666666666666652E-2</v>
      </c>
      <c r="U95" s="1769">
        <f>+'NEW Summer CHP by DISC '!U95/15</f>
        <v>10.133333333333333</v>
      </c>
      <c r="V95" s="1769">
        <f>+'NEW Summer CHP by DISC '!V95/15</f>
        <v>0</v>
      </c>
      <c r="W95" s="1769">
        <f>+'NEW Summer CHP by DISC '!W95/12</f>
        <v>0</v>
      </c>
      <c r="X95" s="1724">
        <f>SUM(U95:W95)</f>
        <v>10.133333333333333</v>
      </c>
      <c r="Y95" s="491">
        <f t="shared" si="97"/>
        <v>0.35714285714285704</v>
      </c>
      <c r="Z95" s="1769">
        <f>+'NEW Summer CHP by DISC '!Z95/15</f>
        <v>7.7333333333333334</v>
      </c>
      <c r="AA95" s="1769">
        <f>+'NEW Summer CHP by DISC '!AA95/15</f>
        <v>0</v>
      </c>
      <c r="AB95" s="1769">
        <f>+'NEW Summer CHP by DISC '!AB95/12</f>
        <v>0</v>
      </c>
      <c r="AC95" s="1724">
        <f>SUM(Z95:AB95)</f>
        <v>7.7333333333333334</v>
      </c>
      <c r="AD95" s="491">
        <f t="shared" si="98"/>
        <v>-0.23684210526315785</v>
      </c>
      <c r="AE95" s="1788">
        <f>+'NEW Summer CHP by DISC '!AE95/15</f>
        <v>5.0666666666666664</v>
      </c>
      <c r="AF95" s="1769">
        <f>+'NEW Summer CHP by DISC '!AF95/15</f>
        <v>0</v>
      </c>
      <c r="AG95" s="1769">
        <f>+'NEW Summer CHP by DISC '!AG95/12</f>
        <v>0</v>
      </c>
      <c r="AH95" s="1724">
        <f>SUM(AE95:AG95)</f>
        <v>5.0666666666666664</v>
      </c>
      <c r="AI95" s="491">
        <f t="shared" si="99"/>
        <v>-0.34482758620689657</v>
      </c>
      <c r="AJ95" s="1788">
        <f>+'NEW Summer CHP by DISC '!AJ95/15</f>
        <v>2.4</v>
      </c>
      <c r="AK95" s="1769">
        <f>+'NEW Summer CHP by DISC '!AK95/15</f>
        <v>0</v>
      </c>
      <c r="AL95" s="1769">
        <f>+'NEW Summer CHP by DISC '!AL95/12</f>
        <v>0</v>
      </c>
      <c r="AM95" s="1724">
        <f>SUM(AJ95:AL95)</f>
        <v>2.4</v>
      </c>
      <c r="AN95" s="491">
        <f t="shared" si="100"/>
        <v>-0.52631578947368418</v>
      </c>
      <c r="AO95" s="1788">
        <f>+'NEW Summer CHP by DISC '!AO95/15</f>
        <v>3.2</v>
      </c>
      <c r="AP95" s="1769">
        <f>+'NEW Summer CHP by DISC '!AP95/15</f>
        <v>0</v>
      </c>
      <c r="AQ95" s="1769">
        <f>+'NEW Summer CHP by DISC '!AQ95/12</f>
        <v>0</v>
      </c>
      <c r="AR95" s="1724">
        <f>SUM(AO95:AQ95)</f>
        <v>3.2</v>
      </c>
      <c r="AS95" s="491">
        <f t="shared" si="101"/>
        <v>0.33333333333333348</v>
      </c>
    </row>
    <row r="96" spans="1:45" s="484" customFormat="1" ht="13.8" x14ac:dyDescent="0.25">
      <c r="A96" s="513" t="s">
        <v>1015</v>
      </c>
      <c r="B96" s="1259">
        <f t="shared" ref="B96:I96" si="102">SUM(B91:B95)</f>
        <v>23.266666666666666</v>
      </c>
      <c r="C96" s="1259">
        <f t="shared" si="102"/>
        <v>0</v>
      </c>
      <c r="D96" s="1259">
        <f t="shared" si="102"/>
        <v>0</v>
      </c>
      <c r="E96" s="495">
        <f t="shared" si="102"/>
        <v>23.266666666666666</v>
      </c>
      <c r="F96" s="1259">
        <f t="shared" si="102"/>
        <v>36.133333333333333</v>
      </c>
      <c r="G96" s="1259">
        <f t="shared" si="102"/>
        <v>0</v>
      </c>
      <c r="H96" s="1259">
        <f t="shared" si="102"/>
        <v>0</v>
      </c>
      <c r="I96" s="1259">
        <f t="shared" si="102"/>
        <v>36.133333333333333</v>
      </c>
      <c r="J96" s="496">
        <f t="shared" si="94"/>
        <v>0.55300859598853869</v>
      </c>
      <c r="K96" s="1259">
        <f t="shared" ref="K96:S96" si="103">SUM(K91:K95)</f>
        <v>28.4</v>
      </c>
      <c r="L96" s="1259">
        <f t="shared" si="103"/>
        <v>0.26666666666666666</v>
      </c>
      <c r="M96" s="1259">
        <f t="shared" si="103"/>
        <v>0</v>
      </c>
      <c r="N96" s="1259">
        <f t="shared" si="103"/>
        <v>28.666666666666664</v>
      </c>
      <c r="O96" s="1772">
        <f t="shared" si="95"/>
        <v>-0.20664206642066427</v>
      </c>
      <c r="P96" s="1732">
        <f t="shared" si="103"/>
        <v>27.733333333333334</v>
      </c>
      <c r="Q96" s="1259">
        <f t="shared" si="103"/>
        <v>0</v>
      </c>
      <c r="R96" s="1259">
        <f t="shared" si="103"/>
        <v>0</v>
      </c>
      <c r="S96" s="1259">
        <f t="shared" si="103"/>
        <v>27.733333333333334</v>
      </c>
      <c r="T96" s="496">
        <f t="shared" si="96"/>
        <v>-3.2558139534883609E-2</v>
      </c>
      <c r="U96" s="1259">
        <f>SUM(U91:U95)</f>
        <v>31.466666666666665</v>
      </c>
      <c r="V96" s="1259">
        <f>SUM(V91:V95)</f>
        <v>0</v>
      </c>
      <c r="W96" s="1259">
        <f>SUM(W91:W95)</f>
        <v>0</v>
      </c>
      <c r="X96" s="1259">
        <f>SUM(X91:X95)</f>
        <v>31.466666666666665</v>
      </c>
      <c r="Y96" s="496">
        <f t="shared" si="97"/>
        <v>0.13461538461538453</v>
      </c>
      <c r="Z96" s="1732">
        <f>SUM(Z91:Z95)</f>
        <v>14.666666666666668</v>
      </c>
      <c r="AA96" s="1259">
        <f>SUM(AA91:AA95)</f>
        <v>7.7333333333333334</v>
      </c>
      <c r="AB96" s="1259">
        <f>SUM(AB91:AB95)</f>
        <v>0</v>
      </c>
      <c r="AC96" s="1259">
        <f>SUM(AC91:AC95)</f>
        <v>22.400000000000002</v>
      </c>
      <c r="AD96" s="496">
        <f t="shared" si="98"/>
        <v>-0.28813559322033888</v>
      </c>
      <c r="AE96" s="1025">
        <f>SUM(AE91:AE95)</f>
        <v>20.533333333333331</v>
      </c>
      <c r="AF96" s="1259">
        <f>SUM(AF91:AF95)</f>
        <v>0</v>
      </c>
      <c r="AG96" s="1259">
        <f>SUM(AG91:AG95)</f>
        <v>0</v>
      </c>
      <c r="AH96" s="1259">
        <f>SUM(AH91:AH95)</f>
        <v>20.533333333333331</v>
      </c>
      <c r="AI96" s="496">
        <f t="shared" si="99"/>
        <v>-8.3333333333333509E-2</v>
      </c>
      <c r="AJ96" s="1025">
        <f>SUM(AJ91:AJ95)</f>
        <v>14.133333333333333</v>
      </c>
      <c r="AK96" s="1259">
        <f>SUM(AK91:AK95)</f>
        <v>0</v>
      </c>
      <c r="AL96" s="1259">
        <f>SUM(AL91:AL95)</f>
        <v>0</v>
      </c>
      <c r="AM96" s="1259">
        <f>SUM(AM91:AM95)</f>
        <v>14.133333333333333</v>
      </c>
      <c r="AN96" s="496">
        <f t="shared" si="100"/>
        <v>-0.31168831168831163</v>
      </c>
      <c r="AO96" s="1025">
        <f>SUM(AO91:AO95)</f>
        <v>12</v>
      </c>
      <c r="AP96" s="1259">
        <f>SUM(AP91:AP95)</f>
        <v>0</v>
      </c>
      <c r="AQ96" s="1259">
        <f>SUM(AQ91:AQ95)</f>
        <v>0</v>
      </c>
      <c r="AR96" s="1259">
        <f>SUM(AR91:AR95)</f>
        <v>12</v>
      </c>
      <c r="AS96" s="496">
        <f t="shared" si="101"/>
        <v>-0.15094339622641506</v>
      </c>
    </row>
    <row r="97" spans="1:45" s="1546" customFormat="1" x14ac:dyDescent="0.25">
      <c r="A97" s="1780" t="s">
        <v>413</v>
      </c>
      <c r="B97" s="1752"/>
      <c r="C97" s="1752"/>
      <c r="D97" s="1752"/>
      <c r="E97" s="1750"/>
      <c r="F97" s="1752"/>
      <c r="G97" s="1752"/>
      <c r="H97" s="1752"/>
      <c r="I97" s="1752"/>
      <c r="J97" s="1750"/>
      <c r="K97" s="1752"/>
      <c r="L97" s="1752"/>
      <c r="M97" s="1752"/>
      <c r="N97" s="1752"/>
      <c r="O97" s="1756"/>
      <c r="P97" s="1753"/>
      <c r="Q97" s="1752"/>
      <c r="R97" s="1752"/>
      <c r="S97" s="1752"/>
      <c r="T97" s="1750"/>
      <c r="U97" s="1752"/>
      <c r="V97" s="1752"/>
      <c r="W97" s="1752"/>
      <c r="X97" s="1752"/>
      <c r="Y97" s="1750"/>
      <c r="Z97" s="1753"/>
      <c r="AA97" s="1752"/>
      <c r="AB97" s="1752"/>
      <c r="AC97" s="1752"/>
      <c r="AD97" s="1750"/>
      <c r="AE97" s="1822"/>
      <c r="AF97" s="1752"/>
      <c r="AG97" s="1752"/>
      <c r="AH97" s="1752"/>
      <c r="AI97" s="1750"/>
      <c r="AJ97" s="1822"/>
      <c r="AK97" s="1752"/>
      <c r="AL97" s="1752"/>
      <c r="AM97" s="1752"/>
      <c r="AN97" s="1750"/>
      <c r="AO97" s="1822"/>
      <c r="AP97" s="1752"/>
      <c r="AQ97" s="1752"/>
      <c r="AR97" s="1752"/>
      <c r="AS97" s="1750"/>
    </row>
    <row r="98" spans="1:45" s="1546" customFormat="1" x14ac:dyDescent="0.25">
      <c r="A98" s="488" t="s">
        <v>1633</v>
      </c>
      <c r="B98" s="1769">
        <f>+'NEW Summer CHP by DISC '!B98/15</f>
        <v>0</v>
      </c>
      <c r="C98" s="1769">
        <f>+'NEW Summer CHP by DISC '!C98/15</f>
        <v>0</v>
      </c>
      <c r="D98" s="1769">
        <f>+'NEW Summer CHP by DISC '!D98/12</f>
        <v>0</v>
      </c>
      <c r="E98" s="1723">
        <f>SUM(B98:D98)</f>
        <v>0</v>
      </c>
      <c r="F98" s="1769">
        <f>+'NEW Summer CHP by DISC '!F98/15</f>
        <v>0</v>
      </c>
      <c r="G98" s="1769">
        <f>+'NEW Summer CHP by DISC '!G98/15</f>
        <v>0</v>
      </c>
      <c r="H98" s="1769">
        <f>+'NEW Summer CHP by DISC '!H98/12</f>
        <v>0</v>
      </c>
      <c r="I98" s="1724">
        <f>SUM(F98:H98)</f>
        <v>0</v>
      </c>
      <c r="J98" s="491" t="str">
        <f>IF(E98&gt;0,(I98-E98)/E98,(IF(I98=0,"N/A",100%)))</f>
        <v>N/A</v>
      </c>
      <c r="K98" s="1769">
        <f>+'NEW Summer CHP by DISC '!K98/15</f>
        <v>0</v>
      </c>
      <c r="L98" s="1769">
        <f>+'NEW Summer CHP by DISC '!L98/15</f>
        <v>0</v>
      </c>
      <c r="M98" s="1769">
        <f>+'NEW Summer CHP by DISC '!M98/12</f>
        <v>0</v>
      </c>
      <c r="N98" s="1724">
        <f>SUM(K98:M98)</f>
        <v>0</v>
      </c>
      <c r="O98" s="1679" t="str">
        <f>IF(I98&gt;0,(N98-I98)/I98,(IF(N98=0,"N/A",100%)))</f>
        <v>N/A</v>
      </c>
      <c r="P98" s="1769">
        <f>+'NEW Summer CHP by DISC '!P98/15</f>
        <v>0</v>
      </c>
      <c r="Q98" s="1769">
        <f>+'NEW Summer CHP by DISC '!Q98/15</f>
        <v>0</v>
      </c>
      <c r="R98" s="1769">
        <f>+'NEW Summer CHP by DISC '!R98/12</f>
        <v>0</v>
      </c>
      <c r="S98" s="1724">
        <f>SUM(P98:R98)</f>
        <v>0</v>
      </c>
      <c r="T98" s="491" t="str">
        <f>IF(N98&gt;0,(S98-N98)/N98,(IF(S98=0,"N/A",100%)))</f>
        <v>N/A</v>
      </c>
      <c r="U98" s="1769">
        <f>+'NEW Summer CHP by DISC '!U98/15</f>
        <v>0</v>
      </c>
      <c r="V98" s="1769">
        <f>+'NEW Summer CHP by DISC '!V98/15</f>
        <v>0</v>
      </c>
      <c r="W98" s="1769">
        <f>+'NEW Summer CHP by DISC '!W98/12</f>
        <v>0</v>
      </c>
      <c r="X98" s="1724">
        <f>SUM(U98:W98)</f>
        <v>0</v>
      </c>
      <c r="Y98" s="491" t="str">
        <f>IF(S98&gt;0,(X98-S98)/S98,(IF(X98=0,"N/A",100%)))</f>
        <v>N/A</v>
      </c>
      <c r="Z98" s="1769">
        <f>+'NEW Summer CHP by DISC '!Z98/15</f>
        <v>0</v>
      </c>
      <c r="AA98" s="1769">
        <f>+'NEW Summer CHP by DISC '!AA98/15</f>
        <v>0</v>
      </c>
      <c r="AB98" s="1769">
        <f>+'NEW Summer CHP by DISC '!AB98/12</f>
        <v>0</v>
      </c>
      <c r="AC98" s="1724">
        <f>SUM(Z98:AB98)</f>
        <v>0</v>
      </c>
      <c r="AD98" s="491" t="str">
        <f>IF(X98&gt;0,(AC98-X98)/X98,(IF(AC98=0,"N/A",100%)))</f>
        <v>N/A</v>
      </c>
      <c r="AE98" s="1788">
        <f>+'NEW Summer CHP by DISC '!AE98/15</f>
        <v>0</v>
      </c>
      <c r="AF98" s="1769">
        <f>+'NEW Summer CHP by DISC '!AF98/15</f>
        <v>0</v>
      </c>
      <c r="AG98" s="1769">
        <f>+'NEW Summer CHP by DISC '!AG98/12</f>
        <v>1</v>
      </c>
      <c r="AH98" s="1724">
        <f>SUM(AE98:AG98)</f>
        <v>1</v>
      </c>
      <c r="AI98" s="491">
        <f>IF(AC98&gt;0,(AH98-AC98)/AC98,(IF(AH98=0,"N/A",100%)))</f>
        <v>1</v>
      </c>
      <c r="AJ98" s="1788">
        <f>+'NEW Summer CHP by DISC '!AJ98/15</f>
        <v>0</v>
      </c>
      <c r="AK98" s="1769">
        <f>+'NEW Summer CHP by DISC '!AK98/15</f>
        <v>0</v>
      </c>
      <c r="AL98" s="1769">
        <f>+'NEW Summer CHP by DISC '!AL98/12</f>
        <v>1</v>
      </c>
      <c r="AM98" s="1724">
        <f>SUM(AJ98:AL98)</f>
        <v>1</v>
      </c>
      <c r="AN98" s="491">
        <f>IF(AH98&gt;0,(AM98-AH98)/AH98,(IF(AM98=0,"N/A",100%)))</f>
        <v>0</v>
      </c>
      <c r="AO98" s="1788">
        <f>+'NEW Summer CHP by DISC '!AO98/15</f>
        <v>0</v>
      </c>
      <c r="AP98" s="1769">
        <f>+'NEW Summer CHP by DISC '!AP98/15</f>
        <v>0</v>
      </c>
      <c r="AQ98" s="1769">
        <f>+'NEW Summer CHP by DISC '!AQ98/12</f>
        <v>0.5</v>
      </c>
      <c r="AR98" s="1724">
        <f>SUM(AO98:AQ98)</f>
        <v>0.5</v>
      </c>
      <c r="AS98" s="491">
        <f>IF(AM98&gt;0,(AR98-AM98)/AM98,(IF(AR98=0,"N/A",100%)))</f>
        <v>-0.5</v>
      </c>
    </row>
    <row r="99" spans="1:45" x14ac:dyDescent="0.25">
      <c r="A99" s="488" t="s">
        <v>716</v>
      </c>
      <c r="B99" s="1769">
        <f>+'NEW Summer CHP by DISC '!B99/15</f>
        <v>0.66666666666666663</v>
      </c>
      <c r="C99" s="1769">
        <f>+'NEW Summer CHP by DISC '!C99/15</f>
        <v>10.4</v>
      </c>
      <c r="D99" s="1769">
        <f>+'NEW Summer CHP by DISC '!D99/12</f>
        <v>0</v>
      </c>
      <c r="E99" s="1723">
        <f>SUM(B99:D99)</f>
        <v>11.066666666666666</v>
      </c>
      <c r="F99" s="1769">
        <f>+'NEW Summer CHP by DISC '!F99/15</f>
        <v>0</v>
      </c>
      <c r="G99" s="1769">
        <f>+'NEW Summer CHP by DISC '!G99/15</f>
        <v>7.0666666666666664</v>
      </c>
      <c r="H99" s="1769">
        <f>+'NEW Summer CHP by DISC '!H99/12</f>
        <v>0</v>
      </c>
      <c r="I99" s="1724">
        <f>SUM(F99:H99)</f>
        <v>7.0666666666666664</v>
      </c>
      <c r="J99" s="491">
        <f>IF(E99&gt;0,(I99-E99)/E99,(IF(I99=0,"N/A",100%)))</f>
        <v>-0.36144578313253012</v>
      </c>
      <c r="K99" s="1769">
        <f>+'NEW Summer CHP by DISC '!K99/15</f>
        <v>1</v>
      </c>
      <c r="L99" s="1769">
        <f>+'NEW Summer CHP by DISC '!L99/15</f>
        <v>3.1333333333333333</v>
      </c>
      <c r="M99" s="1769">
        <f>+'NEW Summer CHP by DISC '!M99/12</f>
        <v>0</v>
      </c>
      <c r="N99" s="1724">
        <f>SUM(K99:M99)</f>
        <v>4.1333333333333329</v>
      </c>
      <c r="O99" s="1679">
        <f>IF(I99&gt;0,(N99-I99)/I99,(IF(N99=0,"N/A",100%)))</f>
        <v>-0.41509433962264158</v>
      </c>
      <c r="P99" s="1769">
        <f>+'NEW Summer CHP by DISC '!P99/15</f>
        <v>3.8</v>
      </c>
      <c r="Q99" s="1769">
        <f>+'NEW Summer CHP by DISC '!Q99/15</f>
        <v>5.4</v>
      </c>
      <c r="R99" s="1769">
        <f>+'NEW Summer CHP by DISC '!R99/12</f>
        <v>0</v>
      </c>
      <c r="S99" s="1724">
        <f>SUM(P99:R99)</f>
        <v>9.1999999999999993</v>
      </c>
      <c r="T99" s="491">
        <f>IF(N99&gt;0,(S99-N99)/N99,(IF(S99=0,"N/A",100%)))</f>
        <v>1.2258064516129032</v>
      </c>
      <c r="U99" s="1769">
        <f>+'NEW Summer CHP by DISC '!U99/15</f>
        <v>0.6</v>
      </c>
      <c r="V99" s="1769">
        <f>+'NEW Summer CHP by DISC '!V99/15</f>
        <v>4.5333333333333332</v>
      </c>
      <c r="W99" s="1769">
        <f>+'NEW Summer CHP by DISC '!W99/12</f>
        <v>0</v>
      </c>
      <c r="X99" s="1724">
        <f>SUM(U99:W99)</f>
        <v>5.1333333333333329</v>
      </c>
      <c r="Y99" s="491">
        <f>IF(S99&gt;0,(X99-S99)/S99,(IF(X99=0,"N/A",100%)))</f>
        <v>-0.4420289855072464</v>
      </c>
      <c r="Z99" s="1769">
        <f>+'NEW Summer CHP by DISC '!Z99/15</f>
        <v>0</v>
      </c>
      <c r="AA99" s="1769">
        <f>+'NEW Summer CHP by DISC '!AA99/15</f>
        <v>12.333333333333334</v>
      </c>
      <c r="AB99" s="1769">
        <f>+'NEW Summer CHP by DISC '!AB99/12</f>
        <v>0</v>
      </c>
      <c r="AC99" s="1724">
        <f>SUM(Z99:AB99)</f>
        <v>12.333333333333334</v>
      </c>
      <c r="AD99" s="491">
        <f>IF(X99&gt;0,(AC99-X99)/X99,(IF(AC99=0,"N/A",100%)))</f>
        <v>1.4025974025974028</v>
      </c>
      <c r="AE99" s="1788">
        <f>+'NEW Summer CHP by DISC '!AE99/15</f>
        <v>1.8</v>
      </c>
      <c r="AF99" s="1769">
        <f>+'NEW Summer CHP by DISC '!AF99/15</f>
        <v>5</v>
      </c>
      <c r="AG99" s="1769">
        <f>+'NEW Summer CHP by DISC '!AG99/12</f>
        <v>0</v>
      </c>
      <c r="AH99" s="1724">
        <f>SUM(AE99:AG99)</f>
        <v>6.8</v>
      </c>
      <c r="AI99" s="491">
        <f>IF(AC99&gt;0,(AH99-AC99)/AC99,(IF(AH99=0,"N/A",100%)))</f>
        <v>-0.44864864864864867</v>
      </c>
      <c r="AJ99" s="1788">
        <f>+'NEW Summer CHP by DISC '!AJ99/15</f>
        <v>2.4</v>
      </c>
      <c r="AK99" s="1769">
        <f>+'NEW Summer CHP by DISC '!AK99/15</f>
        <v>5.2</v>
      </c>
      <c r="AL99" s="1769">
        <f>+'NEW Summer CHP by DISC '!AL99/12</f>
        <v>0</v>
      </c>
      <c r="AM99" s="1724">
        <f>SUM(AJ99:AL99)</f>
        <v>7.6</v>
      </c>
      <c r="AN99" s="491">
        <f>IF(AH99&gt;0,(AM99-AH99)/AH99,(IF(AM99=0,"N/A",100%)))</f>
        <v>0.11764705882352938</v>
      </c>
      <c r="AO99" s="1788">
        <f>+'NEW Summer CHP by DISC '!AO99/15</f>
        <v>0.4</v>
      </c>
      <c r="AP99" s="1769">
        <f>+'NEW Summer CHP by DISC '!AP99/15</f>
        <v>1</v>
      </c>
      <c r="AQ99" s="1769">
        <f>+'NEW Summer CHP by DISC '!AQ99/12</f>
        <v>0</v>
      </c>
      <c r="AR99" s="1724">
        <f>SUM(AO99:AQ99)</f>
        <v>1.4</v>
      </c>
      <c r="AS99" s="491">
        <f>IF(AM99&gt;0,(AR99-AM99)/AM99,(IF(AR99=0,"N/A",100%)))</f>
        <v>-0.81578947368421051</v>
      </c>
    </row>
    <row r="100" spans="1:45" x14ac:dyDescent="0.25">
      <c r="A100" s="488" t="s">
        <v>1051</v>
      </c>
      <c r="B100" s="1769">
        <f>+'NEW Summer CHP by DISC '!B100/15</f>
        <v>0</v>
      </c>
      <c r="C100" s="1769">
        <f>+'NEW Summer CHP by DISC '!C100/15</f>
        <v>2.4666666666666668</v>
      </c>
      <c r="D100" s="1769">
        <f>+'NEW Summer CHP by DISC '!D100/12</f>
        <v>0</v>
      </c>
      <c r="E100" s="1723">
        <f>SUM(B100:D100)</f>
        <v>2.4666666666666668</v>
      </c>
      <c r="F100" s="1769">
        <f>+'NEW Summer CHP by DISC '!F100/15</f>
        <v>0</v>
      </c>
      <c r="G100" s="1769">
        <f>+'NEW Summer CHP by DISC '!G100/15</f>
        <v>2.8</v>
      </c>
      <c r="H100" s="1769">
        <f>+'NEW Summer CHP by DISC '!H100/12</f>
        <v>0</v>
      </c>
      <c r="I100" s="1724">
        <f>SUM(F100:H100)</f>
        <v>2.8</v>
      </c>
      <c r="J100" s="491">
        <f>IF(E100&gt;0,(I100-E100)/E100,(IF(I100=0,"N/A",100%)))</f>
        <v>0.135135135135135</v>
      </c>
      <c r="K100" s="1769">
        <f>+'NEW Summer CHP by DISC '!K100/15</f>
        <v>0</v>
      </c>
      <c r="L100" s="1769">
        <f>+'NEW Summer CHP by DISC '!L100/15</f>
        <v>4.2</v>
      </c>
      <c r="M100" s="1769">
        <f>+'NEW Summer CHP by DISC '!M100/12</f>
        <v>0</v>
      </c>
      <c r="N100" s="1724">
        <f>SUM(K100:M100)</f>
        <v>4.2</v>
      </c>
      <c r="O100" s="1679">
        <f>IF(I100&gt;0,(N100-I100)/I100,(IF(N100=0,"N/A",100%)))</f>
        <v>0.50000000000000011</v>
      </c>
      <c r="P100" s="1769">
        <f>+'NEW Summer CHP by DISC '!P100/15</f>
        <v>0</v>
      </c>
      <c r="Q100" s="1769">
        <f>+'NEW Summer CHP by DISC '!Q100/15</f>
        <v>3.4</v>
      </c>
      <c r="R100" s="1769">
        <f>+'NEW Summer CHP by DISC '!R100/12</f>
        <v>0</v>
      </c>
      <c r="S100" s="1724">
        <f>SUM(P100:R100)</f>
        <v>3.4</v>
      </c>
      <c r="T100" s="491">
        <f>IF(N100&gt;0,(S100-N100)/N100,(IF(S100=0,"N/A",100%)))</f>
        <v>-0.19047619047619052</v>
      </c>
      <c r="U100" s="1769">
        <f>+'NEW Summer CHP by DISC '!U100/15</f>
        <v>0</v>
      </c>
      <c r="V100" s="1769">
        <f>+'NEW Summer CHP by DISC '!V100/15</f>
        <v>5</v>
      </c>
      <c r="W100" s="1769">
        <f>+'NEW Summer CHP by DISC '!W100/12</f>
        <v>0</v>
      </c>
      <c r="X100" s="1724">
        <f>SUM(U100:W100)</f>
        <v>5</v>
      </c>
      <c r="Y100" s="491">
        <f>IF(S100&gt;0,(X100-S100)/S100,(IF(X100=0,"N/A",100%)))</f>
        <v>0.4705882352941177</v>
      </c>
      <c r="Z100" s="1769">
        <f>+'NEW Summer CHP by DISC '!Z100/15</f>
        <v>0</v>
      </c>
      <c r="AA100" s="1769">
        <f>+'NEW Summer CHP by DISC '!AA100/15</f>
        <v>1</v>
      </c>
      <c r="AB100" s="1769">
        <f>+'NEW Summer CHP by DISC '!AB100/12</f>
        <v>0</v>
      </c>
      <c r="AC100" s="1724">
        <f>SUM(Z100:AB100)</f>
        <v>1</v>
      </c>
      <c r="AD100" s="491">
        <f>IF(X100&gt;0,(AC100-X100)/X100,(IF(AC100=0,"N/A",100%)))</f>
        <v>-0.8</v>
      </c>
      <c r="AE100" s="1788">
        <f>+'NEW Summer CHP by DISC '!AE100/15</f>
        <v>0</v>
      </c>
      <c r="AF100" s="1769">
        <f>+'NEW Summer CHP by DISC '!AF100/15</f>
        <v>3.6</v>
      </c>
      <c r="AG100" s="1769">
        <f>+'NEW Summer CHP by DISC '!AG100/12</f>
        <v>0</v>
      </c>
      <c r="AH100" s="1724">
        <f>SUM(AE100:AG100)</f>
        <v>3.6</v>
      </c>
      <c r="AI100" s="491">
        <f>IF(AC100&gt;0,(AH100-AC100)/AC100,(IF(AH100=0,"N/A",100%)))</f>
        <v>2.6</v>
      </c>
      <c r="AJ100" s="1788">
        <f>+'NEW Summer CHP by DISC '!AJ100/15</f>
        <v>0</v>
      </c>
      <c r="AK100" s="1769">
        <f>+'NEW Summer CHP by DISC '!AK100/15</f>
        <v>1.4</v>
      </c>
      <c r="AL100" s="1769">
        <f>+'NEW Summer CHP by DISC '!AL100/12</f>
        <v>0</v>
      </c>
      <c r="AM100" s="1724">
        <f>SUM(AJ100:AL100)</f>
        <v>1.4</v>
      </c>
      <c r="AN100" s="491">
        <f>IF(AH100&gt;0,(AM100-AH100)/AH100,(IF(AM100=0,"N/A",100%)))</f>
        <v>-0.61111111111111116</v>
      </c>
      <c r="AO100" s="1788">
        <f>+'NEW Summer CHP by DISC '!AO100/15</f>
        <v>1.3333333333333333</v>
      </c>
      <c r="AP100" s="1769">
        <f>+'NEW Summer CHP by DISC '!AP100/15</f>
        <v>2.4</v>
      </c>
      <c r="AQ100" s="1769">
        <f>+'NEW Summer CHP by DISC '!AQ100/12</f>
        <v>0</v>
      </c>
      <c r="AR100" s="1724">
        <f>SUM(AO100:AQ100)</f>
        <v>3.7333333333333334</v>
      </c>
      <c r="AS100" s="491">
        <f>IF(AM100&gt;0,(AR100-AM100)/AM100,(IF(AR100=0,"N/A",100%)))</f>
        <v>1.666666666666667</v>
      </c>
    </row>
    <row r="101" spans="1:45" s="484" customFormat="1" ht="13.8" x14ac:dyDescent="0.25">
      <c r="A101" s="492" t="s">
        <v>1015</v>
      </c>
      <c r="B101" s="1259">
        <f t="shared" ref="B101:I101" si="104">+B98+B99+B100</f>
        <v>0.66666666666666663</v>
      </c>
      <c r="C101" s="1259">
        <f t="shared" si="104"/>
        <v>12.866666666666667</v>
      </c>
      <c r="D101" s="1259">
        <f t="shared" si="104"/>
        <v>0</v>
      </c>
      <c r="E101" s="495">
        <f t="shared" si="104"/>
        <v>13.533333333333333</v>
      </c>
      <c r="F101" s="1259">
        <f t="shared" si="104"/>
        <v>0</v>
      </c>
      <c r="G101" s="1259">
        <f t="shared" si="104"/>
        <v>9.8666666666666671</v>
      </c>
      <c r="H101" s="1259">
        <f t="shared" si="104"/>
        <v>0</v>
      </c>
      <c r="I101" s="495">
        <f t="shared" si="104"/>
        <v>9.8666666666666671</v>
      </c>
      <c r="J101" s="496">
        <f>IF(E101&gt;0,(I101-E101)/E101,(IF(I101=0,"N/A",100%)))</f>
        <v>-0.27093596059113295</v>
      </c>
      <c r="K101" s="1259">
        <f>+K98+K99+K100</f>
        <v>1</v>
      </c>
      <c r="L101" s="1259">
        <f>+L98+L99+L100</f>
        <v>7.3333333333333339</v>
      </c>
      <c r="M101" s="1259">
        <f>+M98+M99+M100</f>
        <v>0</v>
      </c>
      <c r="N101" s="495">
        <f>+N98+N99+N100</f>
        <v>8.3333333333333321</v>
      </c>
      <c r="O101" s="1772">
        <f>IF(I101&gt;0,(N101-I101)/I101,(IF(N101=0,"N/A",100%)))</f>
        <v>-0.15540540540540557</v>
      </c>
      <c r="P101" s="1259">
        <f>+P98+P99+P100</f>
        <v>3.8</v>
      </c>
      <c r="Q101" s="1259">
        <f>+Q98+Q99+Q100</f>
        <v>8.8000000000000007</v>
      </c>
      <c r="R101" s="1259">
        <f>+R98+R99+R100</f>
        <v>0</v>
      </c>
      <c r="S101" s="495">
        <f>+S98+S99+S100</f>
        <v>12.6</v>
      </c>
      <c r="T101" s="496">
        <f>IF(N101&gt;0,(S101-N101)/N101,(IF(S101=0,"N/A",100%)))</f>
        <v>0.51200000000000012</v>
      </c>
      <c r="U101" s="1259">
        <f>+U98+U99+U100</f>
        <v>0.6</v>
      </c>
      <c r="V101" s="1259">
        <f>+V98+V99+V100</f>
        <v>9.5333333333333332</v>
      </c>
      <c r="W101" s="1259">
        <f>+W98+W99+W100</f>
        <v>0</v>
      </c>
      <c r="X101" s="495">
        <f>+X98+X99+X100</f>
        <v>10.133333333333333</v>
      </c>
      <c r="Y101" s="496">
        <f>IF(S101&gt;0,(X101-S101)/S101,(IF(X101=0,"N/A",100%)))</f>
        <v>-0.19576719576719578</v>
      </c>
      <c r="Z101" s="1259">
        <f>+Z98+Z99+Z100</f>
        <v>0</v>
      </c>
      <c r="AA101" s="1259">
        <f>+AA98+AA99+AA100</f>
        <v>13.333333333333334</v>
      </c>
      <c r="AB101" s="1259">
        <f>+AB98+AB99+AB100</f>
        <v>0</v>
      </c>
      <c r="AC101" s="495">
        <f>+AC98+AC99+AC100</f>
        <v>13.333333333333334</v>
      </c>
      <c r="AD101" s="496">
        <f>IF(X101&gt;0,(AC101-X101)/X101,(IF(AC101=0,"N/A",100%)))</f>
        <v>0.31578947368421062</v>
      </c>
      <c r="AE101" s="1025">
        <f>+AE98+AE99+AE100</f>
        <v>1.8</v>
      </c>
      <c r="AF101" s="1259">
        <f>+AF98+AF99+AF100</f>
        <v>8.6</v>
      </c>
      <c r="AG101" s="1259">
        <f>+AG98+AG99+AG100</f>
        <v>1</v>
      </c>
      <c r="AH101" s="495">
        <f>+AH98+AH99+AH100</f>
        <v>11.4</v>
      </c>
      <c r="AI101" s="496">
        <f>IF(AC101&gt;0,(AH101-AC101)/AC101,(IF(AH101=0,"N/A",100%)))</f>
        <v>-0.14500000000000002</v>
      </c>
      <c r="AJ101" s="1025">
        <f>+AJ98+AJ99+AJ100</f>
        <v>2.4</v>
      </c>
      <c r="AK101" s="1259">
        <f>+AK98+AK99+AK100</f>
        <v>6.6</v>
      </c>
      <c r="AL101" s="1259">
        <f>+AL98+AL99+AL100</f>
        <v>1</v>
      </c>
      <c r="AM101" s="495">
        <f>+AM98+AM99+AM100</f>
        <v>10</v>
      </c>
      <c r="AN101" s="496">
        <f>IF(AH101&gt;0,(AM101-AH101)/AH101,(IF(AM101=0,"N/A",100%)))</f>
        <v>-0.12280701754385967</v>
      </c>
      <c r="AO101" s="1025">
        <f>+AO98+AO99+AO100</f>
        <v>1.7333333333333334</v>
      </c>
      <c r="AP101" s="1259">
        <f>+AP98+AP99+AP100</f>
        <v>3.4</v>
      </c>
      <c r="AQ101" s="1259">
        <f>+AQ98+AQ99+AQ100</f>
        <v>0.5</v>
      </c>
      <c r="AR101" s="495">
        <f>+AR98+AR99+AR100</f>
        <v>5.6333333333333329</v>
      </c>
      <c r="AS101" s="496">
        <f>IF(AM101&gt;0,(AR101-AM101)/AM101,(IF(AR101=0,"N/A",100%)))</f>
        <v>-0.4366666666666667</v>
      </c>
    </row>
    <row r="102" spans="1:45" s="502" customFormat="1" ht="16.2" thickBot="1" x14ac:dyDescent="0.35">
      <c r="A102" s="497" t="s">
        <v>437</v>
      </c>
      <c r="B102" s="499">
        <f t="shared" ref="B102:I102" si="105">+B85+B89+B96+B101</f>
        <v>52.333333333333329</v>
      </c>
      <c r="C102" s="499">
        <f t="shared" si="105"/>
        <v>17.066666666666666</v>
      </c>
      <c r="D102" s="499">
        <f t="shared" si="105"/>
        <v>4.75</v>
      </c>
      <c r="E102" s="773">
        <f t="shared" si="105"/>
        <v>74.150000000000006</v>
      </c>
      <c r="F102" s="774">
        <f t="shared" si="105"/>
        <v>65.533333333333331</v>
      </c>
      <c r="G102" s="499">
        <f t="shared" si="105"/>
        <v>17.133333333333333</v>
      </c>
      <c r="H102" s="499">
        <f t="shared" si="105"/>
        <v>3.5</v>
      </c>
      <c r="I102" s="499">
        <f t="shared" si="105"/>
        <v>86.166666666666686</v>
      </c>
      <c r="J102" s="501">
        <f>IF(E102&gt;0,(I102-E102)/E102,(IF(I102=0,"N/A",100%)))</f>
        <v>0.1620588896381211</v>
      </c>
      <c r="K102" s="499">
        <f t="shared" ref="K102:S102" si="106">+K85+K89+K96+K101</f>
        <v>70.266666666666666</v>
      </c>
      <c r="L102" s="499">
        <f t="shared" si="106"/>
        <v>9.4</v>
      </c>
      <c r="M102" s="499">
        <f t="shared" si="106"/>
        <v>5.25</v>
      </c>
      <c r="N102" s="499">
        <f t="shared" si="106"/>
        <v>84.916666666666671</v>
      </c>
      <c r="O102" s="501">
        <f>IF(I102&gt;0,(N102-I102)/I102,(IF(N102=0,"N/A",100%)))</f>
        <v>-1.4506769825918924E-2</v>
      </c>
      <c r="P102" s="498">
        <f t="shared" si="106"/>
        <v>68.066666666666663</v>
      </c>
      <c r="Q102" s="499">
        <f t="shared" si="106"/>
        <v>12.266666666666667</v>
      </c>
      <c r="R102" s="499">
        <f t="shared" si="106"/>
        <v>3.75</v>
      </c>
      <c r="S102" s="499">
        <f t="shared" si="106"/>
        <v>84.083333333333329</v>
      </c>
      <c r="T102" s="501">
        <f>IF(N102&gt;0,(S102-N102)/N102,(IF(S102=0,"N/A",100%)))</f>
        <v>-9.8135426889108084E-3</v>
      </c>
      <c r="U102" s="499">
        <f>+U85+U89+U96+U101</f>
        <v>66.266666666666666</v>
      </c>
      <c r="V102" s="499">
        <f>+V85+V89+V96+V101</f>
        <v>10.333333333333334</v>
      </c>
      <c r="W102" s="499">
        <f>+W85+W89+W96+W101</f>
        <v>5.75</v>
      </c>
      <c r="X102" s="499">
        <f>+X85+X89+X96+X101</f>
        <v>82.35</v>
      </c>
      <c r="Y102" s="501">
        <f>IF(S102&gt;0,(X102-S102)/S102,(IF(X102=0,"N/A",100%)))</f>
        <v>-2.0614469772051548E-2</v>
      </c>
      <c r="Z102" s="498">
        <f>+Z85+Z89+Z96+Z101</f>
        <v>27.933333333333337</v>
      </c>
      <c r="AA102" s="499">
        <f>+AA85+AA89+AA96+AA101</f>
        <v>37.733333333333334</v>
      </c>
      <c r="AB102" s="499">
        <f>+AB85+AB89+AB96+AB101</f>
        <v>3</v>
      </c>
      <c r="AC102" s="499">
        <f>+AC85+AC89+AC96+AC101</f>
        <v>68.666666666666671</v>
      </c>
      <c r="AD102" s="501">
        <f>IF(X102&gt;0,(AC102-X102)/X102,(IF(AC102=0,"N/A",100%)))</f>
        <v>-0.16616069621534091</v>
      </c>
      <c r="AE102" s="774">
        <f>+AE85+AE89+AE96+AE101</f>
        <v>45.066666666666663</v>
      </c>
      <c r="AF102" s="499">
        <f>+AF85+AF89+AF96+AF101</f>
        <v>8.6</v>
      </c>
      <c r="AG102" s="499">
        <f>+AG85+AG89+AG96+AG101</f>
        <v>4.5</v>
      </c>
      <c r="AH102" s="499">
        <f>+AH85+AH89+AH96+AH101</f>
        <v>58.166666666666664</v>
      </c>
      <c r="AI102" s="501">
        <f>IF(AC102&gt;0,(AH102-AC102)/AC102,(IF(AH102=0,"N/A",100%)))</f>
        <v>-0.1529126213592234</v>
      </c>
      <c r="AJ102" s="774">
        <f>+AJ85+AJ89+AJ96+AJ101</f>
        <v>42.133333333333333</v>
      </c>
      <c r="AK102" s="499">
        <f>+AK85+AK89+AK96+AK101</f>
        <v>6.6</v>
      </c>
      <c r="AL102" s="499">
        <f>+AL85+AL89+AL96+AL101</f>
        <v>5</v>
      </c>
      <c r="AM102" s="499">
        <f>+AM85+AM89+AM96+AM101</f>
        <v>53.733333333333334</v>
      </c>
      <c r="AN102" s="501">
        <f>IF(AH102&gt;0,(AM102-AH102)/AH102,(IF(AM102=0,"N/A",100%)))</f>
        <v>-7.621776504297989E-2</v>
      </c>
      <c r="AO102" s="774">
        <f>+AO85+AO89+AO96+AO101</f>
        <v>38.06666666666667</v>
      </c>
      <c r="AP102" s="499">
        <f>+AP85+AP89+AP96+AP101</f>
        <v>4.5999999999999996</v>
      </c>
      <c r="AQ102" s="499">
        <f>+AQ85+AQ89+AQ96+AQ101</f>
        <v>2.5</v>
      </c>
      <c r="AR102" s="499">
        <f>+AR85+AR89+AR96+AR101</f>
        <v>45.166666666666664</v>
      </c>
      <c r="AS102" s="501">
        <f>IF(AM102&gt;0,(AR102-AM102)/AM102,(IF(AR102=0,"N/A",100%)))</f>
        <v>-0.15942928039702239</v>
      </c>
    </row>
    <row r="103" spans="1:45" ht="14.25" customHeight="1" thickTop="1" x14ac:dyDescent="0.25">
      <c r="A103" s="507"/>
      <c r="B103" s="1738"/>
      <c r="C103" s="1738"/>
      <c r="D103" s="1738"/>
      <c r="E103" s="1738"/>
      <c r="F103" s="1738"/>
      <c r="G103" s="1738"/>
      <c r="H103" s="1738"/>
      <c r="I103" s="1738"/>
      <c r="J103" s="507"/>
      <c r="K103" s="1738"/>
      <c r="L103" s="1738"/>
      <c r="M103" s="1738"/>
      <c r="N103" s="1738"/>
      <c r="O103" s="1738"/>
      <c r="P103" s="1738"/>
      <c r="Q103" s="1738"/>
      <c r="R103" s="1738"/>
      <c r="S103" s="1738"/>
      <c r="T103" s="504"/>
      <c r="U103" s="1738"/>
      <c r="V103" s="1738"/>
      <c r="W103" s="1738"/>
      <c r="X103" s="1738"/>
      <c r="Y103" s="504"/>
    </row>
    <row r="104" spans="1:45" ht="14.25" customHeight="1" thickBot="1" x14ac:dyDescent="0.3">
      <c r="A104" s="507"/>
      <c r="B104" s="1738"/>
      <c r="C104" s="1738"/>
      <c r="D104" s="1738"/>
      <c r="E104" s="1738"/>
      <c r="F104" s="1738"/>
      <c r="G104" s="1738"/>
      <c r="H104" s="1738"/>
      <c r="I104" s="1738"/>
      <c r="J104" s="507"/>
      <c r="K104" s="1738"/>
      <c r="L104" s="1738"/>
      <c r="M104" s="1738"/>
      <c r="N104" s="1738"/>
      <c r="O104" s="1738"/>
      <c r="P104" s="1738"/>
      <c r="Q104" s="1738"/>
      <c r="R104" s="1738"/>
      <c r="S104" s="1738"/>
      <c r="T104" s="504"/>
      <c r="U104" s="1738"/>
      <c r="V104" s="1738"/>
      <c r="W104" s="1738"/>
      <c r="X104" s="1738"/>
      <c r="Y104" s="504"/>
    </row>
    <row r="105" spans="1:45" ht="13.8" thickTop="1" x14ac:dyDescent="0.25">
      <c r="A105" s="711" t="s">
        <v>984</v>
      </c>
      <c r="B105" s="1781"/>
      <c r="C105" s="1782"/>
      <c r="D105" s="1782"/>
      <c r="E105" s="1783"/>
      <c r="F105" s="1784"/>
      <c r="G105" s="1782"/>
      <c r="H105" s="1782"/>
      <c r="I105" s="1782"/>
      <c r="J105" s="1007"/>
      <c r="K105" s="1781"/>
      <c r="L105" s="1782"/>
      <c r="M105" s="1782"/>
      <c r="N105" s="1785"/>
      <c r="O105" s="1786"/>
      <c r="P105" s="1781"/>
      <c r="Q105" s="1782"/>
      <c r="R105" s="1782"/>
      <c r="S105" s="1782"/>
      <c r="T105" s="1786"/>
      <c r="U105" s="1781"/>
      <c r="V105" s="1782"/>
      <c r="W105" s="1782"/>
      <c r="X105" s="1782"/>
      <c r="Y105" s="1783"/>
      <c r="Z105" s="1784"/>
      <c r="AA105" s="1782"/>
      <c r="AB105" s="1782"/>
      <c r="AC105" s="1782"/>
      <c r="AD105" s="1783"/>
      <c r="AE105" s="1784"/>
      <c r="AF105" s="1782"/>
      <c r="AG105" s="1782"/>
      <c r="AH105" s="1782"/>
      <c r="AI105" s="1783"/>
      <c r="AJ105" s="1784"/>
      <c r="AK105" s="1782"/>
      <c r="AL105" s="1782"/>
      <c r="AM105" s="1782"/>
      <c r="AN105" s="1787"/>
      <c r="AO105" s="1784"/>
      <c r="AP105" s="1782"/>
      <c r="AQ105" s="1782"/>
      <c r="AR105" s="1782"/>
      <c r="AS105" s="1787"/>
    </row>
    <row r="106" spans="1:45" x14ac:dyDescent="0.25">
      <c r="A106" s="488" t="s">
        <v>1052</v>
      </c>
      <c r="B106" s="1788">
        <f>+'NEW Summer CHP by DISC '!B106/15</f>
        <v>0</v>
      </c>
      <c r="C106" s="1769">
        <f>+'NEW Summer CHP by DISC '!C106/15</f>
        <v>0</v>
      </c>
      <c r="D106" s="1769">
        <f>+'NEW Summer CHP by DISC '!D106/12</f>
        <v>0</v>
      </c>
      <c r="E106" s="1770">
        <f>SUM(B106:D106)</f>
        <v>0</v>
      </c>
      <c r="F106" s="1769">
        <f>+'NEW Summer CHP by DISC '!F106/15</f>
        <v>0</v>
      </c>
      <c r="G106" s="1769">
        <f>+'NEW Summer CHP by DISC '!G106/15</f>
        <v>0</v>
      </c>
      <c r="H106" s="1769">
        <f>+'NEW Summer CHP by DISC '!H106/12</f>
        <v>0</v>
      </c>
      <c r="I106" s="1769">
        <f>SUM(F106:H106)</f>
        <v>0</v>
      </c>
      <c r="J106" s="1789" t="str">
        <f t="shared" ref="J106:J111" si="107">IF(E106&gt;0,(I106-E106)/E106,(IF(I106=0,"N/A",100%)))</f>
        <v>N/A</v>
      </c>
      <c r="K106" s="1788">
        <f>+'NEW Summer CHP by DISC '!K106/15</f>
        <v>0</v>
      </c>
      <c r="L106" s="1769">
        <f>+'NEW Summer CHP by DISC '!L106/15</f>
        <v>0</v>
      </c>
      <c r="M106" s="1769">
        <f>+'NEW Summer CHP by DISC '!M106/12</f>
        <v>0</v>
      </c>
      <c r="N106" s="1790">
        <f>SUM(K106:M106)</f>
        <v>0</v>
      </c>
      <c r="O106" s="491" t="str">
        <f t="shared" ref="O106:O111" si="108">IF(I106&gt;0,(N106-I106)/I106,(IF(N106=0,"N/A",100%)))</f>
        <v>N/A</v>
      </c>
      <c r="P106" s="1769">
        <f>+'NEW Summer CHP by DISC '!P106/15</f>
        <v>0</v>
      </c>
      <c r="Q106" s="1769">
        <f>+'NEW Summer CHP by DISC '!Q106/15</f>
        <v>0</v>
      </c>
      <c r="R106" s="1769">
        <f>+'NEW Summer CHP by DISC '!R106/12</f>
        <v>0</v>
      </c>
      <c r="S106" s="1769">
        <f>SUM(P106:R106)</f>
        <v>0</v>
      </c>
      <c r="T106" s="1789" t="str">
        <f t="shared" ref="T106:T111" si="109">IF(N106&gt;0,(S106-N106)/N106,(IF(S106=0,"N/A",100%)))</f>
        <v>N/A</v>
      </c>
      <c r="U106" s="1788">
        <f>+'NEW Summer CHP by DISC '!U106/15</f>
        <v>0</v>
      </c>
      <c r="V106" s="1769">
        <f>+'NEW Summer CHP by DISC '!V106/15</f>
        <v>0</v>
      </c>
      <c r="W106" s="1769">
        <f>+'NEW Summer CHP by DISC '!W106/12</f>
        <v>0</v>
      </c>
      <c r="X106" s="1769">
        <f>SUM(U106:W106)</f>
        <v>0</v>
      </c>
      <c r="Y106" s="505" t="str">
        <f t="shared" ref="Y106:Y111" si="110">IF(S106&gt;0,(X106-S106)/S106,(IF(X106=0,"N/A",100%)))</f>
        <v>N/A</v>
      </c>
      <c r="Z106" s="1769">
        <f>+'NEW Summer CHP by DISC '!Z106/15</f>
        <v>0</v>
      </c>
      <c r="AA106" s="1769">
        <f>+'NEW Summer CHP by DISC '!AA106/15</f>
        <v>0</v>
      </c>
      <c r="AB106" s="1769">
        <f>+'NEW Summer CHP by DISC '!AB106/12</f>
        <v>0</v>
      </c>
      <c r="AC106" s="1769">
        <f>SUM(Z106:AB106)</f>
        <v>0</v>
      </c>
      <c r="AD106" s="491" t="str">
        <f t="shared" ref="AD106:AD111" si="111">IF(X106&gt;0,(AC106-X106)/X106,(IF(AC106=0,"N/A",100%)))</f>
        <v>N/A</v>
      </c>
      <c r="AE106" s="1769">
        <f>+'NEW Summer CHP by DISC '!AE106/15</f>
        <v>0</v>
      </c>
      <c r="AF106" s="1769">
        <f>+'NEW Summer CHP by DISC '!AF106/15</f>
        <v>0</v>
      </c>
      <c r="AG106" s="1769">
        <f>+'NEW Summer CHP by DISC '!AG106/12</f>
        <v>0</v>
      </c>
      <c r="AH106" s="1769">
        <f>SUM(AE106:AG106)</f>
        <v>0</v>
      </c>
      <c r="AI106" s="505" t="str">
        <f t="shared" ref="AI106:AI111" si="112">IF(AC106&gt;0,(AH106-AC106)/AC106,(IF(AH106=0,"N/A",100%)))</f>
        <v>N/A</v>
      </c>
      <c r="AJ106" s="1769">
        <f>+'NEW Summer CHP by DISC '!AJ106/15</f>
        <v>0</v>
      </c>
      <c r="AK106" s="1769">
        <f>+'NEW Summer CHP by DISC '!AK106/15</f>
        <v>0</v>
      </c>
      <c r="AL106" s="1769">
        <f>+'NEW Summer CHP by DISC '!AL106/12</f>
        <v>0</v>
      </c>
      <c r="AM106" s="1769">
        <f>SUM(AJ106:AL106)</f>
        <v>0</v>
      </c>
      <c r="AN106" s="1682" t="str">
        <f t="shared" ref="AN106:AN111" si="113">IF(AH106&gt;0,(AM106-AH106)/AH106,(IF(AM106=0,"N/A",100%)))</f>
        <v>N/A</v>
      </c>
      <c r="AO106" s="1769">
        <f>+'NEW Summer CHP by DISC '!AO106/15</f>
        <v>0</v>
      </c>
      <c r="AP106" s="1769">
        <f>+'NEW Summer CHP by DISC '!AP106/15</f>
        <v>0</v>
      </c>
      <c r="AQ106" s="1769">
        <f>+'NEW Summer CHP by DISC '!AQ106/12</f>
        <v>0</v>
      </c>
      <c r="AR106" s="1769">
        <f>SUM(AO106:AQ106)</f>
        <v>0</v>
      </c>
      <c r="AS106" s="1682" t="str">
        <f t="shared" ref="AS106:AS111" si="114">IF(AM106&gt;0,(AR106-AM106)/AM106,(IF(AR106=0,"N/A",100%)))</f>
        <v>N/A</v>
      </c>
    </row>
    <row r="107" spans="1:45" x14ac:dyDescent="0.25">
      <c r="A107" s="478" t="s">
        <v>1625</v>
      </c>
      <c r="B107" s="1788">
        <f>+'NEW Summer CHP by DISC '!B107/15</f>
        <v>0</v>
      </c>
      <c r="C107" s="1769">
        <f>+'NEW Summer CHP by DISC '!C107/15</f>
        <v>0</v>
      </c>
      <c r="D107" s="1769">
        <f>+'NEW Summer CHP by DISC '!D107/12</f>
        <v>0</v>
      </c>
      <c r="E107" s="1770">
        <f>SUM(B107:D107)</f>
        <v>0</v>
      </c>
      <c r="F107" s="1769">
        <f>+'NEW Summer CHP by DISC '!F107/15</f>
        <v>0</v>
      </c>
      <c r="G107" s="1769">
        <f>+'NEW Summer CHP by DISC '!G107/15</f>
        <v>0</v>
      </c>
      <c r="H107" s="1769">
        <f>+'NEW Summer CHP by DISC '!H107/12</f>
        <v>0</v>
      </c>
      <c r="I107" s="1769">
        <f>SUM(F107:H107)</f>
        <v>0</v>
      </c>
      <c r="J107" s="1789" t="str">
        <f t="shared" si="107"/>
        <v>N/A</v>
      </c>
      <c r="K107" s="1788">
        <f>+'NEW Summer CHP by DISC '!K107/15</f>
        <v>0</v>
      </c>
      <c r="L107" s="1769">
        <f>+'NEW Summer CHP by DISC '!L107/15</f>
        <v>0</v>
      </c>
      <c r="M107" s="1769">
        <f>+'NEW Summer CHP by DISC '!M107/12</f>
        <v>0</v>
      </c>
      <c r="N107" s="1790">
        <f>SUM(K107:M107)</f>
        <v>0</v>
      </c>
      <c r="O107" s="491" t="str">
        <f t="shared" si="108"/>
        <v>N/A</v>
      </c>
      <c r="P107" s="1769">
        <f>+'NEW Summer CHP by DISC '!P107/15</f>
        <v>0</v>
      </c>
      <c r="Q107" s="1769">
        <f>+'NEW Summer CHP by DISC '!Q107/15</f>
        <v>0</v>
      </c>
      <c r="R107" s="1769">
        <f>+'NEW Summer CHP by DISC '!R107/12</f>
        <v>0</v>
      </c>
      <c r="S107" s="1769">
        <f>SUM(P107:R107)</f>
        <v>0</v>
      </c>
      <c r="T107" s="1789" t="str">
        <f t="shared" si="109"/>
        <v>N/A</v>
      </c>
      <c r="U107" s="1788">
        <f>+'NEW Summer CHP by DISC '!U107/15</f>
        <v>0</v>
      </c>
      <c r="V107" s="1769">
        <f>+'NEW Summer CHP by DISC '!V107/15</f>
        <v>0</v>
      </c>
      <c r="W107" s="1769">
        <f>+'NEW Summer CHP by DISC '!W107/12</f>
        <v>0</v>
      </c>
      <c r="X107" s="1769">
        <f>SUM(U107:W107)</f>
        <v>0</v>
      </c>
      <c r="Y107" s="505" t="str">
        <f t="shared" si="110"/>
        <v>N/A</v>
      </c>
      <c r="Z107" s="1769">
        <f>+'NEW Summer CHP by DISC '!Z107/15</f>
        <v>0</v>
      </c>
      <c r="AA107" s="1769">
        <f>+'NEW Summer CHP by DISC '!AA107/15</f>
        <v>0</v>
      </c>
      <c r="AB107" s="1769">
        <f>+'NEW Summer CHP by DISC '!AB107/12</f>
        <v>0</v>
      </c>
      <c r="AC107" s="1769">
        <f>SUM(Z107:AB107)</f>
        <v>0</v>
      </c>
      <c r="AD107" s="491" t="str">
        <f t="shared" si="111"/>
        <v>N/A</v>
      </c>
      <c r="AE107" s="1769">
        <f>+'NEW Summer CHP by DISC '!AE107/15</f>
        <v>0</v>
      </c>
      <c r="AF107" s="1769">
        <f>+'NEW Summer CHP by DISC '!AF107/15</f>
        <v>0</v>
      </c>
      <c r="AG107" s="1769">
        <f>+'NEW Summer CHP by DISC '!AG107/12</f>
        <v>0</v>
      </c>
      <c r="AH107" s="1769">
        <f>SUM(AE107:AG107)</f>
        <v>0</v>
      </c>
      <c r="AI107" s="505" t="str">
        <f t="shared" si="112"/>
        <v>N/A</v>
      </c>
      <c r="AJ107" s="1769">
        <f>+'NEW Summer CHP by DISC '!AJ107/15</f>
        <v>0</v>
      </c>
      <c r="AK107" s="1769">
        <f>+'NEW Summer CHP by DISC '!AK107/15</f>
        <v>0.4</v>
      </c>
      <c r="AL107" s="1769">
        <f>+'NEW Summer CHP by DISC '!AL107/12</f>
        <v>0</v>
      </c>
      <c r="AM107" s="1769">
        <f>SUM(AJ107:AL107)</f>
        <v>0.4</v>
      </c>
      <c r="AN107" s="1682">
        <f t="shared" si="113"/>
        <v>1</v>
      </c>
      <c r="AO107" s="1769">
        <f>+'NEW Summer CHP by DISC '!AO107/15</f>
        <v>0.6</v>
      </c>
      <c r="AP107" s="1769">
        <f>+'NEW Summer CHP by DISC '!AP107/15</f>
        <v>0.8</v>
      </c>
      <c r="AQ107" s="1769">
        <f>+'NEW Summer CHP by DISC '!AQ107/12</f>
        <v>0</v>
      </c>
      <c r="AR107" s="1769">
        <f>SUM(AO107:AQ107)</f>
        <v>1.4</v>
      </c>
      <c r="AS107" s="1682">
        <f t="shared" si="114"/>
        <v>2.4999999999999996</v>
      </c>
    </row>
    <row r="108" spans="1:45" x14ac:dyDescent="0.25">
      <c r="A108" s="478" t="s">
        <v>1055</v>
      </c>
      <c r="B108" s="1788">
        <f>+'NEW Summer CHP by DISC '!B108/15</f>
        <v>0</v>
      </c>
      <c r="C108" s="1769">
        <f>+'NEW Summer CHP by DISC '!C108/15</f>
        <v>0.4</v>
      </c>
      <c r="D108" s="1769">
        <f>+'NEW Summer CHP by DISC '!D108/12</f>
        <v>0</v>
      </c>
      <c r="E108" s="1770">
        <f>SUM(B108:D108)</f>
        <v>0.4</v>
      </c>
      <c r="F108" s="1769">
        <f>+'NEW Summer CHP by DISC '!F108/15</f>
        <v>0</v>
      </c>
      <c r="G108" s="1769">
        <f>+'NEW Summer CHP by DISC '!G108/15</f>
        <v>0.8</v>
      </c>
      <c r="H108" s="1769">
        <f>+'NEW Summer CHP by DISC '!H108/12</f>
        <v>0</v>
      </c>
      <c r="I108" s="1769">
        <f>SUM(F108:H108)</f>
        <v>0.8</v>
      </c>
      <c r="J108" s="1789">
        <f t="shared" si="107"/>
        <v>1</v>
      </c>
      <c r="K108" s="1788">
        <f>+'NEW Summer CHP by DISC '!K108/15</f>
        <v>0</v>
      </c>
      <c r="L108" s="1769">
        <f>+'NEW Summer CHP by DISC '!L108/15</f>
        <v>0</v>
      </c>
      <c r="M108" s="1769">
        <f>+'NEW Summer CHP by DISC '!M108/12</f>
        <v>0</v>
      </c>
      <c r="N108" s="1790">
        <f>SUM(K108:M108)</f>
        <v>0</v>
      </c>
      <c r="O108" s="505">
        <f t="shared" si="108"/>
        <v>-1</v>
      </c>
      <c r="P108" s="1769">
        <f>+'NEW Summer CHP by DISC '!P108/15</f>
        <v>0</v>
      </c>
      <c r="Q108" s="1769">
        <f>+'NEW Summer CHP by DISC '!Q108/15</f>
        <v>2.4</v>
      </c>
      <c r="R108" s="1769">
        <f>+'NEW Summer CHP by DISC '!R108/12</f>
        <v>0</v>
      </c>
      <c r="S108" s="1769">
        <f>SUM(P108:R108)</f>
        <v>2.4</v>
      </c>
      <c r="T108" s="1789">
        <f t="shared" si="109"/>
        <v>1</v>
      </c>
      <c r="U108" s="1788">
        <f>+'NEW Summer CHP by DISC '!U108/15</f>
        <v>0</v>
      </c>
      <c r="V108" s="1769">
        <f>+'NEW Summer CHP by DISC '!V108/15</f>
        <v>2.1333333333333333</v>
      </c>
      <c r="W108" s="1769">
        <f>+'NEW Summer CHP by DISC '!W108/12</f>
        <v>0</v>
      </c>
      <c r="X108" s="1769">
        <f>SUM(U108:W108)</f>
        <v>2.1333333333333333</v>
      </c>
      <c r="Y108" s="505">
        <f t="shared" si="110"/>
        <v>-0.11111111111111109</v>
      </c>
      <c r="Z108" s="1769">
        <f>+'NEW Summer CHP by DISC '!Z108/15</f>
        <v>0</v>
      </c>
      <c r="AA108" s="1769">
        <f>+'NEW Summer CHP by DISC '!AA108/15</f>
        <v>1</v>
      </c>
      <c r="AB108" s="1769">
        <f>+'NEW Summer CHP by DISC '!AB108/12</f>
        <v>0</v>
      </c>
      <c r="AC108" s="1769">
        <f>SUM(Z108:AB108)</f>
        <v>1</v>
      </c>
      <c r="AD108" s="491">
        <f t="shared" si="111"/>
        <v>-0.53125</v>
      </c>
      <c r="AE108" s="1769">
        <f>+'NEW Summer CHP by DISC '!AE108/15</f>
        <v>0</v>
      </c>
      <c r="AF108" s="1769">
        <f>+'NEW Summer CHP by DISC '!AF108/15</f>
        <v>0.4</v>
      </c>
      <c r="AG108" s="1769">
        <f>+'NEW Summer CHP by DISC '!AG108/12</f>
        <v>0</v>
      </c>
      <c r="AH108" s="1769">
        <f>SUM(AE108:AG108)</f>
        <v>0.4</v>
      </c>
      <c r="AI108" s="505">
        <f t="shared" si="112"/>
        <v>-0.6</v>
      </c>
      <c r="AJ108" s="1769">
        <f>+'NEW Summer CHP by DISC '!AJ108/15</f>
        <v>0</v>
      </c>
      <c r="AK108" s="1769">
        <f>+'NEW Summer CHP by DISC '!AK108/15</f>
        <v>0.2</v>
      </c>
      <c r="AL108" s="1769">
        <f>+'NEW Summer CHP by DISC '!AL108/12</f>
        <v>0</v>
      </c>
      <c r="AM108" s="1769">
        <f>SUM(AJ108:AL108)</f>
        <v>0.2</v>
      </c>
      <c r="AN108" s="1682">
        <f t="shared" si="113"/>
        <v>-0.5</v>
      </c>
      <c r="AO108" s="1769">
        <f>+'NEW Summer CHP by DISC '!AO108/15</f>
        <v>0</v>
      </c>
      <c r="AP108" s="1769">
        <f>+'NEW Summer CHP by DISC '!AP108/15</f>
        <v>0</v>
      </c>
      <c r="AQ108" s="1769">
        <f>+'NEW Summer CHP by DISC '!AQ108/12</f>
        <v>0</v>
      </c>
      <c r="AR108" s="1769">
        <f>SUM(AO108:AQ108)</f>
        <v>0</v>
      </c>
      <c r="AS108" s="1682">
        <f t="shared" si="114"/>
        <v>-1</v>
      </c>
    </row>
    <row r="109" spans="1:45" x14ac:dyDescent="0.25">
      <c r="A109" s="478" t="s">
        <v>1195</v>
      </c>
      <c r="B109" s="1788">
        <f>+'NEW Summer CHP by DISC '!B109/15</f>
        <v>2.1333333333333333</v>
      </c>
      <c r="C109" s="1769">
        <f>+'NEW Summer CHP by DISC '!C109/15</f>
        <v>0</v>
      </c>
      <c r="D109" s="1769">
        <f>+'NEW Summer CHP by DISC '!D109/12</f>
        <v>0</v>
      </c>
      <c r="E109" s="1770">
        <f>SUM(B109:D109)</f>
        <v>2.1333333333333333</v>
      </c>
      <c r="F109" s="1769">
        <f>+'NEW Summer CHP by DISC '!F109/15</f>
        <v>11.266666666666667</v>
      </c>
      <c r="G109" s="1769">
        <f>+'NEW Summer CHP by DISC '!G109/15</f>
        <v>0</v>
      </c>
      <c r="H109" s="1769">
        <f>+'NEW Summer CHP by DISC '!H109/12</f>
        <v>0</v>
      </c>
      <c r="I109" s="1769">
        <f>SUM(F109:H109)</f>
        <v>11.266666666666667</v>
      </c>
      <c r="J109" s="1789">
        <f t="shared" si="107"/>
        <v>4.2812500000000009</v>
      </c>
      <c r="K109" s="1788">
        <f>+'NEW Summer CHP by DISC '!K109/15</f>
        <v>12.266666666666667</v>
      </c>
      <c r="L109" s="1769">
        <f>+'NEW Summer CHP by DISC '!L109/15</f>
        <v>0</v>
      </c>
      <c r="M109" s="1769">
        <f>+'NEW Summer CHP by DISC '!M109/12</f>
        <v>0</v>
      </c>
      <c r="N109" s="1790">
        <f>SUM(K109:M109)</f>
        <v>12.266666666666667</v>
      </c>
      <c r="O109" s="505">
        <f t="shared" si="108"/>
        <v>8.8757396449704137E-2</v>
      </c>
      <c r="P109" s="1769">
        <f>+'NEW Summer CHP by DISC '!P109/15</f>
        <v>11.666666666666666</v>
      </c>
      <c r="Q109" s="1769">
        <f>+'NEW Summer CHP by DISC '!Q109/15</f>
        <v>0</v>
      </c>
      <c r="R109" s="1769">
        <f>+'NEW Summer CHP by DISC '!R109/12</f>
        <v>0</v>
      </c>
      <c r="S109" s="1769">
        <f>SUM(P109:R109)</f>
        <v>11.666666666666666</v>
      </c>
      <c r="T109" s="1789">
        <f t="shared" si="109"/>
        <v>-4.8913043478260983E-2</v>
      </c>
      <c r="U109" s="1788">
        <f>+'NEW Summer CHP by DISC '!U109/15</f>
        <v>4.2666666666666666</v>
      </c>
      <c r="V109" s="1769">
        <f>+'NEW Summer CHP by DISC '!V109/15</f>
        <v>0</v>
      </c>
      <c r="W109" s="1769">
        <f>+'NEW Summer CHP by DISC '!W109/12</f>
        <v>0</v>
      </c>
      <c r="X109" s="1769">
        <f>SUM(U109:W109)</f>
        <v>4.2666666666666666</v>
      </c>
      <c r="Y109" s="505">
        <f t="shared" si="110"/>
        <v>-0.63428571428571423</v>
      </c>
      <c r="Z109" s="1769">
        <f>+'NEW Summer CHP by DISC '!Z109/15</f>
        <v>3.9333333333333331</v>
      </c>
      <c r="AA109" s="1769">
        <f>+'NEW Summer CHP by DISC '!AA109/15</f>
        <v>0</v>
      </c>
      <c r="AB109" s="1769">
        <f>+'NEW Summer CHP by DISC '!AB109/12</f>
        <v>0</v>
      </c>
      <c r="AC109" s="1769">
        <f>SUM(Z109:AB109)</f>
        <v>3.9333333333333331</v>
      </c>
      <c r="AD109" s="491">
        <f t="shared" si="111"/>
        <v>-7.8125000000000042E-2</v>
      </c>
      <c r="AE109" s="1769">
        <f>+'NEW Summer CHP by DISC '!AE109/15</f>
        <v>2.3666666666666667</v>
      </c>
      <c r="AF109" s="1769">
        <f>+'NEW Summer CHP by DISC '!AF109/15</f>
        <v>0</v>
      </c>
      <c r="AG109" s="1769">
        <f>+'NEW Summer CHP by DISC '!AG109/12</f>
        <v>0</v>
      </c>
      <c r="AH109" s="1769">
        <f>SUM(AE109:AG109)</f>
        <v>2.3666666666666667</v>
      </c>
      <c r="AI109" s="505">
        <f t="shared" si="112"/>
        <v>-0.39830508474576265</v>
      </c>
      <c r="AJ109" s="1769">
        <f>+'NEW Summer CHP by DISC '!AJ109/15</f>
        <v>3.0333333333333332</v>
      </c>
      <c r="AK109" s="1769">
        <f>+'NEW Summer CHP by DISC '!AK109/15</f>
        <v>0</v>
      </c>
      <c r="AL109" s="1769">
        <f>+'NEW Summer CHP by DISC '!AL109/12</f>
        <v>0</v>
      </c>
      <c r="AM109" s="1769">
        <f>SUM(AJ109:AL109)</f>
        <v>3.0333333333333332</v>
      </c>
      <c r="AN109" s="1682">
        <f t="shared" si="113"/>
        <v>0.28169014084507038</v>
      </c>
      <c r="AO109" s="1769">
        <f>+'NEW Summer CHP by DISC '!AO109/15</f>
        <v>2.6666666666666665</v>
      </c>
      <c r="AP109" s="1769">
        <f>+'NEW Summer CHP by DISC '!AP109/15</f>
        <v>0</v>
      </c>
      <c r="AQ109" s="1769">
        <f>+'NEW Summer CHP by DISC '!AQ109/12</f>
        <v>0</v>
      </c>
      <c r="AR109" s="1769">
        <f>SUM(AO109:AQ109)</f>
        <v>2.6666666666666665</v>
      </c>
      <c r="AS109" s="1682">
        <f t="shared" si="114"/>
        <v>-0.12087912087912089</v>
      </c>
    </row>
    <row r="110" spans="1:45" x14ac:dyDescent="0.25">
      <c r="A110" s="488" t="s">
        <v>421</v>
      </c>
      <c r="B110" s="1788">
        <f>+'NEW Summer CHP by DISC '!B110/15</f>
        <v>0</v>
      </c>
      <c r="C110" s="1769">
        <f>+'NEW Summer CHP by DISC '!C110/15</f>
        <v>0</v>
      </c>
      <c r="D110" s="1769">
        <f>+'NEW Summer CHP by DISC '!D110/12</f>
        <v>0</v>
      </c>
      <c r="E110" s="1770">
        <f>SUM(B110:D110)</f>
        <v>0</v>
      </c>
      <c r="F110" s="1769">
        <f>+'NEW Summer CHP by DISC '!F110/15</f>
        <v>0.2</v>
      </c>
      <c r="G110" s="1769">
        <f>+'NEW Summer CHP by DISC '!G110/15</f>
        <v>0</v>
      </c>
      <c r="H110" s="1769">
        <f>+'NEW Summer CHP by DISC '!H110/12</f>
        <v>0</v>
      </c>
      <c r="I110" s="1769">
        <f>SUM(F110:H110)</f>
        <v>0.2</v>
      </c>
      <c r="J110" s="1789">
        <f t="shared" si="107"/>
        <v>1</v>
      </c>
      <c r="K110" s="1788">
        <f>+'NEW Summer CHP by DISC '!K110/15</f>
        <v>0</v>
      </c>
      <c r="L110" s="1769">
        <f>+'NEW Summer CHP by DISC '!L110/15</f>
        <v>0</v>
      </c>
      <c r="M110" s="1769">
        <f>+'NEW Summer CHP by DISC '!M110/12</f>
        <v>0</v>
      </c>
      <c r="N110" s="1790">
        <f>SUM(K110:M110)</f>
        <v>0</v>
      </c>
      <c r="O110" s="505">
        <f t="shared" si="108"/>
        <v>-1</v>
      </c>
      <c r="P110" s="1769">
        <f>+'NEW Summer CHP by DISC '!P110/15</f>
        <v>0</v>
      </c>
      <c r="Q110" s="1769">
        <f>+'NEW Summer CHP by DISC '!Q110/15</f>
        <v>0</v>
      </c>
      <c r="R110" s="1769">
        <f>+'NEW Summer CHP by DISC '!R110/12</f>
        <v>0</v>
      </c>
      <c r="S110" s="1769">
        <f>SUM(P110:R110)</f>
        <v>0</v>
      </c>
      <c r="T110" s="1789" t="str">
        <f t="shared" si="109"/>
        <v>N/A</v>
      </c>
      <c r="U110" s="1788">
        <f>+'NEW Summer CHP by DISC '!U110/15</f>
        <v>0</v>
      </c>
      <c r="V110" s="1769">
        <f>+'NEW Summer CHP by DISC '!V110/15</f>
        <v>0</v>
      </c>
      <c r="W110" s="1769">
        <f>+'NEW Summer CHP by DISC '!W110/12</f>
        <v>0</v>
      </c>
      <c r="X110" s="1769">
        <f>SUM(U110:W110)</f>
        <v>0</v>
      </c>
      <c r="Y110" s="505" t="str">
        <f t="shared" si="110"/>
        <v>N/A</v>
      </c>
      <c r="Z110" s="1769">
        <f>+'NEW Summer CHP by DISC '!Z110/15</f>
        <v>0</v>
      </c>
      <c r="AA110" s="1769">
        <f>+'NEW Summer CHP by DISC '!AA110/15</f>
        <v>0</v>
      </c>
      <c r="AB110" s="1769">
        <f>+'NEW Summer CHP by DISC '!AB110/12</f>
        <v>0</v>
      </c>
      <c r="AC110" s="1769">
        <f>SUM(Z110:AB110)</f>
        <v>0</v>
      </c>
      <c r="AD110" s="491" t="str">
        <f t="shared" si="111"/>
        <v>N/A</v>
      </c>
      <c r="AE110" s="1769">
        <f>+'NEW Summer CHP by DISC '!AE110/15</f>
        <v>0</v>
      </c>
      <c r="AF110" s="1769">
        <f>+'NEW Summer CHP by DISC '!AF110/15</f>
        <v>0</v>
      </c>
      <c r="AG110" s="1769">
        <f>+'NEW Summer CHP by DISC '!AG110/12</f>
        <v>0</v>
      </c>
      <c r="AH110" s="1769">
        <f>SUM(AE110:AG110)</f>
        <v>0</v>
      </c>
      <c r="AI110" s="505" t="str">
        <f t="shared" si="112"/>
        <v>N/A</v>
      </c>
      <c r="AJ110" s="1769">
        <f>+'NEW Summer CHP by DISC '!AJ110/15</f>
        <v>0</v>
      </c>
      <c r="AK110" s="1769">
        <f>+'NEW Summer CHP by DISC '!AK110/15</f>
        <v>0</v>
      </c>
      <c r="AL110" s="1769">
        <f>+'NEW Summer CHP by DISC '!AL110/12</f>
        <v>0</v>
      </c>
      <c r="AM110" s="1769">
        <f>SUM(AJ110:AL110)</f>
        <v>0</v>
      </c>
      <c r="AN110" s="1682" t="str">
        <f t="shared" si="113"/>
        <v>N/A</v>
      </c>
      <c r="AO110" s="1769">
        <f>+'NEW Summer CHP by DISC '!AO110/15</f>
        <v>0</v>
      </c>
      <c r="AP110" s="1769">
        <f>+'NEW Summer CHP by DISC '!AP110/15</f>
        <v>0</v>
      </c>
      <c r="AQ110" s="1769">
        <f>+'NEW Summer CHP by DISC '!AQ110/12</f>
        <v>0</v>
      </c>
      <c r="AR110" s="1769">
        <f>SUM(AO110:AQ110)</f>
        <v>0</v>
      </c>
      <c r="AS110" s="1682" t="str">
        <f t="shared" si="114"/>
        <v>N/A</v>
      </c>
    </row>
    <row r="111" spans="1:45" s="484" customFormat="1" ht="14.4" thickBot="1" x14ac:dyDescent="0.3">
      <c r="A111" s="1824" t="s">
        <v>1015</v>
      </c>
      <c r="B111" s="716">
        <f t="shared" ref="B111:I111" si="115">SUM(B106:B110)</f>
        <v>2.1333333333333333</v>
      </c>
      <c r="C111" s="713">
        <f t="shared" si="115"/>
        <v>0.4</v>
      </c>
      <c r="D111" s="714">
        <f t="shared" si="115"/>
        <v>0</v>
      </c>
      <c r="E111" s="1013">
        <f t="shared" si="115"/>
        <v>2.5333333333333332</v>
      </c>
      <c r="F111" s="714">
        <f t="shared" si="115"/>
        <v>11.466666666666667</v>
      </c>
      <c r="G111" s="713">
        <f t="shared" si="115"/>
        <v>0.8</v>
      </c>
      <c r="H111" s="714">
        <f t="shared" si="115"/>
        <v>0</v>
      </c>
      <c r="I111" s="714">
        <f t="shared" si="115"/>
        <v>12.266666666666667</v>
      </c>
      <c r="J111" s="717">
        <f t="shared" si="107"/>
        <v>3.8421052631578951</v>
      </c>
      <c r="K111" s="716">
        <f t="shared" ref="K111:S111" si="116">SUM(K106:K110)</f>
        <v>12.266666666666667</v>
      </c>
      <c r="L111" s="713">
        <f t="shared" si="116"/>
        <v>0</v>
      </c>
      <c r="M111" s="714">
        <f t="shared" si="116"/>
        <v>0</v>
      </c>
      <c r="N111" s="854">
        <f t="shared" si="116"/>
        <v>12.266666666666667</v>
      </c>
      <c r="O111" s="1023">
        <f t="shared" si="108"/>
        <v>0</v>
      </c>
      <c r="P111" s="716">
        <f t="shared" si="116"/>
        <v>11.666666666666666</v>
      </c>
      <c r="Q111" s="713">
        <f t="shared" si="116"/>
        <v>2.4</v>
      </c>
      <c r="R111" s="714">
        <f t="shared" si="116"/>
        <v>0</v>
      </c>
      <c r="S111" s="714">
        <f t="shared" si="116"/>
        <v>14.066666666666666</v>
      </c>
      <c r="T111" s="717">
        <f t="shared" si="109"/>
        <v>0.14673913043478251</v>
      </c>
      <c r="U111" s="716">
        <f>SUM(U106:U110)</f>
        <v>4.2666666666666666</v>
      </c>
      <c r="V111" s="714">
        <f>SUM(V106:V110)</f>
        <v>2.1333333333333333</v>
      </c>
      <c r="W111" s="714">
        <f>SUM(W106:W110)</f>
        <v>0</v>
      </c>
      <c r="X111" s="714">
        <f>SUM(X106:X110)</f>
        <v>6.4</v>
      </c>
      <c r="Y111" s="1023">
        <f t="shared" si="110"/>
        <v>-0.54502369668246442</v>
      </c>
      <c r="Z111" s="714">
        <f>SUM(Z106:Z110)</f>
        <v>3.9333333333333331</v>
      </c>
      <c r="AA111" s="714">
        <f>SUM(AA106:AA110)</f>
        <v>1</v>
      </c>
      <c r="AB111" s="714">
        <f>SUM(AB106:AB110)</f>
        <v>0</v>
      </c>
      <c r="AC111" s="714">
        <f>SUM(AC106:AC110)</f>
        <v>4.9333333333333336</v>
      </c>
      <c r="AD111" s="1023">
        <f t="shared" si="111"/>
        <v>-0.22916666666666669</v>
      </c>
      <c r="AE111" s="714">
        <f>SUM(AE106:AE110)</f>
        <v>2.3666666666666667</v>
      </c>
      <c r="AF111" s="714">
        <f>SUM(AF106:AF110)</f>
        <v>0.4</v>
      </c>
      <c r="AG111" s="714">
        <f>SUM(AG106:AG110)</f>
        <v>0</v>
      </c>
      <c r="AH111" s="714">
        <f>SUM(AH106:AH110)</f>
        <v>2.7666666666666666</v>
      </c>
      <c r="AI111" s="1023">
        <f t="shared" si="112"/>
        <v>-0.43918918918918926</v>
      </c>
      <c r="AJ111" s="714">
        <f>SUM(AJ106:AJ110)</f>
        <v>3.0333333333333332</v>
      </c>
      <c r="AK111" s="714">
        <f>SUM(AK106:AK110)</f>
        <v>0.60000000000000009</v>
      </c>
      <c r="AL111" s="714">
        <f>SUM(AL106:AL110)</f>
        <v>0</v>
      </c>
      <c r="AM111" s="714">
        <f>SUM(AM106:AM110)</f>
        <v>3.6333333333333333</v>
      </c>
      <c r="AN111" s="715">
        <f t="shared" si="113"/>
        <v>0.31325301204819278</v>
      </c>
      <c r="AO111" s="714">
        <f>SUM(AO106:AO110)</f>
        <v>3.2666666666666666</v>
      </c>
      <c r="AP111" s="714">
        <f>SUM(AP106:AP110)</f>
        <v>0.8</v>
      </c>
      <c r="AQ111" s="714">
        <f>SUM(AQ106:AQ110)</f>
        <v>0</v>
      </c>
      <c r="AR111" s="714">
        <f>SUM(AR106:AR110)</f>
        <v>4.0666666666666664</v>
      </c>
      <c r="AS111" s="715">
        <f t="shared" si="114"/>
        <v>0.1192660550458715</v>
      </c>
    </row>
    <row r="112" spans="1:45" s="484" customFormat="1" ht="14.25" customHeight="1" thickTop="1" x14ac:dyDescent="0.25">
      <c r="A112" s="564"/>
      <c r="B112" s="565"/>
      <c r="C112" s="565"/>
      <c r="D112" s="565"/>
      <c r="E112" s="565"/>
      <c r="F112" s="565"/>
      <c r="G112" s="565"/>
      <c r="H112" s="565"/>
      <c r="I112" s="565"/>
      <c r="J112" s="564"/>
      <c r="K112" s="565"/>
      <c r="L112" s="565"/>
      <c r="M112" s="565"/>
      <c r="N112" s="565"/>
      <c r="O112" s="565"/>
      <c r="P112" s="565"/>
      <c r="Q112" s="565"/>
      <c r="R112" s="565"/>
      <c r="S112" s="565"/>
      <c r="T112" s="566"/>
      <c r="U112" s="565"/>
      <c r="V112" s="565"/>
      <c r="W112" s="565"/>
      <c r="X112" s="565"/>
      <c r="Y112" s="566"/>
      <c r="Z112" s="565"/>
      <c r="AA112" s="565"/>
      <c r="AB112" s="565"/>
      <c r="AC112" s="565"/>
      <c r="AD112" s="566"/>
      <c r="AE112" s="565"/>
      <c r="AF112" s="565"/>
      <c r="AG112" s="565"/>
      <c r="AH112" s="565"/>
      <c r="AI112" s="566"/>
      <c r="AJ112" s="565"/>
      <c r="AK112" s="565"/>
      <c r="AL112" s="565"/>
      <c r="AM112" s="565"/>
      <c r="AN112" s="566"/>
      <c r="AO112" s="565"/>
      <c r="AP112" s="565"/>
      <c r="AQ112" s="565"/>
      <c r="AR112" s="565"/>
      <c r="AS112" s="566"/>
    </row>
    <row r="113" spans="1:45" ht="14.25" customHeight="1" thickBot="1" x14ac:dyDescent="0.3">
      <c r="A113" s="567"/>
      <c r="B113" s="1791"/>
      <c r="C113" s="1791"/>
      <c r="D113" s="1791"/>
      <c r="E113" s="1791"/>
      <c r="F113" s="1791"/>
      <c r="G113" s="1791"/>
      <c r="H113" s="1791"/>
      <c r="I113" s="1791"/>
      <c r="J113" s="567"/>
      <c r="K113" s="1791"/>
      <c r="L113" s="1791"/>
      <c r="M113" s="1791"/>
      <c r="N113" s="1791"/>
      <c r="O113" s="1791"/>
      <c r="P113" s="1791"/>
      <c r="Q113" s="1791"/>
      <c r="R113" s="1791"/>
      <c r="S113" s="1791"/>
      <c r="T113" s="568"/>
      <c r="U113" s="1791"/>
      <c r="V113" s="1791"/>
      <c r="W113" s="1791"/>
      <c r="X113" s="1791"/>
      <c r="Y113" s="568"/>
      <c r="Z113" s="1791"/>
      <c r="AA113" s="1791"/>
      <c r="AB113" s="1791"/>
      <c r="AC113" s="1791"/>
      <c r="AD113" s="568"/>
      <c r="AE113" s="1791"/>
      <c r="AF113" s="1791"/>
      <c r="AG113" s="1791"/>
      <c r="AH113" s="1791"/>
      <c r="AI113" s="568"/>
      <c r="AJ113" s="1791"/>
      <c r="AK113" s="1791"/>
      <c r="AL113" s="1791"/>
      <c r="AM113" s="1791"/>
      <c r="AN113" s="568"/>
      <c r="AO113" s="1791"/>
      <c r="AP113" s="1791"/>
      <c r="AQ113" s="1791"/>
      <c r="AR113" s="1791"/>
      <c r="AS113" s="568"/>
    </row>
    <row r="114" spans="1:45" s="523" customFormat="1" ht="18" thickTop="1" thickBot="1" x14ac:dyDescent="0.35">
      <c r="A114" s="1008" t="s">
        <v>1003</v>
      </c>
      <c r="B114" s="1003">
        <f t="shared" ref="B114:I114" si="117">+B111+B102+B76+B39+B22</f>
        <v>132</v>
      </c>
      <c r="C114" s="1003">
        <f t="shared" si="117"/>
        <v>125</v>
      </c>
      <c r="D114" s="1003">
        <f t="shared" si="117"/>
        <v>75.25</v>
      </c>
      <c r="E114" s="1004">
        <f t="shared" si="117"/>
        <v>332.25</v>
      </c>
      <c r="F114" s="1003">
        <f t="shared" si="117"/>
        <v>143.53333333333333</v>
      </c>
      <c r="G114" s="1003">
        <f t="shared" si="117"/>
        <v>111</v>
      </c>
      <c r="H114" s="1003">
        <f t="shared" si="117"/>
        <v>72.5</v>
      </c>
      <c r="I114" s="1003">
        <f t="shared" si="117"/>
        <v>327.03333333333336</v>
      </c>
      <c r="J114" s="1005">
        <f>IF(E114&gt;0,(I114-E114)/E114,(IF(I114=0,"N/A",100%)))</f>
        <v>-1.5701028342111782E-2</v>
      </c>
      <c r="K114" s="1003">
        <f>+K111+K102+K76+K39+K22</f>
        <v>173.2</v>
      </c>
      <c r="L114" s="1003">
        <f>+L111+L102+L76+L39+L22</f>
        <v>95.199999999999989</v>
      </c>
      <c r="M114" s="1003">
        <f>+M111+M102+M76+M39+M22</f>
        <v>94.25</v>
      </c>
      <c r="N114" s="1021">
        <f>+N111+N102+N76+N39+N22</f>
        <v>362.65000000000003</v>
      </c>
      <c r="O114" s="1022">
        <f>IF(I114&gt;0,(N114-I114)/I114,(IF(N114=0,"N/A",100%)))</f>
        <v>0.1089083681581898</v>
      </c>
      <c r="P114" s="1003">
        <f>+P111+P102+P76+P39+P22</f>
        <v>167</v>
      </c>
      <c r="Q114" s="1003">
        <f>+Q111+Q102+Q76+Q39+Q22</f>
        <v>104.2</v>
      </c>
      <c r="R114" s="1003">
        <f>+R111+R102+R76+R39+R22</f>
        <v>92.75</v>
      </c>
      <c r="S114" s="1003">
        <f>+S111+S102+S76+S39+S22</f>
        <v>363.95</v>
      </c>
      <c r="T114" s="1005">
        <f>IF(N114&gt;0,(S114-N114)/N114,(IF(S114=0,"N/A",100%)))</f>
        <v>3.5847235626635995E-3</v>
      </c>
      <c r="U114" s="1003">
        <f>+U111+U102+U76+U39+U22</f>
        <v>150.66666666666666</v>
      </c>
      <c r="V114" s="1003">
        <f>+V111+V102+V76+V39+V22</f>
        <v>137.4</v>
      </c>
      <c r="W114" s="1003">
        <f>+W111+W102+W76+W39+W22</f>
        <v>95.25</v>
      </c>
      <c r="X114" s="1003">
        <f>+X111+X102+X76+X39+X22</f>
        <v>383.31666666666672</v>
      </c>
      <c r="Y114" s="1243">
        <f>IF(S114&gt;0,(X114-S114)/S114,(IF(X114=0,"N/A",100%)))</f>
        <v>5.3212437605898423E-2</v>
      </c>
      <c r="Z114" s="1003">
        <f>+Z111+Z102+Z76+Z39+Z22</f>
        <v>67.933333333333337</v>
      </c>
      <c r="AA114" s="1003">
        <f>+AA111+AA102+AA76+AA39+AA22</f>
        <v>187.46666666666667</v>
      </c>
      <c r="AB114" s="1003">
        <f>+AB111+AB102+AB76+AB39+AB22</f>
        <v>82</v>
      </c>
      <c r="AC114" s="1003">
        <f>+AC111+AC102+AC76+AC39+AC22</f>
        <v>337.40000000000003</v>
      </c>
      <c r="AD114" s="1243">
        <f>IF(X114&gt;0,(AC114-X114)/X114,(IF(AC114=0,"N/A",100%)))</f>
        <v>-0.11978781686160271</v>
      </c>
      <c r="AE114" s="1003">
        <f>+AE111+AE102+AE76+AE39+AE22</f>
        <v>112.23333333333333</v>
      </c>
      <c r="AF114" s="1003">
        <f>+AF111+AF102+AF76+AF39+AF22</f>
        <v>98.266666666666652</v>
      </c>
      <c r="AG114" s="1003">
        <f>+AG111+AG102+AG76+AG39+AG22</f>
        <v>58</v>
      </c>
      <c r="AH114" s="1003">
        <f>+AH111+AH102+AH76+AH39+AH22</f>
        <v>268.5</v>
      </c>
      <c r="AI114" s="1243">
        <f>IF(AC114&gt;0,(AH114-AC114)/AC114,(IF(AH114=0,"N/A",100%)))</f>
        <v>-0.20420865441612338</v>
      </c>
      <c r="AJ114" s="1003">
        <f>+AJ111+AJ102+AJ76+AJ39+AJ22</f>
        <v>122.63333333333333</v>
      </c>
      <c r="AK114" s="1003">
        <f>+AK111+AK102+AK76+AK39+AK22</f>
        <v>101</v>
      </c>
      <c r="AL114" s="1003">
        <f>+AL111+AL102+AL76+AL39+AL22</f>
        <v>47</v>
      </c>
      <c r="AM114" s="1003">
        <f>+AM111+AM102+AM76+AM39+AM22</f>
        <v>270.63333333333333</v>
      </c>
      <c r="AN114" s="1006">
        <f>IF(AH114&gt;0,(AM114-AH114)/AH114,(IF(AM114=0,"N/A",100%)))</f>
        <v>7.9453755431408788E-3</v>
      </c>
      <c r="AO114" s="1003">
        <f>+AO111+AO102+AO76+AO39+AO22</f>
        <v>109.53333333333335</v>
      </c>
      <c r="AP114" s="1003">
        <f>+AP111+AP102+AP76+AP39+AP22</f>
        <v>88.066666666666663</v>
      </c>
      <c r="AQ114" s="1003">
        <f>+AQ111+AQ102+AQ76+AQ39+AQ22</f>
        <v>35.833333333333336</v>
      </c>
      <c r="AR114" s="1003">
        <f>+AR111+AR102+AR76+AR39+AR22</f>
        <v>233.43333333333337</v>
      </c>
      <c r="AS114" s="1006">
        <f>IF(AM114&gt;0,(AR114-AM114)/AM114,(IF(AR114=0,"N/A",100%)))</f>
        <v>-0.13745535164429101</v>
      </c>
    </row>
    <row r="115" spans="1:45" ht="13.8" thickTop="1" x14ac:dyDescent="0.25">
      <c r="A115" s="2144" t="s">
        <v>1066</v>
      </c>
      <c r="B115" s="2144"/>
      <c r="C115" s="2144"/>
      <c r="D115" s="2144"/>
      <c r="E115" s="2144"/>
      <c r="F115" s="2144"/>
      <c r="G115" s="2144"/>
      <c r="H115" s="2144"/>
      <c r="I115" s="2144"/>
      <c r="J115" s="2144"/>
      <c r="K115" s="2144"/>
      <c r="L115" s="2144"/>
      <c r="M115" s="2144"/>
      <c r="N115" s="2144"/>
      <c r="O115" s="2144"/>
      <c r="P115" s="2144"/>
      <c r="Q115" s="2144"/>
      <c r="R115" s="2144"/>
      <c r="S115" s="2144"/>
      <c r="T115" s="2144"/>
      <c r="U115" s="2144"/>
      <c r="V115" s="2144"/>
      <c r="W115" s="2144"/>
      <c r="X115" s="2144"/>
      <c r="Y115" s="2144"/>
    </row>
    <row r="116" spans="1:45" x14ac:dyDescent="0.25">
      <c r="A116" s="2166"/>
      <c r="B116" s="2166"/>
      <c r="C116" s="2166"/>
      <c r="D116" s="2166"/>
      <c r="E116" s="2166"/>
      <c r="F116" s="2166"/>
      <c r="G116" s="2166"/>
      <c r="H116" s="2166"/>
      <c r="I116" s="2166"/>
      <c r="J116" s="2166"/>
      <c r="K116" s="2166"/>
      <c r="L116" s="2166"/>
      <c r="M116" s="2166"/>
      <c r="N116" s="2166"/>
      <c r="O116" s="2166"/>
      <c r="P116" s="2166"/>
      <c r="Q116" s="2166"/>
      <c r="R116" s="2166"/>
      <c r="S116" s="2166"/>
      <c r="T116" s="2166"/>
      <c r="U116" s="2166"/>
      <c r="V116" s="2166"/>
      <c r="W116" s="2166"/>
      <c r="X116" s="2166"/>
      <c r="Y116" s="2166"/>
    </row>
    <row r="117" spans="1:45" x14ac:dyDescent="0.25">
      <c r="A117" s="1792"/>
      <c r="B117" s="1792"/>
      <c r="C117" s="1792"/>
      <c r="D117" s="1792"/>
      <c r="E117" s="1792"/>
      <c r="F117" s="1792"/>
      <c r="G117" s="1792"/>
      <c r="H117" s="1792"/>
      <c r="I117" s="1792"/>
      <c r="J117" s="1791"/>
      <c r="K117" s="1684"/>
      <c r="L117" s="1792"/>
      <c r="M117" s="1792"/>
      <c r="N117" s="1792"/>
      <c r="O117" s="1792"/>
      <c r="P117" s="1792"/>
      <c r="Q117" s="1792"/>
      <c r="R117" s="1792"/>
      <c r="S117" s="1791"/>
      <c r="T117" s="1792"/>
      <c r="U117" s="1791"/>
      <c r="V117" s="1791"/>
      <c r="W117" s="1792"/>
      <c r="X117" s="1791"/>
      <c r="Y117" s="1792"/>
      <c r="AM117" s="681"/>
      <c r="AN117" s="681"/>
    </row>
    <row r="118" spans="1:45" x14ac:dyDescent="0.25">
      <c r="A118" s="1792"/>
      <c r="B118" s="1792"/>
      <c r="C118" s="1792"/>
      <c r="D118" s="1792"/>
      <c r="E118" s="1792"/>
      <c r="F118" s="1792"/>
      <c r="G118" s="1792"/>
      <c r="H118" s="1792"/>
      <c r="I118" s="1792"/>
      <c r="J118" s="1792"/>
      <c r="K118" s="1793"/>
      <c r="L118" s="1792"/>
      <c r="M118" s="1792"/>
      <c r="N118" s="1792"/>
      <c r="O118" s="1792"/>
      <c r="P118" s="1792"/>
      <c r="Q118" s="1792"/>
      <c r="R118" s="1792"/>
      <c r="S118" s="1792"/>
      <c r="T118" s="1792"/>
      <c r="U118" s="1792"/>
      <c r="V118" s="1792"/>
      <c r="W118" s="1792"/>
      <c r="X118" s="1792"/>
      <c r="Y118" s="1792"/>
      <c r="AM118" s="681"/>
      <c r="AN118" s="681"/>
    </row>
    <row r="119" spans="1:45" x14ac:dyDescent="0.25">
      <c r="A119" s="1792"/>
      <c r="B119" s="1792"/>
      <c r="C119" s="1792"/>
      <c r="D119" s="1792"/>
      <c r="E119" s="1792"/>
      <c r="F119" s="1792"/>
      <c r="G119" s="1792"/>
      <c r="H119" s="1792"/>
      <c r="I119" s="1792"/>
      <c r="J119" s="1792"/>
      <c r="K119" s="1793"/>
      <c r="L119" s="1792"/>
      <c r="M119" s="1792"/>
      <c r="N119" s="1792"/>
      <c r="O119" s="1792"/>
      <c r="P119" s="1792"/>
      <c r="Q119" s="1792"/>
      <c r="R119" s="1792"/>
      <c r="S119" s="1792"/>
      <c r="T119" s="1792"/>
      <c r="U119" s="1792"/>
      <c r="V119" s="1792"/>
      <c r="W119" s="1792"/>
      <c r="X119" s="1792"/>
      <c r="Y119" s="1792"/>
      <c r="AM119" s="681"/>
      <c r="AN119" s="681"/>
    </row>
    <row r="120" spans="1:45" x14ac:dyDescent="0.25">
      <c r="A120" s="1792"/>
      <c r="B120" s="1792"/>
      <c r="C120" s="1792"/>
      <c r="D120" s="1792"/>
      <c r="E120" s="1792"/>
      <c r="F120" s="1792"/>
      <c r="G120" s="1792"/>
      <c r="H120" s="1792"/>
      <c r="I120" s="1792"/>
      <c r="J120" s="1792"/>
      <c r="K120" s="1793"/>
      <c r="L120" s="1792"/>
      <c r="M120" s="1792"/>
      <c r="N120" s="1792"/>
      <c r="O120" s="1792"/>
      <c r="P120" s="1792"/>
      <c r="Q120" s="1792"/>
      <c r="R120" s="1792"/>
      <c r="S120" s="1792"/>
      <c r="T120" s="1792"/>
      <c r="U120" s="1792"/>
      <c r="V120" s="1792"/>
      <c r="W120" s="1792"/>
      <c r="X120" s="1792"/>
      <c r="Y120" s="1792"/>
      <c r="AM120" s="681"/>
      <c r="AN120" s="681"/>
    </row>
    <row r="121" spans="1:45" x14ac:dyDescent="0.25">
      <c r="A121" s="1792"/>
      <c r="B121" s="1792"/>
      <c r="C121" s="1792"/>
      <c r="D121" s="1792"/>
      <c r="E121" s="1792"/>
      <c r="F121" s="1792"/>
      <c r="G121" s="1792"/>
      <c r="H121" s="1792"/>
      <c r="I121" s="1792"/>
      <c r="J121" s="1792"/>
      <c r="K121" s="1793"/>
      <c r="L121" s="1792"/>
      <c r="M121" s="1792"/>
      <c r="N121" s="1792"/>
      <c r="O121" s="1792"/>
      <c r="P121" s="1792"/>
      <c r="Q121" s="1792"/>
      <c r="R121" s="1792"/>
      <c r="S121" s="1792"/>
      <c r="T121" s="1792"/>
      <c r="U121" s="1792"/>
      <c r="V121" s="1792"/>
      <c r="W121" s="1792"/>
      <c r="X121" s="1792"/>
      <c r="Y121" s="1792"/>
      <c r="AM121" s="681"/>
      <c r="AN121" s="681"/>
    </row>
    <row r="122" spans="1:45" x14ac:dyDescent="0.25">
      <c r="A122" s="1792"/>
      <c r="B122" s="1792"/>
      <c r="C122" s="1792"/>
      <c r="D122" s="1792"/>
      <c r="E122" s="1792"/>
      <c r="F122" s="1792"/>
      <c r="G122" s="1792"/>
      <c r="H122" s="1792"/>
      <c r="I122" s="1792"/>
      <c r="J122" s="1792"/>
      <c r="K122" s="1793"/>
      <c r="L122" s="1792"/>
      <c r="M122" s="1792"/>
      <c r="N122" s="1792"/>
      <c r="O122" s="1792"/>
      <c r="P122" s="1792"/>
      <c r="Q122" s="1792"/>
      <c r="R122" s="1792"/>
      <c r="S122" s="1792"/>
      <c r="T122" s="1792"/>
      <c r="U122" s="1792"/>
      <c r="V122" s="1792"/>
      <c r="W122" s="1792"/>
      <c r="X122" s="1791"/>
      <c r="Y122" s="1792"/>
      <c r="Z122" s="681"/>
      <c r="AA122" s="681"/>
      <c r="AB122" s="681"/>
      <c r="AG122" s="681"/>
      <c r="AH122" s="681"/>
      <c r="AI122" s="681"/>
      <c r="AM122" s="681"/>
      <c r="AN122" s="681"/>
    </row>
    <row r="123" spans="1:45" x14ac:dyDescent="0.25">
      <c r="A123" s="1792"/>
      <c r="B123" s="1792"/>
      <c r="C123" s="1792"/>
      <c r="D123" s="1792"/>
      <c r="E123" s="1792"/>
      <c r="F123" s="1792"/>
      <c r="G123" s="1792"/>
      <c r="H123" s="1792"/>
      <c r="I123" s="1792"/>
      <c r="J123" s="1792"/>
      <c r="K123" s="1793"/>
      <c r="L123" s="1792"/>
      <c r="M123" s="1792"/>
      <c r="N123" s="1792"/>
      <c r="O123" s="1792"/>
      <c r="P123" s="1792"/>
      <c r="Q123" s="1792"/>
      <c r="R123" s="1792"/>
      <c r="S123" s="1792"/>
      <c r="T123" s="1792"/>
      <c r="U123" s="1792"/>
      <c r="V123" s="1792"/>
      <c r="W123" s="1792"/>
      <c r="X123" s="1791"/>
      <c r="Y123" s="1792"/>
      <c r="Z123" s="681"/>
      <c r="AA123" s="681"/>
      <c r="AB123" s="681"/>
      <c r="AG123" s="681"/>
      <c r="AH123" s="681"/>
      <c r="AI123" s="681"/>
      <c r="AM123" s="681"/>
      <c r="AN123" s="681"/>
    </row>
    <row r="124" spans="1:45" x14ac:dyDescent="0.25">
      <c r="A124" s="1792"/>
      <c r="B124" s="1792"/>
      <c r="C124" s="1792"/>
      <c r="D124" s="1792"/>
      <c r="E124" s="1792"/>
      <c r="F124" s="1792"/>
      <c r="G124" s="1792"/>
      <c r="H124" s="1792"/>
      <c r="I124" s="1792"/>
      <c r="J124" s="1792"/>
      <c r="K124" s="1793"/>
      <c r="L124" s="1792"/>
      <c r="M124" s="1792"/>
      <c r="N124" s="1792"/>
      <c r="O124" s="1792"/>
      <c r="P124" s="1792"/>
      <c r="Q124" s="1792"/>
      <c r="R124" s="1792"/>
      <c r="S124" s="1792"/>
      <c r="T124" s="1792"/>
      <c r="U124" s="1792"/>
      <c r="V124" s="1792"/>
      <c r="W124" s="1792"/>
      <c r="X124" s="1792"/>
      <c r="Y124" s="1792"/>
      <c r="Z124" s="681"/>
      <c r="AA124" s="681"/>
      <c r="AB124" s="681"/>
      <c r="AG124" s="681"/>
      <c r="AH124" s="681"/>
      <c r="AI124" s="681"/>
      <c r="AM124" s="681"/>
      <c r="AN124" s="681"/>
    </row>
    <row r="125" spans="1:45" x14ac:dyDescent="0.25">
      <c r="A125" s="1792"/>
      <c r="B125" s="1792"/>
      <c r="C125" s="1792"/>
      <c r="D125" s="1792"/>
      <c r="E125" s="1792"/>
      <c r="F125" s="1792"/>
      <c r="G125" s="1792"/>
      <c r="H125" s="1792"/>
      <c r="I125" s="1792"/>
      <c r="J125" s="1792"/>
      <c r="K125" s="1793"/>
      <c r="L125" s="1792"/>
      <c r="M125" s="1792"/>
      <c r="N125" s="1792"/>
      <c r="O125" s="1792"/>
      <c r="P125" s="1792"/>
      <c r="Q125" s="1792"/>
      <c r="R125" s="1792"/>
      <c r="S125" s="1792"/>
      <c r="T125" s="1792"/>
      <c r="U125" s="1792"/>
      <c r="V125" s="1792"/>
      <c r="W125" s="1792"/>
      <c r="X125" s="1792"/>
      <c r="Y125" s="1792"/>
      <c r="Z125" s="681"/>
      <c r="AA125" s="681"/>
      <c r="AB125" s="681"/>
      <c r="AG125" s="681"/>
      <c r="AH125" s="681"/>
      <c r="AI125" s="681"/>
      <c r="AM125" s="681"/>
      <c r="AN125" s="681"/>
    </row>
    <row r="126" spans="1:45" x14ac:dyDescent="0.25">
      <c r="A126" s="1792"/>
      <c r="B126" s="1792"/>
      <c r="C126" s="1792"/>
      <c r="D126" s="1792"/>
      <c r="E126" s="1792"/>
      <c r="F126" s="1792"/>
      <c r="G126" s="1792"/>
      <c r="H126" s="1792"/>
      <c r="I126" s="1792"/>
      <c r="J126" s="1792"/>
      <c r="K126" s="1793"/>
      <c r="L126" s="1792"/>
      <c r="M126" s="1792"/>
      <c r="N126" s="1792"/>
      <c r="O126" s="1792"/>
      <c r="P126" s="1792"/>
      <c r="Q126" s="1792"/>
      <c r="R126" s="1792"/>
      <c r="S126" s="1792"/>
      <c r="T126" s="1792"/>
      <c r="U126" s="1792"/>
      <c r="V126" s="1792"/>
      <c r="W126" s="1792"/>
      <c r="X126" s="1792"/>
      <c r="Y126" s="1792"/>
      <c r="Z126" s="681"/>
      <c r="AA126" s="681"/>
      <c r="AB126" s="681"/>
      <c r="AG126" s="681"/>
      <c r="AH126" s="681"/>
      <c r="AI126" s="681"/>
      <c r="AM126" s="681"/>
      <c r="AN126" s="681"/>
    </row>
    <row r="127" spans="1:45" x14ac:dyDescent="0.25">
      <c r="A127" s="1792"/>
      <c r="B127" s="1792"/>
      <c r="C127" s="1792"/>
      <c r="D127" s="1792"/>
      <c r="E127" s="1792"/>
      <c r="F127" s="1792"/>
      <c r="G127" s="1792"/>
      <c r="H127" s="1792"/>
      <c r="I127" s="1792"/>
      <c r="J127" s="1792"/>
      <c r="K127" s="1793"/>
      <c r="L127" s="1792"/>
      <c r="M127" s="1792"/>
      <c r="N127" s="1792"/>
      <c r="O127" s="1792"/>
      <c r="P127" s="1792"/>
      <c r="Q127" s="1792"/>
      <c r="R127" s="1792"/>
      <c r="S127" s="1792"/>
      <c r="T127" s="1792"/>
      <c r="U127" s="1792"/>
      <c r="V127" s="1792"/>
      <c r="W127" s="1792"/>
      <c r="X127" s="1792"/>
      <c r="Y127" s="1792"/>
      <c r="Z127" s="681"/>
      <c r="AA127" s="681"/>
      <c r="AB127" s="681"/>
      <c r="AG127" s="681"/>
      <c r="AH127" s="681"/>
      <c r="AI127" s="681"/>
      <c r="AM127" s="681"/>
      <c r="AN127" s="681"/>
    </row>
    <row r="128" spans="1:45" x14ac:dyDescent="0.25">
      <c r="A128" s="1792"/>
      <c r="B128" s="1792"/>
      <c r="C128" s="1792"/>
      <c r="D128" s="1792"/>
      <c r="E128" s="1792"/>
      <c r="F128" s="1792"/>
      <c r="G128" s="1792"/>
      <c r="H128" s="1792"/>
      <c r="I128" s="1792"/>
      <c r="J128" s="1792"/>
      <c r="K128" s="1793"/>
      <c r="L128" s="1792"/>
      <c r="M128" s="1792"/>
      <c r="N128" s="1792"/>
      <c r="O128" s="1792"/>
      <c r="P128" s="1792"/>
      <c r="Q128" s="1792"/>
      <c r="R128" s="1792"/>
      <c r="S128" s="1792"/>
      <c r="T128" s="1792"/>
      <c r="U128" s="1792"/>
      <c r="V128" s="1792"/>
      <c r="W128" s="1792"/>
      <c r="X128" s="1792"/>
      <c r="Y128" s="1792"/>
      <c r="Z128" s="681"/>
      <c r="AA128" s="681"/>
      <c r="AB128" s="681"/>
      <c r="AG128" s="681"/>
      <c r="AH128" s="681"/>
      <c r="AI128" s="681"/>
      <c r="AM128" s="681"/>
      <c r="AN128" s="681"/>
    </row>
    <row r="129" spans="1:40" x14ac:dyDescent="0.25">
      <c r="A129" s="1792"/>
      <c r="B129" s="1792"/>
      <c r="C129" s="1792"/>
      <c r="D129" s="1792"/>
      <c r="E129" s="1792"/>
      <c r="F129" s="1792"/>
      <c r="G129" s="1792"/>
      <c r="H129" s="1792"/>
      <c r="I129" s="1792"/>
      <c r="J129" s="1792"/>
      <c r="K129" s="1793"/>
      <c r="L129" s="1792"/>
      <c r="M129" s="1792"/>
      <c r="N129" s="1792"/>
      <c r="O129" s="1792"/>
      <c r="P129" s="1792"/>
      <c r="Q129" s="1792"/>
      <c r="R129" s="1792"/>
      <c r="S129" s="1792"/>
      <c r="T129" s="1792"/>
      <c r="U129" s="1792"/>
      <c r="V129" s="1792"/>
      <c r="W129" s="1792"/>
      <c r="X129" s="1792"/>
      <c r="Y129" s="1792"/>
      <c r="Z129" s="681"/>
      <c r="AA129" s="681"/>
      <c r="AB129" s="681"/>
      <c r="AG129" s="681"/>
      <c r="AH129" s="681"/>
      <c r="AI129" s="681"/>
      <c r="AM129" s="681"/>
      <c r="AN129" s="681"/>
    </row>
    <row r="130" spans="1:40" x14ac:dyDescent="0.25">
      <c r="A130" s="1792"/>
      <c r="B130" s="1792"/>
      <c r="C130" s="1792"/>
      <c r="D130" s="1792"/>
      <c r="E130" s="1792"/>
      <c r="F130" s="1792"/>
      <c r="G130" s="1792"/>
      <c r="H130" s="1792"/>
      <c r="I130" s="1792"/>
      <c r="J130" s="1792"/>
      <c r="K130" s="1793"/>
      <c r="L130" s="1792"/>
      <c r="M130" s="1792"/>
      <c r="N130" s="1792"/>
      <c r="O130" s="1792"/>
      <c r="P130" s="1792"/>
      <c r="Q130" s="1792"/>
      <c r="R130" s="1792"/>
      <c r="S130" s="1792"/>
      <c r="T130" s="1792"/>
      <c r="U130" s="1792"/>
      <c r="V130" s="1792"/>
      <c r="W130" s="1792"/>
      <c r="X130" s="1792"/>
      <c r="Y130" s="1792"/>
      <c r="Z130" s="681"/>
      <c r="AA130" s="681"/>
      <c r="AB130" s="681"/>
      <c r="AG130" s="681"/>
      <c r="AH130" s="681"/>
      <c r="AI130" s="681"/>
      <c r="AM130" s="681"/>
      <c r="AN130" s="681"/>
    </row>
    <row r="131" spans="1:40" x14ac:dyDescent="0.25">
      <c r="A131" s="681"/>
      <c r="B131" s="681"/>
      <c r="C131" s="681"/>
      <c r="D131" s="681"/>
      <c r="E131" s="681"/>
      <c r="F131" s="681"/>
      <c r="G131" s="681"/>
      <c r="H131" s="681"/>
      <c r="I131" s="681"/>
      <c r="J131" s="681"/>
      <c r="L131" s="681"/>
      <c r="M131" s="681"/>
      <c r="N131" s="681"/>
      <c r="O131" s="681"/>
      <c r="P131" s="681"/>
      <c r="Q131" s="681"/>
      <c r="R131" s="681"/>
      <c r="S131" s="681"/>
      <c r="T131" s="681"/>
      <c r="U131" s="681"/>
      <c r="V131" s="681"/>
      <c r="W131" s="681"/>
      <c r="X131" s="681"/>
      <c r="Y131" s="681"/>
      <c r="Z131" s="681"/>
      <c r="AA131" s="681"/>
      <c r="AB131" s="681"/>
      <c r="AG131" s="681"/>
      <c r="AH131" s="681"/>
      <c r="AI131" s="681"/>
      <c r="AM131" s="681"/>
      <c r="AN131" s="681"/>
    </row>
    <row r="132" spans="1:40" x14ac:dyDescent="0.25">
      <c r="A132" s="681"/>
      <c r="B132" s="681"/>
      <c r="C132" s="681"/>
      <c r="D132" s="681"/>
      <c r="E132" s="681"/>
      <c r="F132" s="681"/>
      <c r="G132" s="681"/>
      <c r="H132" s="681"/>
      <c r="I132" s="681"/>
      <c r="J132" s="681"/>
      <c r="L132" s="681"/>
      <c r="M132" s="681"/>
      <c r="N132" s="681"/>
      <c r="O132" s="681"/>
      <c r="P132" s="681"/>
      <c r="Q132" s="681"/>
      <c r="R132" s="681"/>
      <c r="S132" s="681"/>
      <c r="T132" s="681"/>
      <c r="U132" s="681"/>
      <c r="V132" s="681"/>
      <c r="W132" s="681"/>
      <c r="X132" s="681"/>
      <c r="Y132" s="681"/>
      <c r="Z132" s="681"/>
      <c r="AA132" s="681"/>
      <c r="AB132" s="681"/>
      <c r="AG132" s="681"/>
      <c r="AH132" s="681"/>
      <c r="AI132" s="681"/>
      <c r="AM132" s="681"/>
      <c r="AN132" s="681"/>
    </row>
  </sheetData>
  <mergeCells count="47">
    <mergeCell ref="AO44:AS44"/>
    <mergeCell ref="AO81:AS81"/>
    <mergeCell ref="A79:AS79"/>
    <mergeCell ref="A42:AS42"/>
    <mergeCell ref="A25:AS25"/>
    <mergeCell ref="U27:Y27"/>
    <mergeCell ref="Z27:AD27"/>
    <mergeCell ref="AE27:AI27"/>
    <mergeCell ref="AO27:AS27"/>
    <mergeCell ref="AE44:AI44"/>
    <mergeCell ref="F44:J44"/>
    <mergeCell ref="K44:O44"/>
    <mergeCell ref="P44:T44"/>
    <mergeCell ref="U44:Y44"/>
    <mergeCell ref="Z44:AD44"/>
    <mergeCell ref="A3:AS3"/>
    <mergeCell ref="A1:AS1"/>
    <mergeCell ref="A26:A27"/>
    <mergeCell ref="B27:E27"/>
    <mergeCell ref="F27:J27"/>
    <mergeCell ref="K27:O27"/>
    <mergeCell ref="P27:T27"/>
    <mergeCell ref="P5:T5"/>
    <mergeCell ref="U5:Y5"/>
    <mergeCell ref="Z5:AD5"/>
    <mergeCell ref="AE5:AI5"/>
    <mergeCell ref="A4:A5"/>
    <mergeCell ref="B5:E5"/>
    <mergeCell ref="F5:J5"/>
    <mergeCell ref="K5:O5"/>
    <mergeCell ref="AO5:AS5"/>
    <mergeCell ref="A115:Y115"/>
    <mergeCell ref="A116:Y116"/>
    <mergeCell ref="AJ5:AN5"/>
    <mergeCell ref="AJ27:AN27"/>
    <mergeCell ref="AJ44:AN44"/>
    <mergeCell ref="AJ81:AN81"/>
    <mergeCell ref="A80:A81"/>
    <mergeCell ref="B81:E81"/>
    <mergeCell ref="F81:J81"/>
    <mergeCell ref="K81:O81"/>
    <mergeCell ref="P81:T81"/>
    <mergeCell ref="U81:Y81"/>
    <mergeCell ref="Z81:AD81"/>
    <mergeCell ref="AE81:AI81"/>
    <mergeCell ref="A43:A44"/>
    <mergeCell ref="B44:E44"/>
  </mergeCells>
  <printOptions horizontalCentered="1" verticalCentered="1"/>
  <pageMargins left="0.25" right="0.49" top="0.2" bottom="0.38" header="0.17" footer="0.25"/>
  <pageSetup scale="55" orientation="landscape" horizontalDpi="4294967293" r:id="rId1"/>
  <headerFooter alignWithMargins="0">
    <oddFooter>&amp;RSource: Office of Institutional Research</oddFooter>
  </headerFooter>
  <rowBreaks count="2" manualBreakCount="2">
    <brk id="41" max="17" man="1"/>
    <brk id="115" max="1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
  <sheetViews>
    <sheetView workbookViewId="0">
      <selection sqref="A1:G1"/>
    </sheetView>
  </sheetViews>
  <sheetFormatPr defaultColWidth="6.6640625" defaultRowHeight="13.2" x14ac:dyDescent="0.25"/>
  <cols>
    <col min="1" max="7" width="10.6640625" style="1795" customWidth="1"/>
    <col min="8" max="8" width="7.33203125" style="1795" bestFit="1" customWidth="1"/>
    <col min="9" max="16384" width="6.6640625" style="1795"/>
  </cols>
  <sheetData>
    <row r="1" spans="1:9" ht="17.399999999999999" x14ac:dyDescent="0.3">
      <c r="A1" s="2169" t="s">
        <v>1083</v>
      </c>
      <c r="B1" s="2169"/>
      <c r="C1" s="2169"/>
      <c r="D1" s="2169"/>
      <c r="E1" s="2169"/>
      <c r="F1" s="2169"/>
      <c r="G1" s="2169"/>
    </row>
    <row r="2" spans="1:9" ht="17.399999999999999" x14ac:dyDescent="0.3">
      <c r="A2" s="2169" t="s">
        <v>1084</v>
      </c>
      <c r="B2" s="2169"/>
      <c r="C2" s="2169"/>
      <c r="D2" s="2169"/>
      <c r="E2" s="2169"/>
      <c r="F2" s="2169"/>
      <c r="G2" s="2169"/>
    </row>
    <row r="4" spans="1:9" x14ac:dyDescent="0.25">
      <c r="A4" s="1796"/>
      <c r="B4" s="1797" t="s">
        <v>1073</v>
      </c>
      <c r="C4" s="142"/>
      <c r="D4" s="143"/>
      <c r="E4" s="142" t="s">
        <v>1085</v>
      </c>
      <c r="F4" s="142"/>
      <c r="G4" s="143"/>
    </row>
    <row r="5" spans="1:9" ht="15.6" x14ac:dyDescent="0.25">
      <c r="A5" s="144"/>
      <c r="B5" s="1798" t="s">
        <v>1075</v>
      </c>
      <c r="C5" s="1798" t="s">
        <v>1076</v>
      </c>
      <c r="D5" s="1799" t="s">
        <v>835</v>
      </c>
      <c r="E5" s="1798" t="s">
        <v>1075</v>
      </c>
      <c r="F5" s="1798" t="s">
        <v>1076</v>
      </c>
      <c r="G5" s="1799" t="s">
        <v>835</v>
      </c>
    </row>
    <row r="6" spans="1:9" hidden="1" x14ac:dyDescent="0.25">
      <c r="A6" s="1800"/>
      <c r="B6" s="1801"/>
      <c r="C6" s="1801"/>
      <c r="D6" s="1802"/>
      <c r="E6" s="1803"/>
      <c r="F6" s="1803"/>
      <c r="G6" s="1804"/>
    </row>
    <row r="7" spans="1:9" hidden="1" x14ac:dyDescent="0.25">
      <c r="A7" s="1805">
        <v>2009</v>
      </c>
      <c r="B7" s="1806">
        <v>804</v>
      </c>
      <c r="C7" s="1807">
        <v>158</v>
      </c>
      <c r="D7" s="1808">
        <f>B7+C7</f>
        <v>962</v>
      </c>
      <c r="E7" s="1809">
        <v>3818</v>
      </c>
      <c r="F7" s="1810">
        <v>870</v>
      </c>
      <c r="G7" s="1811">
        <f>E7+F7</f>
        <v>4688</v>
      </c>
    </row>
    <row r="8" spans="1:9" hidden="1" x14ac:dyDescent="0.25">
      <c r="A8" s="1800"/>
      <c r="B8" s="1801"/>
      <c r="C8" s="1801"/>
      <c r="D8" s="1802"/>
      <c r="E8" s="1803"/>
      <c r="F8" s="1803"/>
      <c r="G8" s="1804"/>
    </row>
    <row r="9" spans="1:9" hidden="1" x14ac:dyDescent="0.25">
      <c r="A9" s="1805">
        <v>2010</v>
      </c>
      <c r="B9" s="1806">
        <v>812</v>
      </c>
      <c r="C9" s="1807">
        <v>202</v>
      </c>
      <c r="D9" s="1808">
        <f>B9+C9</f>
        <v>1014</v>
      </c>
      <c r="E9" s="1809">
        <v>4026</v>
      </c>
      <c r="F9" s="1810">
        <v>1131</v>
      </c>
      <c r="G9" s="1811">
        <f>E9+F9</f>
        <v>5157</v>
      </c>
    </row>
    <row r="10" spans="1:9" x14ac:dyDescent="0.25">
      <c r="A10" s="1800"/>
      <c r="B10" s="1801"/>
      <c r="C10" s="1801"/>
      <c r="D10" s="1802"/>
      <c r="E10" s="1803"/>
      <c r="F10" s="1803"/>
      <c r="G10" s="1804"/>
    </row>
    <row r="11" spans="1:9" x14ac:dyDescent="0.25">
      <c r="A11" s="1805">
        <v>2011</v>
      </c>
      <c r="B11" s="1806">
        <v>794</v>
      </c>
      <c r="C11" s="1807">
        <v>220</v>
      </c>
      <c r="D11" s="1808">
        <f>B11+C11</f>
        <v>1014</v>
      </c>
      <c r="E11" s="1809">
        <v>4068</v>
      </c>
      <c r="F11" s="1810">
        <v>1113</v>
      </c>
      <c r="G11" s="1811">
        <f>E11+F11</f>
        <v>5181</v>
      </c>
    </row>
    <row r="12" spans="1:9" x14ac:dyDescent="0.25">
      <c r="A12" s="1800"/>
      <c r="B12" s="1801"/>
      <c r="C12" s="1801"/>
      <c r="D12" s="1802"/>
      <c r="E12" s="1803"/>
      <c r="F12" s="1803"/>
      <c r="G12" s="1804"/>
    </row>
    <row r="13" spans="1:9" x14ac:dyDescent="0.25">
      <c r="A13" s="1805">
        <v>2012</v>
      </c>
      <c r="B13" s="1806">
        <v>738</v>
      </c>
      <c r="C13" s="1807">
        <v>243</v>
      </c>
      <c r="D13" s="1808">
        <f>B13+C13</f>
        <v>981</v>
      </c>
      <c r="E13" s="1809">
        <v>4321</v>
      </c>
      <c r="F13" s="1810">
        <v>1143</v>
      </c>
      <c r="G13" s="1811">
        <f>E13+F13</f>
        <v>5464</v>
      </c>
    </row>
    <row r="14" spans="1:9" x14ac:dyDescent="0.25">
      <c r="A14" s="1800"/>
      <c r="B14" s="1801"/>
      <c r="C14" s="1801"/>
      <c r="D14" s="1802"/>
      <c r="E14" s="1803"/>
      <c r="F14" s="1803"/>
      <c r="G14" s="1804"/>
    </row>
    <row r="15" spans="1:9" x14ac:dyDescent="0.25">
      <c r="A15" s="1805">
        <v>2013</v>
      </c>
      <c r="B15" s="1806">
        <v>719</v>
      </c>
      <c r="C15" s="1807">
        <v>185</v>
      </c>
      <c r="D15" s="1808">
        <f>B15+C15</f>
        <v>904</v>
      </c>
      <c r="E15" s="1809">
        <v>3831</v>
      </c>
      <c r="F15" s="1810">
        <v>984</v>
      </c>
      <c r="G15" s="1811">
        <f>E15+F15</f>
        <v>4815</v>
      </c>
      <c r="I15" s="1812"/>
    </row>
    <row r="16" spans="1:9" x14ac:dyDescent="0.25">
      <c r="A16" s="1800"/>
      <c r="B16" s="1801"/>
      <c r="C16" s="1801"/>
      <c r="D16" s="1802"/>
      <c r="E16" s="1803"/>
      <c r="F16" s="1803"/>
      <c r="G16" s="1804"/>
    </row>
    <row r="17" spans="1:8" x14ac:dyDescent="0.25">
      <c r="A17" s="1805">
        <v>2014</v>
      </c>
      <c r="B17" s="1806">
        <v>592</v>
      </c>
      <c r="C17" s="1807">
        <v>122</v>
      </c>
      <c r="D17" s="1808">
        <f>B17+C17</f>
        <v>714</v>
      </c>
      <c r="E17" s="1809">
        <v>3158</v>
      </c>
      <c r="F17" s="1810">
        <v>696</v>
      </c>
      <c r="G17" s="1811">
        <f>E17+F17</f>
        <v>3854</v>
      </c>
      <c r="H17" s="1812"/>
    </row>
    <row r="18" spans="1:8" x14ac:dyDescent="0.25">
      <c r="A18" s="1800"/>
      <c r="B18" s="1801"/>
      <c r="C18" s="1801"/>
      <c r="D18" s="1802"/>
      <c r="E18" s="1803"/>
      <c r="F18" s="1803"/>
      <c r="G18" s="1804"/>
    </row>
    <row r="19" spans="1:8" x14ac:dyDescent="0.25">
      <c r="A19" s="1805">
        <v>2015</v>
      </c>
      <c r="B19" s="1806">
        <v>618</v>
      </c>
      <c r="C19" s="1807">
        <v>106</v>
      </c>
      <c r="D19" s="1808">
        <f>B19+C19</f>
        <v>724</v>
      </c>
      <c r="E19" s="1809">
        <v>3348.5</v>
      </c>
      <c r="F19" s="1810">
        <v>585</v>
      </c>
      <c r="G19" s="1811">
        <f>E19+F19</f>
        <v>3933.5</v>
      </c>
    </row>
    <row r="20" spans="1:8" x14ac:dyDescent="0.25">
      <c r="A20" s="1800"/>
      <c r="B20" s="1801"/>
      <c r="C20" s="1801"/>
      <c r="D20" s="1802"/>
      <c r="E20" s="1803"/>
      <c r="F20" s="1803"/>
      <c r="G20" s="1804"/>
    </row>
    <row r="21" spans="1:8" x14ac:dyDescent="0.25">
      <c r="A21" s="1805">
        <v>2016</v>
      </c>
      <c r="B21" s="1806">
        <v>583</v>
      </c>
      <c r="C21" s="1807">
        <v>72</v>
      </c>
      <c r="D21" s="1808">
        <f>B21+C21</f>
        <v>655</v>
      </c>
      <c r="E21" s="1809">
        <v>2964</v>
      </c>
      <c r="F21" s="1810">
        <v>430</v>
      </c>
      <c r="G21" s="1811">
        <f>E21+F21</f>
        <v>3394</v>
      </c>
    </row>
    <row r="22" spans="1:8" x14ac:dyDescent="0.25">
      <c r="A22" s="1813"/>
      <c r="B22" s="1813"/>
      <c r="C22" s="1813"/>
      <c r="D22" s="1813"/>
      <c r="E22" s="1813"/>
      <c r="F22" s="1813"/>
      <c r="G22" s="1813"/>
    </row>
    <row r="23" spans="1:8" x14ac:dyDescent="0.25">
      <c r="A23" s="1813"/>
      <c r="B23" s="1813"/>
      <c r="C23" s="1813"/>
      <c r="D23" s="1813"/>
      <c r="E23" s="1813"/>
      <c r="F23" s="1813"/>
      <c r="G23" s="1813"/>
    </row>
    <row r="24" spans="1:8" x14ac:dyDescent="0.25">
      <c r="A24" s="1813"/>
      <c r="B24" s="1813"/>
      <c r="C24" s="1813"/>
      <c r="D24" s="1813"/>
      <c r="E24" s="1813"/>
      <c r="F24" s="1813"/>
      <c r="G24" s="1813"/>
    </row>
    <row r="25" spans="1:8" x14ac:dyDescent="0.25">
      <c r="A25" s="1813"/>
      <c r="B25" s="1813"/>
      <c r="C25" s="1813"/>
      <c r="D25" s="1813"/>
      <c r="E25" s="1813"/>
      <c r="F25" s="1813"/>
      <c r="G25" s="1813"/>
    </row>
    <row r="26" spans="1:8" x14ac:dyDescent="0.25">
      <c r="A26" s="1813"/>
      <c r="B26" s="1813"/>
      <c r="C26" s="1813"/>
      <c r="D26" s="1813"/>
      <c r="E26" s="1813"/>
      <c r="F26" s="1813"/>
      <c r="G26" s="1813"/>
    </row>
    <row r="27" spans="1:8" x14ac:dyDescent="0.25">
      <c r="A27" s="1813"/>
      <c r="B27" s="1813"/>
      <c r="C27" s="1813"/>
      <c r="D27" s="1813"/>
      <c r="E27" s="1813"/>
      <c r="F27" s="1813"/>
      <c r="G27" s="1813"/>
    </row>
    <row r="28" spans="1:8" x14ac:dyDescent="0.25">
      <c r="A28" s="1813"/>
      <c r="B28" s="1813"/>
      <c r="C28" s="1813"/>
      <c r="D28" s="1813"/>
      <c r="E28" s="1813"/>
      <c r="F28" s="1813"/>
      <c r="G28" s="1813"/>
    </row>
    <row r="29" spans="1:8" x14ac:dyDescent="0.25">
      <c r="A29" s="1813"/>
      <c r="B29" s="1813"/>
      <c r="C29" s="1813"/>
      <c r="D29" s="1813"/>
      <c r="E29" s="1813"/>
      <c r="F29" s="1813"/>
      <c r="G29" s="1813"/>
    </row>
    <row r="30" spans="1:8" x14ac:dyDescent="0.25">
      <c r="A30" s="1813"/>
      <c r="B30" s="1813"/>
      <c r="C30" s="1813"/>
      <c r="D30" s="1813"/>
      <c r="E30" s="1813"/>
      <c r="F30" s="1813"/>
      <c r="G30" s="1813"/>
    </row>
    <row r="31" spans="1:8" x14ac:dyDescent="0.25">
      <c r="A31" s="1813"/>
      <c r="B31" s="1813"/>
      <c r="C31" s="1813"/>
      <c r="D31" s="1813"/>
      <c r="E31" s="1813"/>
      <c r="F31" s="1813"/>
      <c r="G31" s="1813"/>
    </row>
    <row r="32" spans="1:8" x14ac:dyDescent="0.25">
      <c r="A32" s="1813"/>
      <c r="B32" s="1813"/>
      <c r="C32" s="1813"/>
      <c r="D32" s="1813"/>
      <c r="E32" s="1813"/>
      <c r="F32" s="1813"/>
      <c r="G32" s="1813"/>
    </row>
    <row r="33" spans="1:7" x14ac:dyDescent="0.25">
      <c r="A33" s="1813"/>
      <c r="B33" s="1813"/>
      <c r="C33" s="1813"/>
      <c r="D33" s="1813"/>
      <c r="E33" s="1813"/>
      <c r="F33" s="1813"/>
      <c r="G33" s="1813"/>
    </row>
  </sheetData>
  <mergeCells count="2">
    <mergeCell ref="A1:G1"/>
    <mergeCell ref="A2:G2"/>
  </mergeCells>
  <printOptions horizontalCentered="1" verticalCentered="1"/>
  <pageMargins left="0.75" right="0.75" top="1" bottom="1" header="0.5" footer="0.5"/>
  <pageSetup orientation="portrait" horizontalDpi="4294967293" r:id="rId1"/>
  <headerFooter alignWithMargins="0">
    <oddFooter>&amp;L&amp;8Source: Office of Institutional Research</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34"/>
  <sheetViews>
    <sheetView zoomScale="80" zoomScaleNormal="80" workbookViewId="0">
      <selection sqref="A1:R1"/>
    </sheetView>
  </sheetViews>
  <sheetFormatPr defaultColWidth="6.6640625" defaultRowHeight="13.2" x14ac:dyDescent="0.25"/>
  <cols>
    <col min="1" max="1" width="20.109375" style="145" customWidth="1"/>
    <col min="2" max="8" width="12.6640625" style="145" hidden="1" customWidth="1"/>
    <col min="9" max="19" width="12.6640625" style="145" customWidth="1"/>
    <col min="20" max="20" width="19.109375" style="145" bestFit="1" customWidth="1"/>
    <col min="21" max="27" width="12.6640625" style="145" customWidth="1"/>
    <col min="28" max="50" width="14.44140625" style="145" customWidth="1"/>
    <col min="51" max="16384" width="6.6640625" style="145"/>
  </cols>
  <sheetData>
    <row r="1" spans="1:31" ht="39" customHeight="1" x14ac:dyDescent="0.35">
      <c r="A1" s="2170" t="s">
        <v>1086</v>
      </c>
      <c r="B1" s="2170"/>
      <c r="C1" s="2170"/>
      <c r="D1" s="2170"/>
      <c r="E1" s="2170"/>
      <c r="F1" s="2170"/>
      <c r="G1" s="2170"/>
      <c r="H1" s="2170"/>
      <c r="I1" s="2170"/>
      <c r="J1" s="2170"/>
      <c r="K1" s="2170"/>
      <c r="L1" s="2170"/>
      <c r="M1" s="2170"/>
      <c r="N1" s="2170"/>
      <c r="O1" s="2170"/>
      <c r="P1" s="2170"/>
      <c r="Q1" s="2170"/>
      <c r="R1" s="2170"/>
      <c r="S1" s="1403"/>
      <c r="T1" s="1864"/>
      <c r="U1" s="1864"/>
      <c r="V1" s="1864"/>
      <c r="W1" s="1864"/>
      <c r="X1" s="1864"/>
      <c r="Y1" s="1864"/>
      <c r="Z1" s="1864"/>
      <c r="AA1" s="1864"/>
      <c r="AB1" s="1864"/>
      <c r="AC1" s="1864"/>
      <c r="AD1" s="1403"/>
      <c r="AE1" s="1185"/>
    </row>
    <row r="2" spans="1:31" ht="12.75" customHeight="1" x14ac:dyDescent="0.35">
      <c r="A2" s="146"/>
      <c r="B2" s="146"/>
      <c r="C2" s="147"/>
      <c r="D2" s="147"/>
      <c r="E2" s="147"/>
      <c r="F2" s="147"/>
      <c r="G2" s="147"/>
      <c r="I2" s="148"/>
      <c r="K2" s="148"/>
      <c r="M2" s="148"/>
      <c r="R2" s="1403"/>
      <c r="S2" s="1403"/>
      <c r="T2" s="1865"/>
      <c r="U2" s="1864"/>
      <c r="V2" s="1864"/>
      <c r="W2" s="1864"/>
      <c r="X2" s="1864"/>
      <c r="Y2" s="1864"/>
      <c r="Z2" s="1864"/>
      <c r="AA2" s="1864"/>
      <c r="AB2" s="1864"/>
      <c r="AC2" s="1864"/>
      <c r="AD2" s="1403"/>
      <c r="AE2" s="1185"/>
    </row>
    <row r="3" spans="1:31" x14ac:dyDescent="0.25">
      <c r="A3" s="149"/>
      <c r="B3" s="427">
        <v>2007</v>
      </c>
      <c r="C3" s="2171">
        <f>+B3+1</f>
        <v>2008</v>
      </c>
      <c r="D3" s="2172"/>
      <c r="E3" s="2171">
        <f>+C3+1</f>
        <v>2009</v>
      </c>
      <c r="F3" s="2172"/>
      <c r="G3" s="2171">
        <f>+E3+1</f>
        <v>2010</v>
      </c>
      <c r="H3" s="2172"/>
      <c r="I3" s="2171">
        <f>+G3+1</f>
        <v>2011</v>
      </c>
      <c r="J3" s="2172"/>
      <c r="K3" s="2171">
        <f>+I3+1</f>
        <v>2012</v>
      </c>
      <c r="L3" s="2172"/>
      <c r="M3" s="2171">
        <f>+K3+1</f>
        <v>2013</v>
      </c>
      <c r="N3" s="2172"/>
      <c r="O3" s="2171">
        <f>+M3+1</f>
        <v>2014</v>
      </c>
      <c r="P3" s="2172"/>
      <c r="Q3" s="2171">
        <f>+O3+1</f>
        <v>2015</v>
      </c>
      <c r="R3" s="2172"/>
      <c r="S3" s="1403"/>
      <c r="T3" s="1864"/>
      <c r="U3" s="1864"/>
      <c r="V3" s="1864"/>
      <c r="W3" s="1864"/>
      <c r="X3" s="1864"/>
      <c r="Y3" s="1864"/>
      <c r="Z3" s="1864"/>
      <c r="AA3" s="1864"/>
      <c r="AB3" s="1864"/>
      <c r="AC3" s="1864"/>
      <c r="AD3" s="1403"/>
      <c r="AE3" s="1185"/>
    </row>
    <row r="4" spans="1:31" ht="30" customHeight="1" x14ac:dyDescent="0.25">
      <c r="A4" s="150" t="s">
        <v>1364</v>
      </c>
      <c r="B4" s="412" t="s">
        <v>1087</v>
      </c>
      <c r="C4" s="151" t="s">
        <v>1087</v>
      </c>
      <c r="D4" s="152" t="s">
        <v>1088</v>
      </c>
      <c r="E4" s="151" t="s">
        <v>1087</v>
      </c>
      <c r="F4" s="152" t="s">
        <v>1088</v>
      </c>
      <c r="G4" s="151" t="s">
        <v>1087</v>
      </c>
      <c r="H4" s="152" t="s">
        <v>1088</v>
      </c>
      <c r="I4" s="151" t="s">
        <v>1087</v>
      </c>
      <c r="J4" s="152" t="s">
        <v>1088</v>
      </c>
      <c r="K4" s="151" t="s">
        <v>1087</v>
      </c>
      <c r="L4" s="152" t="s">
        <v>1088</v>
      </c>
      <c r="M4" s="151" t="s">
        <v>1087</v>
      </c>
      <c r="N4" s="152" t="s">
        <v>1088</v>
      </c>
      <c r="O4" s="151" t="s">
        <v>1087</v>
      </c>
      <c r="P4" s="152" t="s">
        <v>1088</v>
      </c>
      <c r="Q4" s="151" t="s">
        <v>1087</v>
      </c>
      <c r="R4" s="152" t="s">
        <v>1088</v>
      </c>
      <c r="S4" s="1403"/>
      <c r="T4" s="1864"/>
      <c r="U4" s="1864">
        <v>2007</v>
      </c>
      <c r="V4" s="1864">
        <f>+U4+1</f>
        <v>2008</v>
      </c>
      <c r="W4" s="1864">
        <f>+V4+1</f>
        <v>2009</v>
      </c>
      <c r="X4" s="1864">
        <f>+W4+1</f>
        <v>2010</v>
      </c>
      <c r="Y4" s="1864">
        <f>+X4+1</f>
        <v>2011</v>
      </c>
      <c r="Z4" s="1864">
        <v>2012</v>
      </c>
      <c r="AA4" s="1864">
        <v>2013</v>
      </c>
      <c r="AB4" s="1864">
        <v>2014</v>
      </c>
      <c r="AC4" s="1864">
        <v>2015</v>
      </c>
      <c r="AD4" s="1403"/>
      <c r="AE4" s="1185"/>
    </row>
    <row r="5" spans="1:31" ht="12.75" customHeight="1" x14ac:dyDescent="0.25">
      <c r="A5" s="342"/>
      <c r="B5" s="413"/>
      <c r="C5" s="345"/>
      <c r="D5" s="343"/>
      <c r="E5" s="344"/>
      <c r="F5" s="343"/>
      <c r="G5" s="344"/>
      <c r="H5" s="343"/>
      <c r="I5" s="344"/>
      <c r="J5" s="343"/>
      <c r="K5" s="344"/>
      <c r="L5" s="343"/>
      <c r="M5" s="344"/>
      <c r="N5" s="343"/>
      <c r="O5" s="344"/>
      <c r="P5" s="343"/>
      <c r="Q5" s="344"/>
      <c r="R5" s="343"/>
      <c r="S5" s="1403"/>
      <c r="T5" s="1864" t="s">
        <v>1089</v>
      </c>
      <c r="U5" s="1864">
        <f>+B6</f>
        <v>519</v>
      </c>
      <c r="V5" s="1864">
        <f>+C6</f>
        <v>781</v>
      </c>
      <c r="W5" s="1864">
        <f>+E6</f>
        <v>819</v>
      </c>
      <c r="X5" s="1864">
        <f>+G6</f>
        <v>941</v>
      </c>
      <c r="Y5" s="1864">
        <f>+I6</f>
        <v>793</v>
      </c>
      <c r="Z5" s="1864">
        <f>+K6</f>
        <v>959</v>
      </c>
      <c r="AA5" s="1864">
        <f>+M6</f>
        <v>848</v>
      </c>
      <c r="AB5" s="1864">
        <f>+O6</f>
        <v>838</v>
      </c>
      <c r="AC5" s="1864">
        <f>+Q6</f>
        <v>834</v>
      </c>
      <c r="AD5" s="1403"/>
      <c r="AE5" s="1185"/>
    </row>
    <row r="6" spans="1:31" x14ac:dyDescent="0.25">
      <c r="A6" s="153" t="s">
        <v>1089</v>
      </c>
      <c r="B6" s="153">
        <v>519</v>
      </c>
      <c r="C6" s="154">
        <f>823-42</f>
        <v>781</v>
      </c>
      <c r="D6" s="155">
        <f>(C6-B6)/B6</f>
        <v>0.50481695568400775</v>
      </c>
      <c r="E6" s="154">
        <v>819</v>
      </c>
      <c r="F6" s="155">
        <f>(E6-C6)/C6</f>
        <v>4.8655569782330349E-2</v>
      </c>
      <c r="G6" s="154">
        <v>941</v>
      </c>
      <c r="H6" s="155">
        <f>(G6-E6)/E6</f>
        <v>0.14896214896214896</v>
      </c>
      <c r="I6" s="154">
        <v>793</v>
      </c>
      <c r="J6" s="155">
        <f>(I6-G6)/G6</f>
        <v>-0.15727948990435706</v>
      </c>
      <c r="K6" s="154">
        <v>959</v>
      </c>
      <c r="L6" s="155">
        <f>(K6-I6)/I6</f>
        <v>0.20933165195460277</v>
      </c>
      <c r="M6" s="154">
        <v>848</v>
      </c>
      <c r="N6" s="155">
        <f>(M6-K6)/K6</f>
        <v>-0.11574556830031282</v>
      </c>
      <c r="O6" s="154">
        <v>838</v>
      </c>
      <c r="P6" s="155">
        <f>(O6-M6)/M6</f>
        <v>-1.179245283018868E-2</v>
      </c>
      <c r="Q6" s="154">
        <v>834</v>
      </c>
      <c r="R6" s="155">
        <f>(Q6-O6)/O6</f>
        <v>-4.7732696897374704E-3</v>
      </c>
      <c r="S6" s="1403"/>
      <c r="T6" s="1864" t="s">
        <v>1090</v>
      </c>
      <c r="U6" s="1864">
        <f>+B8</f>
        <v>500</v>
      </c>
      <c r="V6" s="1864">
        <f>+C8</f>
        <v>546</v>
      </c>
      <c r="W6" s="1864">
        <f>+E8</f>
        <v>586</v>
      </c>
      <c r="X6" s="1864">
        <f>+G8</f>
        <v>624</v>
      </c>
      <c r="Y6" s="1864">
        <f>+I8</f>
        <v>717</v>
      </c>
      <c r="Z6" s="1864">
        <f>+K8</f>
        <v>610</v>
      </c>
      <c r="AA6" s="1864">
        <f>+M8</f>
        <v>602</v>
      </c>
      <c r="AB6" s="1864">
        <f>+O8</f>
        <v>590</v>
      </c>
      <c r="AC6" s="1864">
        <f>+Q8</f>
        <v>571</v>
      </c>
      <c r="AD6" s="1403"/>
      <c r="AE6" s="1185"/>
    </row>
    <row r="7" spans="1:31" x14ac:dyDescent="0.25">
      <c r="A7" s="342"/>
      <c r="B7" s="413"/>
      <c r="C7" s="345"/>
      <c r="D7" s="343"/>
      <c r="E7" s="344"/>
      <c r="F7" s="343"/>
      <c r="G7" s="344"/>
      <c r="H7" s="343"/>
      <c r="I7" s="344"/>
      <c r="J7" s="343"/>
      <c r="K7" s="344"/>
      <c r="L7" s="343"/>
      <c r="M7" s="344"/>
      <c r="N7" s="343"/>
      <c r="O7" s="344"/>
      <c r="P7" s="343"/>
      <c r="Q7" s="344"/>
      <c r="R7" s="343"/>
      <c r="S7" s="1403"/>
      <c r="T7" s="1864" t="s">
        <v>1091</v>
      </c>
      <c r="U7" s="1864">
        <f>+B10</f>
        <v>481</v>
      </c>
      <c r="V7" s="1864">
        <f>+C10</f>
        <v>478</v>
      </c>
      <c r="W7" s="1864">
        <f>+E10</f>
        <v>531</v>
      </c>
      <c r="X7" s="1864">
        <f>+G10</f>
        <v>552</v>
      </c>
      <c r="Y7" s="1864">
        <f>+I10</f>
        <v>596</v>
      </c>
      <c r="Z7" s="1864">
        <f>+K10</f>
        <v>607</v>
      </c>
      <c r="AA7" s="1864">
        <f>+M10</f>
        <v>547</v>
      </c>
      <c r="AB7" s="1864">
        <f>+O10</f>
        <v>548</v>
      </c>
      <c r="AC7" s="1864">
        <f>+Q10</f>
        <v>513</v>
      </c>
      <c r="AD7" s="1403"/>
      <c r="AE7" s="1185"/>
    </row>
    <row r="8" spans="1:31" x14ac:dyDescent="0.25">
      <c r="A8" s="153" t="s">
        <v>1090</v>
      </c>
      <c r="B8" s="153">
        <v>500</v>
      </c>
      <c r="C8" s="154">
        <v>546</v>
      </c>
      <c r="D8" s="155">
        <f>(C8-B8)/B8</f>
        <v>9.1999999999999998E-2</v>
      </c>
      <c r="E8" s="154">
        <v>586</v>
      </c>
      <c r="F8" s="155">
        <f>(E8-C8)/C8</f>
        <v>7.3260073260073263E-2</v>
      </c>
      <c r="G8" s="154">
        <v>624</v>
      </c>
      <c r="H8" s="155">
        <f>(G8-E8)/E8</f>
        <v>6.4846416382252553E-2</v>
      </c>
      <c r="I8" s="154">
        <v>717</v>
      </c>
      <c r="J8" s="155">
        <f>(I8-G8)/G8</f>
        <v>0.14903846153846154</v>
      </c>
      <c r="K8" s="154">
        <v>610</v>
      </c>
      <c r="L8" s="155">
        <f>(K8-I8)/I8</f>
        <v>-0.14923291492329149</v>
      </c>
      <c r="M8" s="154">
        <v>602</v>
      </c>
      <c r="N8" s="155">
        <f>(M8-K8)/K8</f>
        <v>-1.3114754098360656E-2</v>
      </c>
      <c r="O8" s="154">
        <v>590</v>
      </c>
      <c r="P8" s="155">
        <f>(O8-M8)/M8</f>
        <v>-1.9933554817275746E-2</v>
      </c>
      <c r="Q8" s="154">
        <v>571</v>
      </c>
      <c r="R8" s="155">
        <f>(Q8-O8)/O8</f>
        <v>-3.2203389830508473E-2</v>
      </c>
      <c r="S8" s="1403"/>
      <c r="T8" s="1864" t="s">
        <v>1092</v>
      </c>
      <c r="U8" s="1864">
        <f>+B12</f>
        <v>795</v>
      </c>
      <c r="V8" s="1864">
        <f>+C12</f>
        <v>648</v>
      </c>
      <c r="W8" s="1864">
        <f>+E12</f>
        <v>787</v>
      </c>
      <c r="X8" s="1864">
        <f>+G12</f>
        <v>804</v>
      </c>
      <c r="Y8" s="1864">
        <f>+I12</f>
        <v>821</v>
      </c>
      <c r="Z8" s="1864">
        <f>+K12</f>
        <v>681</v>
      </c>
      <c r="AA8" s="1864">
        <f>+M12</f>
        <v>712</v>
      </c>
      <c r="AB8" s="1864">
        <f>+O12</f>
        <v>667</v>
      </c>
      <c r="AC8" s="1864">
        <f>+Q12</f>
        <v>663</v>
      </c>
      <c r="AD8" s="1403"/>
      <c r="AE8" s="1185"/>
    </row>
    <row r="9" spans="1:31" x14ac:dyDescent="0.25">
      <c r="A9" s="342"/>
      <c r="B9" s="413"/>
      <c r="C9" s="345"/>
      <c r="D9" s="343"/>
      <c r="E9" s="344"/>
      <c r="F9" s="343"/>
      <c r="G9" s="344"/>
      <c r="H9" s="343"/>
      <c r="I9" s="344"/>
      <c r="J9" s="343"/>
      <c r="K9" s="344"/>
      <c r="L9" s="343"/>
      <c r="M9" s="344"/>
      <c r="N9" s="343"/>
      <c r="O9" s="344"/>
      <c r="P9" s="343"/>
      <c r="Q9" s="344"/>
      <c r="R9" s="343"/>
      <c r="S9" s="1403"/>
      <c r="T9" s="1864" t="s">
        <v>1093</v>
      </c>
      <c r="U9" s="1864">
        <f>+B14</f>
        <v>37</v>
      </c>
      <c r="V9" s="1864">
        <f>+C14</f>
        <v>40</v>
      </c>
      <c r="W9" s="1864">
        <f>+E14</f>
        <v>35</v>
      </c>
      <c r="X9" s="1864">
        <f>+G14</f>
        <v>32</v>
      </c>
      <c r="Y9" s="1864">
        <f>+I14</f>
        <v>42</v>
      </c>
      <c r="Z9" s="1864">
        <f>+K14</f>
        <v>47</v>
      </c>
      <c r="AA9" s="1864">
        <f>+M14</f>
        <v>43</v>
      </c>
      <c r="AB9" s="1864">
        <f>+O14</f>
        <v>33</v>
      </c>
      <c r="AC9" s="1864">
        <f>+Q14</f>
        <v>29</v>
      </c>
      <c r="AD9" s="1403"/>
      <c r="AE9" s="1185"/>
    </row>
    <row r="10" spans="1:31" x14ac:dyDescent="0.25">
      <c r="A10" s="153" t="s">
        <v>1091</v>
      </c>
      <c r="B10" s="153">
        <v>481</v>
      </c>
      <c r="C10" s="154">
        <v>478</v>
      </c>
      <c r="D10" s="155">
        <f>(C10-B10)/B10</f>
        <v>-6.2370062370062374E-3</v>
      </c>
      <c r="E10" s="154">
        <v>531</v>
      </c>
      <c r="F10" s="155">
        <f>(E10-C10)/C10</f>
        <v>0.11087866108786611</v>
      </c>
      <c r="G10" s="154">
        <v>552</v>
      </c>
      <c r="H10" s="155">
        <f>(G10-E10)/E10</f>
        <v>3.954802259887006E-2</v>
      </c>
      <c r="I10" s="154">
        <v>596</v>
      </c>
      <c r="J10" s="155">
        <f>(I10-G10)/G10</f>
        <v>7.9710144927536225E-2</v>
      </c>
      <c r="K10" s="154">
        <v>607</v>
      </c>
      <c r="L10" s="155">
        <f>(K10-I10)/I10</f>
        <v>1.8456375838926176E-2</v>
      </c>
      <c r="M10" s="154">
        <v>547</v>
      </c>
      <c r="N10" s="155">
        <f>(M10-K10)/K10</f>
        <v>-9.8846787479406922E-2</v>
      </c>
      <c r="O10" s="154">
        <v>548</v>
      </c>
      <c r="P10" s="155">
        <f>(O10-M10)/M10</f>
        <v>1.8281535648994515E-3</v>
      </c>
      <c r="Q10" s="154">
        <v>513</v>
      </c>
      <c r="R10" s="155">
        <f>(Q10-O10)/O10</f>
        <v>-6.3868613138686137E-2</v>
      </c>
      <c r="S10" s="1403"/>
      <c r="T10" s="1864" t="s">
        <v>1094</v>
      </c>
      <c r="U10" s="1864">
        <f>+B16</f>
        <v>29</v>
      </c>
      <c r="V10" s="1864">
        <f>+C16</f>
        <v>47</v>
      </c>
      <c r="W10" s="1864">
        <f>+E16</f>
        <v>31</v>
      </c>
      <c r="X10" s="1864">
        <f>+G16</f>
        <v>43</v>
      </c>
      <c r="Y10" s="1864">
        <f>+I16</f>
        <v>70</v>
      </c>
      <c r="Z10" s="1864">
        <f>+K16</f>
        <v>65</v>
      </c>
      <c r="AA10" s="1864">
        <f>+M16</f>
        <v>40</v>
      </c>
      <c r="AB10" s="1864">
        <f>+O16</f>
        <v>41</v>
      </c>
      <c r="AC10" s="1864">
        <f>+Q16</f>
        <v>49</v>
      </c>
      <c r="AD10" s="1403"/>
      <c r="AE10" s="1185"/>
    </row>
    <row r="11" spans="1:31" x14ac:dyDescent="0.25">
      <c r="A11" s="342"/>
      <c r="B11" s="413"/>
      <c r="C11" s="345"/>
      <c r="D11" s="343"/>
      <c r="E11" s="344"/>
      <c r="F11" s="343"/>
      <c r="G11" s="344"/>
      <c r="H11" s="343"/>
      <c r="I11" s="344"/>
      <c r="J11" s="343"/>
      <c r="K11" s="344"/>
      <c r="L11" s="343"/>
      <c r="M11" s="344"/>
      <c r="N11" s="343"/>
      <c r="O11" s="344"/>
      <c r="P11" s="343"/>
      <c r="Q11" s="344"/>
      <c r="R11" s="343"/>
      <c r="S11" s="1403"/>
      <c r="T11" s="1864" t="s">
        <v>996</v>
      </c>
      <c r="U11" s="1864">
        <f>+B20</f>
        <v>20</v>
      </c>
      <c r="V11" s="1864">
        <f>+C20</f>
        <v>33</v>
      </c>
      <c r="W11" s="1864">
        <f>+E20</f>
        <v>32</v>
      </c>
      <c r="X11" s="1864">
        <f>+G20</f>
        <v>42</v>
      </c>
      <c r="Y11" s="1864">
        <f>+I20</f>
        <v>15</v>
      </c>
      <c r="Z11" s="1864">
        <f>+K20</f>
        <v>42</v>
      </c>
      <c r="AA11" s="1864">
        <f>+M20</f>
        <v>40</v>
      </c>
      <c r="AB11" s="1864">
        <f>+O20</f>
        <v>30</v>
      </c>
      <c r="AC11" s="1864">
        <f>+Q20</f>
        <v>7</v>
      </c>
      <c r="AD11" s="1403"/>
      <c r="AE11" s="1185"/>
    </row>
    <row r="12" spans="1:31" x14ac:dyDescent="0.25">
      <c r="A12" s="153" t="s">
        <v>1092</v>
      </c>
      <c r="B12" s="153">
        <v>795</v>
      </c>
      <c r="C12" s="154">
        <v>648</v>
      </c>
      <c r="D12" s="155">
        <f>(C12-B12)/B12</f>
        <v>-0.18490566037735848</v>
      </c>
      <c r="E12" s="154">
        <v>787</v>
      </c>
      <c r="F12" s="155">
        <f>(E12-C12)/C12</f>
        <v>0.21450617283950618</v>
      </c>
      <c r="G12" s="154">
        <v>804</v>
      </c>
      <c r="H12" s="155">
        <f>(G12-E12)/E12</f>
        <v>2.1601016518424398E-2</v>
      </c>
      <c r="I12" s="154">
        <v>821</v>
      </c>
      <c r="J12" s="155">
        <f>(I12-G12)/G12</f>
        <v>2.1144278606965175E-2</v>
      </c>
      <c r="K12" s="154">
        <v>681</v>
      </c>
      <c r="L12" s="155">
        <f>(K12-I12)/I12</f>
        <v>-0.17052375152253349</v>
      </c>
      <c r="M12" s="154">
        <v>712</v>
      </c>
      <c r="N12" s="155">
        <f>(M12-K12)/K12</f>
        <v>4.552129221732746E-2</v>
      </c>
      <c r="O12" s="154">
        <v>667</v>
      </c>
      <c r="P12" s="155">
        <f>(O12-M12)/M12</f>
        <v>-6.3202247191011238E-2</v>
      </c>
      <c r="Q12" s="154">
        <v>663</v>
      </c>
      <c r="R12" s="155">
        <f>(Q12-O12)/O12</f>
        <v>-5.9970014992503746E-3</v>
      </c>
      <c r="S12" s="1403"/>
      <c r="T12" s="1864" t="s">
        <v>995</v>
      </c>
      <c r="U12" s="1864">
        <f>+B22</f>
        <v>27</v>
      </c>
      <c r="V12" s="1864">
        <f>+C22</f>
        <v>41</v>
      </c>
      <c r="W12" s="1864">
        <f>+E22</f>
        <v>17</v>
      </c>
      <c r="X12" s="1864">
        <f>+G22</f>
        <v>22</v>
      </c>
      <c r="Y12" s="1864">
        <f>+I22</f>
        <v>15</v>
      </c>
      <c r="Z12" s="1864">
        <f>+K22</f>
        <v>38</v>
      </c>
      <c r="AA12" s="1864">
        <f>+M22</f>
        <v>45</v>
      </c>
      <c r="AB12" s="1864">
        <f>+O22</f>
        <v>40</v>
      </c>
      <c r="AC12" s="1864">
        <f>+Q22</f>
        <v>35</v>
      </c>
      <c r="AD12" s="1403"/>
      <c r="AE12" s="1185"/>
    </row>
    <row r="13" spans="1:31" x14ac:dyDescent="0.25">
      <c r="A13" s="342"/>
      <c r="B13" s="413"/>
      <c r="C13" s="345"/>
      <c r="D13" s="343"/>
      <c r="E13" s="344"/>
      <c r="F13" s="343"/>
      <c r="G13" s="344"/>
      <c r="H13" s="343"/>
      <c r="I13" s="344"/>
      <c r="J13" s="343"/>
      <c r="K13" s="344"/>
      <c r="L13" s="343"/>
      <c r="M13" s="344"/>
      <c r="N13" s="343"/>
      <c r="O13" s="344"/>
      <c r="P13" s="343"/>
      <c r="Q13" s="344"/>
      <c r="R13" s="343"/>
      <c r="S13" s="1403"/>
      <c r="T13" s="1864" t="s">
        <v>651</v>
      </c>
      <c r="U13" s="1864">
        <f t="shared" ref="U13:AA13" si="0">SUM(U5:U12)</f>
        <v>2408</v>
      </c>
      <c r="V13" s="1864">
        <f t="shared" si="0"/>
        <v>2614</v>
      </c>
      <c r="W13" s="1864">
        <f t="shared" si="0"/>
        <v>2838</v>
      </c>
      <c r="X13" s="1864">
        <f t="shared" si="0"/>
        <v>3060</v>
      </c>
      <c r="Y13" s="1864">
        <f t="shared" si="0"/>
        <v>3069</v>
      </c>
      <c r="Z13" s="1864">
        <f t="shared" si="0"/>
        <v>3049</v>
      </c>
      <c r="AA13" s="1864">
        <f t="shared" si="0"/>
        <v>2877</v>
      </c>
      <c r="AB13" s="1864">
        <f>SUM(AB5:AB12)</f>
        <v>2787</v>
      </c>
      <c r="AC13" s="1864"/>
      <c r="AD13" s="1403"/>
      <c r="AE13" s="1185"/>
    </row>
    <row r="14" spans="1:31" x14ac:dyDescent="0.25">
      <c r="A14" s="153" t="s">
        <v>1093</v>
      </c>
      <c r="B14" s="153">
        <v>37</v>
      </c>
      <c r="C14" s="154">
        <v>40</v>
      </c>
      <c r="D14" s="155">
        <f>(C14-B14)/B14</f>
        <v>8.1081081081081086E-2</v>
      </c>
      <c r="E14" s="154">
        <v>35</v>
      </c>
      <c r="F14" s="155">
        <f>(E14-C14)/C14</f>
        <v>-0.125</v>
      </c>
      <c r="G14" s="154">
        <v>32</v>
      </c>
      <c r="H14" s="155">
        <f>(G14-E14)/E14</f>
        <v>-8.5714285714285715E-2</v>
      </c>
      <c r="I14" s="154">
        <v>42</v>
      </c>
      <c r="J14" s="155">
        <f>(I14-G14)/G14</f>
        <v>0.3125</v>
      </c>
      <c r="K14" s="154">
        <v>47</v>
      </c>
      <c r="L14" s="155">
        <f>(K14-I14)/I14</f>
        <v>0.11904761904761904</v>
      </c>
      <c r="M14" s="154">
        <v>43</v>
      </c>
      <c r="N14" s="155">
        <f>(M14-K14)/K14</f>
        <v>-8.5106382978723402E-2</v>
      </c>
      <c r="O14" s="154">
        <v>33</v>
      </c>
      <c r="P14" s="155">
        <f>(O14-M14)/M14</f>
        <v>-0.23255813953488372</v>
      </c>
      <c r="Q14" s="154">
        <v>29</v>
      </c>
      <c r="R14" s="155">
        <f>(Q14-O14)/O14</f>
        <v>-0.12121212121212122</v>
      </c>
      <c r="S14" s="1403"/>
      <c r="T14" s="1864"/>
      <c r="U14" s="1864"/>
      <c r="V14" s="1864"/>
      <c r="W14" s="1864"/>
      <c r="X14" s="1864"/>
      <c r="Y14" s="1864"/>
      <c r="Z14" s="1864"/>
      <c r="AA14" s="1864"/>
      <c r="AB14" s="1864"/>
      <c r="AC14" s="1864"/>
      <c r="AD14" s="1403"/>
      <c r="AE14" s="1185"/>
    </row>
    <row r="15" spans="1:31" x14ac:dyDescent="0.25">
      <c r="A15" s="342"/>
      <c r="B15" s="413"/>
      <c r="C15" s="345"/>
      <c r="D15" s="343"/>
      <c r="E15" s="344"/>
      <c r="F15" s="343"/>
      <c r="G15" s="344"/>
      <c r="H15" s="343"/>
      <c r="I15" s="344"/>
      <c r="J15" s="343"/>
      <c r="K15" s="344"/>
      <c r="L15" s="343"/>
      <c r="M15" s="344"/>
      <c r="N15" s="343"/>
      <c r="O15" s="344"/>
      <c r="P15" s="343"/>
      <c r="Q15" s="344"/>
      <c r="R15" s="343"/>
      <c r="S15" s="1403"/>
      <c r="T15" s="1864"/>
      <c r="U15" s="1864"/>
      <c r="V15" s="1864"/>
      <c r="W15" s="1864"/>
      <c r="X15" s="1864"/>
      <c r="Y15" s="1864"/>
      <c r="Z15" s="1864"/>
      <c r="AA15" s="1864"/>
      <c r="AB15" s="1864"/>
      <c r="AC15" s="1864"/>
      <c r="AD15" s="1403"/>
      <c r="AE15" s="1185"/>
    </row>
    <row r="16" spans="1:31" x14ac:dyDescent="0.25">
      <c r="A16" s="153" t="s">
        <v>1094</v>
      </c>
      <c r="B16" s="153">
        <v>29</v>
      </c>
      <c r="C16" s="154">
        <v>47</v>
      </c>
      <c r="D16" s="155">
        <f>(C16-B16)/B16</f>
        <v>0.62068965517241381</v>
      </c>
      <c r="E16" s="154">
        <v>31</v>
      </c>
      <c r="F16" s="155">
        <f>(E16-C16)/C16</f>
        <v>-0.34042553191489361</v>
      </c>
      <c r="G16" s="154">
        <v>43</v>
      </c>
      <c r="H16" s="155">
        <f>(G16-E16)/E16</f>
        <v>0.38709677419354838</v>
      </c>
      <c r="I16" s="154">
        <v>70</v>
      </c>
      <c r="J16" s="155">
        <f>(I16-G16)/G16</f>
        <v>0.62790697674418605</v>
      </c>
      <c r="K16" s="154">
        <v>65</v>
      </c>
      <c r="L16" s="155">
        <f>(K16-I16)/I16</f>
        <v>-7.1428571428571425E-2</v>
      </c>
      <c r="M16" s="154">
        <v>40</v>
      </c>
      <c r="N16" s="155">
        <f>(M16-K16)/K16</f>
        <v>-0.38461538461538464</v>
      </c>
      <c r="O16" s="154">
        <v>41</v>
      </c>
      <c r="P16" s="155">
        <f>(O16-M16)/M16</f>
        <v>2.5000000000000001E-2</v>
      </c>
      <c r="Q16" s="154">
        <v>49</v>
      </c>
      <c r="R16" s="155">
        <f>(Q16-O16)/O16</f>
        <v>0.1951219512195122</v>
      </c>
      <c r="S16" s="1403"/>
      <c r="T16" s="1864"/>
      <c r="U16" s="1864"/>
      <c r="V16" s="1864"/>
      <c r="W16" s="1864"/>
      <c r="X16" s="1864"/>
      <c r="Y16" s="1864"/>
      <c r="Z16" s="1864"/>
      <c r="AA16" s="1864"/>
      <c r="AB16" s="1864"/>
      <c r="AC16" s="1864"/>
      <c r="AD16" s="1403"/>
      <c r="AE16" s="1185"/>
    </row>
    <row r="17" spans="1:31" x14ac:dyDescent="0.25">
      <c r="A17" s="342"/>
      <c r="B17" s="413"/>
      <c r="C17" s="345"/>
      <c r="D17" s="343"/>
      <c r="E17" s="344"/>
      <c r="F17" s="343"/>
      <c r="G17" s="344"/>
      <c r="H17" s="343"/>
      <c r="I17" s="344"/>
      <c r="J17" s="343"/>
      <c r="K17" s="344"/>
      <c r="L17" s="343"/>
      <c r="M17" s="344"/>
      <c r="N17" s="343"/>
      <c r="O17" s="344"/>
      <c r="P17" s="343"/>
      <c r="Q17" s="344"/>
      <c r="R17" s="343"/>
      <c r="S17" s="1403"/>
      <c r="T17" s="1866"/>
      <c r="U17" s="1866"/>
      <c r="V17" s="1866"/>
      <c r="W17" s="1866"/>
      <c r="X17" s="1866"/>
      <c r="Y17" s="1866"/>
      <c r="Z17" s="1866"/>
      <c r="AA17" s="1866"/>
      <c r="AB17" s="1866"/>
      <c r="AC17" s="1866"/>
      <c r="AD17" s="1814"/>
      <c r="AE17" s="1185"/>
    </row>
    <row r="18" spans="1:31" x14ac:dyDescent="0.25">
      <c r="A18" s="156" t="s">
        <v>1095</v>
      </c>
      <c r="B18" s="1026">
        <f>SUM(B6:B16)</f>
        <v>2361</v>
      </c>
      <c r="C18" s="339">
        <f>SUM(C6:C16)</f>
        <v>2540</v>
      </c>
      <c r="D18" s="340">
        <f>(C18-B18)/B18</f>
        <v>7.5815332486234649E-2</v>
      </c>
      <c r="E18" s="339">
        <f>SUM(E6:E16)</f>
        <v>2789</v>
      </c>
      <c r="F18" s="340">
        <f>(E18-C18)/C18</f>
        <v>9.8031496062992121E-2</v>
      </c>
      <c r="G18" s="339">
        <f>SUM(G6:G16)</f>
        <v>2996</v>
      </c>
      <c r="H18" s="340">
        <f>(G18-E18)/E18</f>
        <v>7.4220150591609899E-2</v>
      </c>
      <c r="I18" s="339">
        <f>SUM(I6:I16)</f>
        <v>3039</v>
      </c>
      <c r="J18" s="340">
        <f>(I18-G18)/G18</f>
        <v>1.4352469959946596E-2</v>
      </c>
      <c r="K18" s="339">
        <f>SUM(K6:K16)</f>
        <v>2969</v>
      </c>
      <c r="L18" s="340">
        <f>(K18-I18)/I18</f>
        <v>-2.303389272787101E-2</v>
      </c>
      <c r="M18" s="339">
        <f>SUM(M6:M16)</f>
        <v>2792</v>
      </c>
      <c r="N18" s="340">
        <f>(M18-K18)/K18</f>
        <v>-5.9616032334119232E-2</v>
      </c>
      <c r="O18" s="339">
        <f>SUM(O6:O16)</f>
        <v>2717</v>
      </c>
      <c r="P18" s="340">
        <f>(O18-M18)/M18</f>
        <v>-2.6862464183381087E-2</v>
      </c>
      <c r="Q18" s="339">
        <f>SUM(Q6:Q16)</f>
        <v>2659</v>
      </c>
      <c r="R18" s="340">
        <f>(Q18-O18)/O18</f>
        <v>-2.1347073978652927E-2</v>
      </c>
      <c r="S18" s="1403"/>
      <c r="T18" s="1866"/>
      <c r="U18" s="1866"/>
      <c r="V18" s="1866"/>
      <c r="W18" s="1866"/>
      <c r="X18" s="1866"/>
      <c r="Y18" s="1866"/>
      <c r="Z18" s="1866"/>
      <c r="AA18" s="1866"/>
      <c r="AB18" s="1866"/>
      <c r="AC18" s="1866"/>
      <c r="AD18" s="1814"/>
      <c r="AE18" s="1185"/>
    </row>
    <row r="19" spans="1:31" x14ac:dyDescent="0.25">
      <c r="A19" s="342"/>
      <c r="B19" s="413"/>
      <c r="C19" s="345"/>
      <c r="D19" s="343"/>
      <c r="E19" s="344"/>
      <c r="F19" s="343"/>
      <c r="G19" s="344"/>
      <c r="H19" s="343"/>
      <c r="I19" s="344"/>
      <c r="J19" s="343"/>
      <c r="K19" s="344"/>
      <c r="L19" s="343"/>
      <c r="M19" s="344"/>
      <c r="N19" s="343"/>
      <c r="O19" s="344"/>
      <c r="P19" s="343"/>
      <c r="Q19" s="344"/>
      <c r="R19" s="343"/>
      <c r="S19" s="1403"/>
      <c r="T19" s="1866"/>
      <c r="U19" s="1866"/>
      <c r="V19" s="1866"/>
      <c r="W19" s="1866"/>
      <c r="X19" s="1866"/>
      <c r="Y19" s="1866"/>
      <c r="Z19" s="1866"/>
      <c r="AA19" s="1866"/>
      <c r="AB19" s="1866"/>
      <c r="AC19" s="1866"/>
      <c r="AD19" s="1814"/>
      <c r="AE19" s="1185"/>
    </row>
    <row r="20" spans="1:31" x14ac:dyDescent="0.25">
      <c r="A20" s="153" t="s">
        <v>996</v>
      </c>
      <c r="B20" s="153">
        <v>20</v>
      </c>
      <c r="C20" s="154">
        <v>33</v>
      </c>
      <c r="D20" s="155">
        <f>(C20-B20)/B20</f>
        <v>0.65</v>
      </c>
      <c r="E20" s="154">
        <v>32</v>
      </c>
      <c r="F20" s="155">
        <f>(E20-C20)/C20</f>
        <v>-3.0303030303030304E-2</v>
      </c>
      <c r="G20" s="154">
        <v>42</v>
      </c>
      <c r="H20" s="155">
        <f>(G20-E20)/E20</f>
        <v>0.3125</v>
      </c>
      <c r="I20" s="154">
        <v>15</v>
      </c>
      <c r="J20" s="155">
        <f>(I20-G20)/G20</f>
        <v>-0.6428571428571429</v>
      </c>
      <c r="K20" s="154">
        <v>42</v>
      </c>
      <c r="L20" s="155">
        <f>(K20-I20)/I20</f>
        <v>1.8</v>
      </c>
      <c r="M20" s="154">
        <v>40</v>
      </c>
      <c r="N20" s="155">
        <f>(M20-K20)/K20</f>
        <v>-4.7619047619047616E-2</v>
      </c>
      <c r="O20" s="154">
        <v>30</v>
      </c>
      <c r="P20" s="155">
        <f>(O20-M20)/M20</f>
        <v>-0.25</v>
      </c>
      <c r="Q20" s="154">
        <v>7</v>
      </c>
      <c r="R20" s="155">
        <f>(Q20-O20)/O20</f>
        <v>-0.76666666666666672</v>
      </c>
      <c r="S20" s="1403"/>
      <c r="T20" s="1866"/>
      <c r="U20" s="1866"/>
      <c r="V20" s="1866"/>
      <c r="W20" s="1866"/>
      <c r="X20" s="1866"/>
      <c r="Y20" s="1866"/>
      <c r="Z20" s="1866"/>
      <c r="AA20" s="1866"/>
      <c r="AB20" s="1866"/>
      <c r="AC20" s="1866"/>
      <c r="AD20" s="1814"/>
      <c r="AE20" s="1185"/>
    </row>
    <row r="21" spans="1:31" x14ac:dyDescent="0.25">
      <c r="A21" s="342"/>
      <c r="B21" s="413"/>
      <c r="C21" s="345"/>
      <c r="D21" s="343"/>
      <c r="E21" s="344"/>
      <c r="F21" s="343"/>
      <c r="G21" s="344"/>
      <c r="H21" s="343"/>
      <c r="I21" s="344"/>
      <c r="J21" s="343"/>
      <c r="K21" s="344"/>
      <c r="L21" s="343"/>
      <c r="M21" s="344"/>
      <c r="N21" s="343"/>
      <c r="O21" s="344"/>
      <c r="P21" s="343"/>
      <c r="Q21" s="344"/>
      <c r="R21" s="343"/>
      <c r="S21" s="1403"/>
      <c r="T21" s="1866"/>
      <c r="U21" s="1866"/>
      <c r="V21" s="1866"/>
      <c r="W21" s="1866"/>
      <c r="X21" s="1866"/>
      <c r="Y21" s="1866"/>
      <c r="Z21" s="1866"/>
      <c r="AA21" s="1866"/>
      <c r="AB21" s="1866"/>
      <c r="AC21" s="1866"/>
      <c r="AD21" s="1814"/>
      <c r="AE21" s="1185"/>
    </row>
    <row r="22" spans="1:31" x14ac:dyDescent="0.25">
      <c r="A22" s="153" t="s">
        <v>995</v>
      </c>
      <c r="B22" s="153">
        <v>27</v>
      </c>
      <c r="C22" s="154">
        <v>41</v>
      </c>
      <c r="D22" s="155">
        <f>(C22-B22)/B22</f>
        <v>0.51851851851851849</v>
      </c>
      <c r="E22" s="154">
        <v>17</v>
      </c>
      <c r="F22" s="155">
        <f>(E22-C22)/C22</f>
        <v>-0.58536585365853655</v>
      </c>
      <c r="G22" s="154">
        <v>22</v>
      </c>
      <c r="H22" s="155">
        <f>(G22-E22)/E22</f>
        <v>0.29411764705882354</v>
      </c>
      <c r="I22" s="154">
        <v>15</v>
      </c>
      <c r="J22" s="155">
        <f>(I22-G22)/G22</f>
        <v>-0.31818181818181818</v>
      </c>
      <c r="K22" s="154">
        <v>38</v>
      </c>
      <c r="L22" s="155">
        <f>(K22-I22)/I22</f>
        <v>1.5333333333333334</v>
      </c>
      <c r="M22" s="154">
        <v>45</v>
      </c>
      <c r="N22" s="155">
        <f>(M22-K22)/K22</f>
        <v>0.18421052631578946</v>
      </c>
      <c r="O22" s="154">
        <v>40</v>
      </c>
      <c r="P22" s="155">
        <f>(O22-M22)/M22</f>
        <v>-0.1111111111111111</v>
      </c>
      <c r="Q22" s="154">
        <v>35</v>
      </c>
      <c r="R22" s="155">
        <f>(Q22-O22)/O22</f>
        <v>-0.125</v>
      </c>
      <c r="S22" s="1403"/>
      <c r="T22" s="1866"/>
      <c r="U22" s="1866"/>
      <c r="V22" s="1866"/>
      <c r="W22" s="1866"/>
      <c r="X22" s="1866"/>
      <c r="Y22" s="1866"/>
      <c r="Z22" s="1866"/>
      <c r="AA22" s="1866"/>
      <c r="AB22" s="1866"/>
      <c r="AC22" s="1866"/>
      <c r="AD22" s="1814"/>
      <c r="AE22" s="1185"/>
    </row>
    <row r="23" spans="1:31" x14ac:dyDescent="0.25">
      <c r="A23" s="342"/>
      <c r="B23" s="413"/>
      <c r="C23" s="345"/>
      <c r="D23" s="343"/>
      <c r="E23" s="344"/>
      <c r="F23" s="343"/>
      <c r="G23" s="344"/>
      <c r="H23" s="343"/>
      <c r="I23" s="344"/>
      <c r="J23" s="343"/>
      <c r="K23" s="344"/>
      <c r="L23" s="343"/>
      <c r="M23" s="344"/>
      <c r="N23" s="343"/>
      <c r="O23" s="344"/>
      <c r="P23" s="343"/>
      <c r="Q23" s="344"/>
      <c r="R23" s="343"/>
      <c r="S23" s="1403"/>
      <c r="T23" s="1866"/>
      <c r="U23" s="1866"/>
      <c r="V23" s="1866"/>
      <c r="W23" s="1866"/>
      <c r="X23" s="1866"/>
      <c r="Y23" s="1866"/>
      <c r="Z23" s="1866"/>
      <c r="AA23" s="1866"/>
      <c r="AB23" s="1866"/>
      <c r="AC23" s="1866"/>
      <c r="AD23" s="1814"/>
      <c r="AE23" s="1185"/>
    </row>
    <row r="24" spans="1:31" x14ac:dyDescent="0.25">
      <c r="A24" s="157" t="s">
        <v>1096</v>
      </c>
      <c r="B24" s="1026">
        <f>B20+B22</f>
        <v>47</v>
      </c>
      <c r="C24" s="339">
        <f>C20+C22</f>
        <v>74</v>
      </c>
      <c r="D24" s="340">
        <f>(C24-B24)/B24</f>
        <v>0.57446808510638303</v>
      </c>
      <c r="E24" s="339">
        <f>E20+E22</f>
        <v>49</v>
      </c>
      <c r="F24" s="340">
        <f>(E24-C24)/C24</f>
        <v>-0.33783783783783783</v>
      </c>
      <c r="G24" s="339">
        <f>G20+G22</f>
        <v>64</v>
      </c>
      <c r="H24" s="340">
        <f>(G24-E24)/E24</f>
        <v>0.30612244897959184</v>
      </c>
      <c r="I24" s="339">
        <f>I20+I22</f>
        <v>30</v>
      </c>
      <c r="J24" s="340">
        <f>(I24-G24)/G24</f>
        <v>-0.53125</v>
      </c>
      <c r="K24" s="339">
        <f>K20+K22</f>
        <v>80</v>
      </c>
      <c r="L24" s="340">
        <f>(K24-I24)/I24</f>
        <v>1.6666666666666667</v>
      </c>
      <c r="M24" s="339">
        <f>M20+M22</f>
        <v>85</v>
      </c>
      <c r="N24" s="340">
        <f>(M24-K24)/K24</f>
        <v>6.25E-2</v>
      </c>
      <c r="O24" s="339">
        <f>O20+O22</f>
        <v>70</v>
      </c>
      <c r="P24" s="340">
        <f>(O24-M24)/M24</f>
        <v>-0.17647058823529413</v>
      </c>
      <c r="Q24" s="339">
        <f>Q20+Q22</f>
        <v>42</v>
      </c>
      <c r="R24" s="340">
        <f>(Q24-O24)/O24</f>
        <v>-0.4</v>
      </c>
      <c r="T24" s="1867"/>
      <c r="U24" s="1867"/>
      <c r="V24" s="1867"/>
      <c r="W24" s="1867"/>
      <c r="X24" s="1867"/>
      <c r="Y24" s="1867"/>
      <c r="Z24" s="1867"/>
      <c r="AA24" s="1867"/>
      <c r="AB24" s="1867"/>
      <c r="AC24" s="1867"/>
    </row>
    <row r="25" spans="1:31" x14ac:dyDescent="0.25">
      <c r="A25" s="342"/>
      <c r="B25" s="413"/>
      <c r="C25" s="345"/>
      <c r="D25" s="343"/>
      <c r="E25" s="344"/>
      <c r="F25" s="343"/>
      <c r="G25" s="344"/>
      <c r="H25" s="343"/>
      <c r="I25" s="344"/>
      <c r="J25" s="343"/>
      <c r="K25" s="344"/>
      <c r="L25" s="343"/>
      <c r="M25" s="344"/>
      <c r="N25" s="343"/>
      <c r="O25" s="344"/>
      <c r="P25" s="343"/>
      <c r="Q25" s="344"/>
      <c r="R25" s="343"/>
      <c r="T25" s="1867"/>
      <c r="U25" s="1867"/>
      <c r="V25" s="1867"/>
      <c r="W25" s="1867"/>
      <c r="X25" s="1867"/>
      <c r="Y25" s="1867"/>
      <c r="Z25" s="1867"/>
      <c r="AA25" s="1867"/>
      <c r="AB25" s="1867"/>
      <c r="AC25" s="1867"/>
    </row>
    <row r="26" spans="1:31" x14ac:dyDescent="0.25">
      <c r="A26" s="158" t="s">
        <v>1003</v>
      </c>
      <c r="B26" s="1026">
        <f>B18+B24</f>
        <v>2408</v>
      </c>
      <c r="C26" s="339">
        <f>C18+C24</f>
        <v>2614</v>
      </c>
      <c r="D26" s="340">
        <f>(C26-B26)/B26</f>
        <v>8.5548172757475088E-2</v>
      </c>
      <c r="E26" s="339">
        <f>E18+E24</f>
        <v>2838</v>
      </c>
      <c r="F26" s="340">
        <f>(E26-C26)/C26</f>
        <v>8.5692425401683245E-2</v>
      </c>
      <c r="G26" s="339">
        <f>G18+G24</f>
        <v>3060</v>
      </c>
      <c r="H26" s="340">
        <f>(G26-E26)/E26</f>
        <v>7.8224101479915431E-2</v>
      </c>
      <c r="I26" s="339">
        <f>I18+I24</f>
        <v>3069</v>
      </c>
      <c r="J26" s="340">
        <f>(I26-G26)/G26</f>
        <v>2.9411764705882353E-3</v>
      </c>
      <c r="K26" s="339">
        <f>K18+K24</f>
        <v>3049</v>
      </c>
      <c r="L26" s="340">
        <f>(K26-I26)/I26</f>
        <v>-6.5167807103290974E-3</v>
      </c>
      <c r="M26" s="339">
        <f>M18+M24</f>
        <v>2877</v>
      </c>
      <c r="N26" s="340">
        <f>(M26-K26)/K26</f>
        <v>-5.6411938340439491E-2</v>
      </c>
      <c r="O26" s="339">
        <f>O18+O24</f>
        <v>2787</v>
      </c>
      <c r="P26" s="340">
        <f>(O26-M26)/M26</f>
        <v>-3.1282586027111578E-2</v>
      </c>
      <c r="Q26" s="339">
        <f>Q18+Q24</f>
        <v>2701</v>
      </c>
      <c r="R26" s="340">
        <f>(Q26-O26)/O26</f>
        <v>-3.0857552924291352E-2</v>
      </c>
      <c r="T26" s="1867"/>
      <c r="U26" s="1867"/>
      <c r="V26" s="1867"/>
      <c r="W26" s="1867"/>
      <c r="X26" s="1867"/>
      <c r="Y26" s="1867"/>
      <c r="Z26" s="1867"/>
      <c r="AA26" s="1867"/>
      <c r="AB26" s="1867"/>
      <c r="AC26" s="1867"/>
    </row>
    <row r="27" spans="1:31" x14ac:dyDescent="0.25">
      <c r="I27" s="325"/>
      <c r="K27" s="325"/>
      <c r="M27" s="325"/>
      <c r="T27" s="1867"/>
      <c r="U27" s="1867"/>
      <c r="V27" s="1867"/>
      <c r="W27" s="1867"/>
      <c r="X27" s="1867"/>
      <c r="Y27" s="1867"/>
      <c r="Z27" s="1867"/>
      <c r="AA27" s="1867"/>
      <c r="AB27" s="1867"/>
      <c r="AC27" s="1867"/>
    </row>
    <row r="28" spans="1:31" x14ac:dyDescent="0.25">
      <c r="T28" s="1867"/>
      <c r="U28" s="1867"/>
      <c r="V28" s="1867"/>
      <c r="W28" s="1867"/>
      <c r="X28" s="1867"/>
      <c r="Y28" s="1867"/>
      <c r="Z28" s="1867"/>
      <c r="AA28" s="1867"/>
      <c r="AB28" s="1867"/>
      <c r="AC28" s="1867"/>
    </row>
    <row r="29" spans="1:31" x14ac:dyDescent="0.25">
      <c r="T29" s="1867"/>
      <c r="U29" s="1867"/>
      <c r="V29" s="1867"/>
      <c r="W29" s="1867"/>
      <c r="X29" s="1867"/>
      <c r="Y29" s="1867"/>
      <c r="Z29" s="1867"/>
      <c r="AA29" s="1867"/>
      <c r="AB29" s="1867"/>
      <c r="AC29" s="1867"/>
    </row>
    <row r="30" spans="1:31" x14ac:dyDescent="0.25">
      <c r="T30" s="1867"/>
      <c r="U30" s="1867"/>
      <c r="V30" s="1867"/>
      <c r="W30" s="1867"/>
      <c r="X30" s="1867"/>
      <c r="Y30" s="1867"/>
      <c r="Z30" s="1867"/>
      <c r="AA30" s="1867"/>
      <c r="AB30" s="1867"/>
      <c r="AC30" s="1867"/>
    </row>
    <row r="31" spans="1:31" x14ac:dyDescent="0.25">
      <c r="T31" s="1867"/>
      <c r="U31" s="1867"/>
      <c r="V31" s="1867"/>
      <c r="W31" s="1867"/>
      <c r="X31" s="1867"/>
      <c r="Y31" s="1867"/>
      <c r="Z31" s="1867"/>
      <c r="AA31" s="1867"/>
      <c r="AB31" s="1867"/>
      <c r="AC31" s="1867"/>
    </row>
    <row r="32" spans="1:31" x14ac:dyDescent="0.25">
      <c r="T32" s="1867"/>
      <c r="U32" s="1867"/>
      <c r="V32" s="1867"/>
      <c r="W32" s="1867"/>
      <c r="X32" s="1867"/>
      <c r="Y32" s="1867"/>
      <c r="Z32" s="1867"/>
      <c r="AA32" s="1867"/>
      <c r="AB32" s="1867"/>
      <c r="AC32" s="1867"/>
    </row>
    <row r="33" spans="20:29" x14ac:dyDescent="0.25">
      <c r="T33" s="1867"/>
      <c r="U33" s="1867"/>
      <c r="V33" s="1867"/>
      <c r="W33" s="1867"/>
      <c r="X33" s="1867"/>
      <c r="Y33" s="1867"/>
      <c r="Z33" s="1867"/>
      <c r="AA33" s="1867"/>
      <c r="AB33" s="1867"/>
      <c r="AC33" s="1867"/>
    </row>
    <row r="34" spans="20:29" x14ac:dyDescent="0.25">
      <c r="T34" s="1867"/>
      <c r="U34" s="1867"/>
      <c r="V34" s="1867"/>
      <c r="W34" s="1867"/>
      <c r="X34" s="1867"/>
      <c r="Y34" s="1867"/>
      <c r="Z34" s="1867"/>
      <c r="AA34" s="1867"/>
      <c r="AB34" s="1867"/>
      <c r="AC34" s="1867"/>
    </row>
  </sheetData>
  <mergeCells count="9">
    <mergeCell ref="A1:R1"/>
    <mergeCell ref="Q3:R3"/>
    <mergeCell ref="O3:P3"/>
    <mergeCell ref="M3:N3"/>
    <mergeCell ref="K3:L3"/>
    <mergeCell ref="C3:D3"/>
    <mergeCell ref="E3:F3"/>
    <mergeCell ref="G3:H3"/>
    <mergeCell ref="I3:J3"/>
  </mergeCells>
  <phoneticPr fontId="16" type="noConversion"/>
  <printOptions horizontalCentered="1" verticalCentered="1"/>
  <pageMargins left="0.5" right="0.5" top="0.25" bottom="0.75" header="0.5" footer="0.5"/>
  <pageSetup scale="80" orientation="portrait" r:id="rId1"/>
  <headerFooter alignWithMargins="0">
    <oddFooter xml:space="preserve">&amp;LSource: Office of Institutional Research&amp;R
</oddFooter>
  </headerFooter>
  <drawing r:id="rId2"/>
  <webPublishItems count="1">
    <webPublishItem id="10191" divId="FINAL COPY 2000_2001 FACT BOOK_10191" sourceType="sheet" destinationFile="U:\My Documents\2004-2005 FACT BOOK\2004-2005 fact book WEB PAGES\04-05fallenrollmentbyclassandgraph.htm"/>
  </webPublishItem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AQ28"/>
  <sheetViews>
    <sheetView zoomScale="80" zoomScaleNormal="80" workbookViewId="0">
      <selection sqref="A1:R1"/>
    </sheetView>
  </sheetViews>
  <sheetFormatPr defaultColWidth="6.6640625" defaultRowHeight="13.2" x14ac:dyDescent="0.25"/>
  <cols>
    <col min="1" max="1" width="18.6640625" style="145" customWidth="1"/>
    <col min="2" max="8" width="12.6640625" style="145" hidden="1" customWidth="1"/>
    <col min="9" max="20" width="12.6640625" style="145" customWidth="1"/>
    <col min="21" max="21" width="6.6640625" style="145" customWidth="1"/>
    <col min="22" max="22" width="19.44140625" style="145" bestFit="1" customWidth="1"/>
    <col min="23" max="24" width="6.6640625" style="145" customWidth="1"/>
    <col min="25" max="16384" width="6.6640625" style="145"/>
  </cols>
  <sheetData>
    <row r="1" spans="1:43" ht="39" customHeight="1" x14ac:dyDescent="0.35">
      <c r="A1" s="2170" t="s">
        <v>1097</v>
      </c>
      <c r="B1" s="2170"/>
      <c r="C1" s="2170"/>
      <c r="D1" s="2170"/>
      <c r="E1" s="2170"/>
      <c r="F1" s="2170"/>
      <c r="G1" s="2170"/>
      <c r="H1" s="2170"/>
      <c r="I1" s="2170"/>
      <c r="J1" s="2170"/>
      <c r="K1" s="2170"/>
      <c r="L1" s="2170"/>
      <c r="M1" s="2170"/>
      <c r="N1" s="2170"/>
      <c r="O1" s="2170"/>
      <c r="P1" s="2170"/>
      <c r="Q1" s="2170"/>
      <c r="R1" s="2170"/>
      <c r="S1" s="1943"/>
      <c r="T1" s="1943"/>
      <c r="U1" s="1055"/>
      <c r="V1" s="1055"/>
      <c r="W1" s="1055"/>
      <c r="X1" s="1055"/>
      <c r="Y1" s="1055"/>
      <c r="Z1" s="1055"/>
      <c r="AA1" s="1055"/>
      <c r="AB1" s="1055"/>
      <c r="AC1" s="1055"/>
      <c r="AD1" s="1055"/>
      <c r="AE1" s="1055"/>
      <c r="AF1" s="1055"/>
    </row>
    <row r="2" spans="1:43" ht="12.75" customHeight="1" x14ac:dyDescent="0.35">
      <c r="A2" s="159"/>
      <c r="B2" s="160"/>
      <c r="C2" s="160"/>
      <c r="D2" s="160"/>
      <c r="E2" s="160"/>
      <c r="F2" s="160"/>
      <c r="G2" s="160"/>
      <c r="H2" s="160"/>
      <c r="I2" s="160"/>
      <c r="J2" s="160"/>
      <c r="U2" s="1055"/>
      <c r="V2" s="1055" t="s">
        <v>1365</v>
      </c>
      <c r="W2" s="1055"/>
      <c r="X2" s="1055"/>
      <c r="Y2" s="1055"/>
      <c r="Z2" s="1055"/>
      <c r="AA2" s="1055"/>
      <c r="AB2" s="1055"/>
      <c r="AC2" s="1055"/>
      <c r="AD2" s="1055"/>
      <c r="AE2" s="1055"/>
      <c r="AF2" s="1055"/>
      <c r="AG2" s="1404"/>
      <c r="AH2" s="1404"/>
      <c r="AI2" s="1404"/>
      <c r="AJ2" s="1404"/>
      <c r="AK2" s="1404"/>
      <c r="AL2" s="1404"/>
      <c r="AM2" s="1404"/>
      <c r="AN2" s="1404"/>
      <c r="AO2" s="1404"/>
      <c r="AP2" s="1404"/>
      <c r="AQ2" s="1404"/>
    </row>
    <row r="3" spans="1:43" x14ac:dyDescent="0.25">
      <c r="A3" s="149"/>
      <c r="B3" s="427">
        <v>2008</v>
      </c>
      <c r="C3" s="2171">
        <f>+B3+1</f>
        <v>2009</v>
      </c>
      <c r="D3" s="2172"/>
      <c r="E3" s="2171">
        <f>+C3+1</f>
        <v>2010</v>
      </c>
      <c r="F3" s="2172"/>
      <c r="G3" s="2171">
        <f>+E3+1</f>
        <v>2011</v>
      </c>
      <c r="H3" s="2172"/>
      <c r="I3" s="2171">
        <f>+G3+1</f>
        <v>2012</v>
      </c>
      <c r="J3" s="2173"/>
      <c r="K3" s="2171">
        <f>+I3+1</f>
        <v>2013</v>
      </c>
      <c r="L3" s="2173"/>
      <c r="M3" s="2171">
        <f>+K3+1</f>
        <v>2014</v>
      </c>
      <c r="N3" s="2173"/>
      <c r="O3" s="2171">
        <f>+M3+1</f>
        <v>2015</v>
      </c>
      <c r="P3" s="2173"/>
      <c r="Q3" s="2171">
        <f>+O3+1</f>
        <v>2016</v>
      </c>
      <c r="R3" s="2173"/>
      <c r="S3" s="1944"/>
      <c r="T3" s="1944"/>
      <c r="U3" s="1055"/>
      <c r="V3" s="1055"/>
      <c r="W3" s="1055"/>
      <c r="X3" s="1055"/>
      <c r="Y3" s="1055"/>
      <c r="Z3" s="1055"/>
      <c r="AA3" s="1055"/>
      <c r="AB3" s="1055"/>
      <c r="AC3" s="1055"/>
      <c r="AD3" s="1055"/>
      <c r="AE3" s="1055"/>
      <c r="AF3" s="1055"/>
      <c r="AG3" s="1404"/>
      <c r="AH3" s="1404"/>
      <c r="AI3" s="1404"/>
      <c r="AJ3" s="1404"/>
      <c r="AK3" s="1404"/>
      <c r="AL3" s="1404"/>
      <c r="AM3" s="1404"/>
      <c r="AN3" s="1404"/>
      <c r="AO3" s="1404"/>
      <c r="AP3" s="1404"/>
      <c r="AQ3" s="1404"/>
    </row>
    <row r="4" spans="1:43" ht="30" customHeight="1" x14ac:dyDescent="0.25">
      <c r="A4" s="150" t="s">
        <v>1364</v>
      </c>
      <c r="B4" s="412" t="s">
        <v>1087</v>
      </c>
      <c r="C4" s="151" t="s">
        <v>1087</v>
      </c>
      <c r="D4" s="152" t="s">
        <v>1088</v>
      </c>
      <c r="E4" s="151" t="s">
        <v>1087</v>
      </c>
      <c r="F4" s="152" t="s">
        <v>1088</v>
      </c>
      <c r="G4" s="151" t="s">
        <v>1087</v>
      </c>
      <c r="H4" s="152" t="s">
        <v>1088</v>
      </c>
      <c r="I4" s="151" t="s">
        <v>1087</v>
      </c>
      <c r="J4" s="152" t="s">
        <v>1088</v>
      </c>
      <c r="K4" s="151" t="s">
        <v>1087</v>
      </c>
      <c r="L4" s="152" t="s">
        <v>1088</v>
      </c>
      <c r="M4" s="151" t="s">
        <v>1087</v>
      </c>
      <c r="N4" s="152" t="s">
        <v>1088</v>
      </c>
      <c r="O4" s="151" t="s">
        <v>1087</v>
      </c>
      <c r="P4" s="152" t="s">
        <v>1088</v>
      </c>
      <c r="Q4" s="151" t="s">
        <v>1087</v>
      </c>
      <c r="R4" s="152" t="s">
        <v>1088</v>
      </c>
      <c r="S4" s="1185"/>
      <c r="T4" s="1185"/>
      <c r="U4" s="1055"/>
      <c r="V4" s="1055"/>
      <c r="W4" s="1055">
        <v>2008</v>
      </c>
      <c r="X4" s="1055">
        <f t="shared" ref="X4:AC4" si="0">+W4+1</f>
        <v>2009</v>
      </c>
      <c r="Y4" s="1055">
        <f t="shared" si="0"/>
        <v>2010</v>
      </c>
      <c r="Z4" s="1055">
        <f t="shared" si="0"/>
        <v>2011</v>
      </c>
      <c r="AA4" s="1055">
        <f t="shared" si="0"/>
        <v>2012</v>
      </c>
      <c r="AB4" s="1055">
        <f t="shared" si="0"/>
        <v>2013</v>
      </c>
      <c r="AC4" s="1055">
        <f t="shared" si="0"/>
        <v>2014</v>
      </c>
      <c r="AD4" s="1055">
        <v>2015</v>
      </c>
      <c r="AE4" s="1055">
        <v>2016</v>
      </c>
      <c r="AF4" s="1055"/>
      <c r="AG4" s="1185"/>
      <c r="AH4" s="1404"/>
      <c r="AI4" s="1404"/>
      <c r="AJ4" s="1404"/>
      <c r="AK4" s="1404"/>
      <c r="AL4" s="1404"/>
      <c r="AM4" s="1404"/>
      <c r="AN4" s="1404"/>
      <c r="AO4" s="1404"/>
      <c r="AP4" s="1404"/>
      <c r="AQ4" s="1404"/>
    </row>
    <row r="5" spans="1:43" x14ac:dyDescent="0.25">
      <c r="A5" s="342"/>
      <c r="B5" s="413"/>
      <c r="C5" s="345"/>
      <c r="D5" s="343"/>
      <c r="E5" s="413"/>
      <c r="F5" s="343"/>
      <c r="G5" s="344"/>
      <c r="H5" s="343"/>
      <c r="I5" s="344"/>
      <c r="J5" s="343"/>
      <c r="K5" s="344"/>
      <c r="L5" s="343"/>
      <c r="M5" s="344"/>
      <c r="N5" s="343"/>
      <c r="O5" s="344"/>
      <c r="P5" s="343"/>
      <c r="Q5" s="344"/>
      <c r="R5" s="343"/>
      <c r="S5" s="1185"/>
      <c r="T5" s="1185"/>
      <c r="U5" s="1055"/>
      <c r="V5" s="1055" t="s">
        <v>1089</v>
      </c>
      <c r="W5" s="1055">
        <f>+B6</f>
        <v>266</v>
      </c>
      <c r="X5" s="1055">
        <f>+C6</f>
        <v>619</v>
      </c>
      <c r="Y5" s="1055">
        <f>+E6</f>
        <v>471</v>
      </c>
      <c r="Z5" s="1055">
        <f>+G6</f>
        <v>505</v>
      </c>
      <c r="AA5" s="1055">
        <f>+I6</f>
        <v>459</v>
      </c>
      <c r="AB5" s="1055">
        <f>+K6</f>
        <v>677</v>
      </c>
      <c r="AC5" s="1055">
        <f>+M6</f>
        <v>615</v>
      </c>
      <c r="AD5" s="1055">
        <f>+O6</f>
        <v>589</v>
      </c>
      <c r="AE5" s="1055">
        <f>+Q6</f>
        <v>593</v>
      </c>
      <c r="AF5" s="1055"/>
      <c r="AG5" s="1185"/>
      <c r="AH5" s="1404"/>
      <c r="AI5" s="1404"/>
      <c r="AJ5" s="1404"/>
      <c r="AK5" s="1404"/>
      <c r="AL5" s="1404"/>
      <c r="AM5" s="1404"/>
      <c r="AN5" s="1404"/>
      <c r="AO5" s="1404"/>
      <c r="AP5" s="1404"/>
      <c r="AQ5" s="1404"/>
    </row>
    <row r="6" spans="1:43" x14ac:dyDescent="0.25">
      <c r="A6" s="153" t="s">
        <v>1089</v>
      </c>
      <c r="B6" s="153">
        <v>266</v>
      </c>
      <c r="C6" s="154">
        <v>619</v>
      </c>
      <c r="D6" s="155">
        <f>(C6-B6)/B6</f>
        <v>1.3270676691729324</v>
      </c>
      <c r="E6" s="153">
        <v>471</v>
      </c>
      <c r="F6" s="155">
        <f>(E6-C6)/C6</f>
        <v>-0.23909531502423265</v>
      </c>
      <c r="G6" s="154">
        <v>505</v>
      </c>
      <c r="H6" s="155">
        <f>(G6-E6)/E6</f>
        <v>7.2186836518046707E-2</v>
      </c>
      <c r="I6" s="154">
        <v>459</v>
      </c>
      <c r="J6" s="155">
        <f>(I6-G6)/G6</f>
        <v>-9.1089108910891087E-2</v>
      </c>
      <c r="K6" s="154">
        <v>677</v>
      </c>
      <c r="L6" s="155">
        <f>(K6-I6)/I6</f>
        <v>0.47494553376906318</v>
      </c>
      <c r="M6" s="154">
        <v>615</v>
      </c>
      <c r="N6" s="155">
        <f>(M6-K6)/K6</f>
        <v>-9.1580502215657306E-2</v>
      </c>
      <c r="O6" s="154">
        <v>589</v>
      </c>
      <c r="P6" s="155">
        <f>(O6-M6)/M6</f>
        <v>-4.2276422764227641E-2</v>
      </c>
      <c r="Q6" s="154">
        <v>593</v>
      </c>
      <c r="R6" s="155">
        <f>(Q6-O6)/O6</f>
        <v>6.7911714770797962E-3</v>
      </c>
      <c r="S6" s="1185"/>
      <c r="T6" s="1185"/>
      <c r="U6" s="1055"/>
      <c r="V6" s="1055" t="s">
        <v>1090</v>
      </c>
      <c r="W6" s="1055">
        <f>+B8</f>
        <v>519</v>
      </c>
      <c r="X6" s="1055">
        <f>+C8</f>
        <v>474</v>
      </c>
      <c r="Y6" s="1055">
        <f>+E7+E8</f>
        <v>633</v>
      </c>
      <c r="Z6" s="1055">
        <f>+G8</f>
        <v>717</v>
      </c>
      <c r="AA6" s="1055">
        <f>+I8</f>
        <v>660</v>
      </c>
      <c r="AB6" s="1055">
        <f>+K8</f>
        <v>605</v>
      </c>
      <c r="AC6" s="1055">
        <f>+M8</f>
        <v>576</v>
      </c>
      <c r="AD6" s="1055">
        <f>+O8</f>
        <v>537</v>
      </c>
      <c r="AE6" s="1055">
        <f>+Q8</f>
        <v>533</v>
      </c>
      <c r="AF6" s="1055"/>
      <c r="AG6" s="1185"/>
      <c r="AH6" s="1404"/>
      <c r="AI6" s="1404"/>
      <c r="AJ6" s="1404"/>
      <c r="AK6" s="1404"/>
      <c r="AL6" s="1404"/>
      <c r="AM6" s="1404"/>
      <c r="AN6" s="1404"/>
      <c r="AO6" s="1404"/>
      <c r="AP6" s="1404"/>
      <c r="AQ6" s="1404"/>
    </row>
    <row r="7" spans="1:43" x14ac:dyDescent="0.25">
      <c r="A7" s="342"/>
      <c r="B7" s="413"/>
      <c r="C7" s="345"/>
      <c r="D7" s="343"/>
      <c r="E7" s="413"/>
      <c r="F7" s="343"/>
      <c r="G7" s="344"/>
      <c r="H7" s="343"/>
      <c r="I7" s="344"/>
      <c r="J7" s="343"/>
      <c r="K7" s="344"/>
      <c r="L7" s="343"/>
      <c r="M7" s="344"/>
      <c r="N7" s="343"/>
      <c r="O7" s="344"/>
      <c r="P7" s="343"/>
      <c r="Q7" s="344"/>
      <c r="R7" s="343"/>
      <c r="S7" s="1185"/>
      <c r="T7" s="1185"/>
      <c r="U7" s="1055"/>
      <c r="V7" s="1055" t="s">
        <v>1091</v>
      </c>
      <c r="W7" s="1055">
        <f>+B10</f>
        <v>482</v>
      </c>
      <c r="X7" s="1055">
        <f>+C10</f>
        <v>536</v>
      </c>
      <c r="Y7" s="1055">
        <f>+E10</f>
        <v>519</v>
      </c>
      <c r="Z7" s="1055">
        <f>+G10</f>
        <v>562</v>
      </c>
      <c r="AA7" s="1055">
        <f>+I10</f>
        <v>618</v>
      </c>
      <c r="AB7" s="1055">
        <f>+K10</f>
        <v>609</v>
      </c>
      <c r="AC7" s="1055">
        <f>+M10</f>
        <v>539</v>
      </c>
      <c r="AD7" s="1055">
        <f>+O10</f>
        <v>560</v>
      </c>
      <c r="AE7" s="1055">
        <f>+Q10</f>
        <v>511</v>
      </c>
      <c r="AF7" s="1055"/>
      <c r="AG7" s="1185"/>
      <c r="AH7" s="1404"/>
      <c r="AI7" s="1404"/>
      <c r="AJ7" s="1404"/>
      <c r="AK7" s="1404"/>
      <c r="AL7" s="1404"/>
      <c r="AM7" s="1404"/>
      <c r="AN7" s="1404"/>
      <c r="AO7" s="1404"/>
      <c r="AP7" s="1404"/>
      <c r="AQ7" s="1404"/>
    </row>
    <row r="8" spans="1:43" x14ac:dyDescent="0.25">
      <c r="A8" s="153" t="s">
        <v>1090</v>
      </c>
      <c r="B8" s="153">
        <v>519</v>
      </c>
      <c r="C8" s="154">
        <v>474</v>
      </c>
      <c r="D8" s="155">
        <f>(C8-B8)/B8</f>
        <v>-8.6705202312138727E-2</v>
      </c>
      <c r="E8" s="153">
        <v>633</v>
      </c>
      <c r="F8" s="155">
        <f>(E8-C8)/C8</f>
        <v>0.33544303797468356</v>
      </c>
      <c r="G8" s="154">
        <v>717</v>
      </c>
      <c r="H8" s="155">
        <f>(G8-E8)/E8</f>
        <v>0.13270142180094788</v>
      </c>
      <c r="I8" s="154">
        <v>660</v>
      </c>
      <c r="J8" s="155">
        <f>(I8-G8)/G8</f>
        <v>-7.9497907949790794E-2</v>
      </c>
      <c r="K8" s="154">
        <v>605</v>
      </c>
      <c r="L8" s="155">
        <f>(K8-I8)/I8</f>
        <v>-8.3333333333333329E-2</v>
      </c>
      <c r="M8" s="154">
        <v>576</v>
      </c>
      <c r="N8" s="155">
        <f>(M8-K8)/K8</f>
        <v>-4.7933884297520664E-2</v>
      </c>
      <c r="O8" s="154">
        <v>537</v>
      </c>
      <c r="P8" s="155">
        <f>(O8-M8)/M8</f>
        <v>-6.7708333333333329E-2</v>
      </c>
      <c r="Q8" s="154">
        <v>533</v>
      </c>
      <c r="R8" s="155">
        <f>(Q8-O8)/O8</f>
        <v>-7.4487895716945996E-3</v>
      </c>
      <c r="S8" s="1185"/>
      <c r="T8" s="1185"/>
      <c r="U8" s="1055"/>
      <c r="V8" s="1055" t="s">
        <v>1092</v>
      </c>
      <c r="W8" s="1055">
        <f>+B12</f>
        <v>877</v>
      </c>
      <c r="X8" s="1055">
        <f>+C12</f>
        <v>663</v>
      </c>
      <c r="Y8" s="1055">
        <f>+E12</f>
        <v>904</v>
      </c>
      <c r="Z8" s="1055">
        <f>+G12</f>
        <v>906</v>
      </c>
      <c r="AA8" s="1055">
        <f>+I12</f>
        <v>963</v>
      </c>
      <c r="AB8" s="1055">
        <f>+K12</f>
        <v>730</v>
      </c>
      <c r="AC8" s="1055">
        <f>+M12</f>
        <v>739</v>
      </c>
      <c r="AD8" s="1055">
        <f>+O12</f>
        <v>708</v>
      </c>
      <c r="AE8" s="1055">
        <f>+Q12</f>
        <v>687</v>
      </c>
      <c r="AF8" s="1055"/>
      <c r="AG8" s="1185"/>
      <c r="AH8" s="1404"/>
      <c r="AI8" s="1404"/>
      <c r="AJ8" s="1404"/>
      <c r="AK8" s="1404"/>
      <c r="AL8" s="1404"/>
      <c r="AM8" s="1404"/>
      <c r="AN8" s="1404"/>
      <c r="AO8" s="1404"/>
      <c r="AP8" s="1404"/>
      <c r="AQ8" s="1404"/>
    </row>
    <row r="9" spans="1:43" x14ac:dyDescent="0.25">
      <c r="A9" s="342"/>
      <c r="B9" s="413"/>
      <c r="C9" s="345"/>
      <c r="D9" s="343"/>
      <c r="E9" s="413"/>
      <c r="F9" s="343"/>
      <c r="G9" s="344"/>
      <c r="H9" s="343"/>
      <c r="I9" s="344"/>
      <c r="J9" s="343"/>
      <c r="K9" s="344"/>
      <c r="L9" s="343"/>
      <c r="M9" s="344"/>
      <c r="N9" s="343"/>
      <c r="O9" s="344"/>
      <c r="P9" s="343"/>
      <c r="Q9" s="344"/>
      <c r="R9" s="343"/>
      <c r="S9" s="1185"/>
      <c r="T9" s="1185"/>
      <c r="U9" s="1055"/>
      <c r="V9" s="1055" t="s">
        <v>1093</v>
      </c>
      <c r="W9" s="1055">
        <f>+B14</f>
        <v>41</v>
      </c>
      <c r="X9" s="1055">
        <f>+C14</f>
        <v>42</v>
      </c>
      <c r="Y9" s="1055">
        <f>+E14</f>
        <v>34</v>
      </c>
      <c r="Z9" s="1055">
        <f>+G14</f>
        <v>38</v>
      </c>
      <c r="AA9" s="1055">
        <f>+I14</f>
        <v>40</v>
      </c>
      <c r="AB9" s="1055">
        <f>+K14</f>
        <v>44</v>
      </c>
      <c r="AC9" s="1055">
        <f>+M14</f>
        <v>41</v>
      </c>
      <c r="AD9" s="1055">
        <f>+O14</f>
        <v>35</v>
      </c>
      <c r="AE9" s="1055">
        <f>+Q14</f>
        <v>31</v>
      </c>
      <c r="AF9" s="1055"/>
      <c r="AG9" s="1185"/>
      <c r="AH9" s="1404"/>
      <c r="AI9" s="1404"/>
      <c r="AJ9" s="1404"/>
      <c r="AK9" s="1404"/>
      <c r="AL9" s="1404"/>
      <c r="AM9" s="1404"/>
      <c r="AN9" s="1404"/>
      <c r="AO9" s="1404"/>
      <c r="AP9" s="1404"/>
      <c r="AQ9" s="1404"/>
    </row>
    <row r="10" spans="1:43" x14ac:dyDescent="0.25">
      <c r="A10" s="153" t="s">
        <v>1091</v>
      </c>
      <c r="B10" s="153">
        <v>482</v>
      </c>
      <c r="C10" s="154">
        <v>536</v>
      </c>
      <c r="D10" s="155">
        <f>(C10-B10)/B10</f>
        <v>0.11203319502074689</v>
      </c>
      <c r="E10" s="153">
        <v>519</v>
      </c>
      <c r="F10" s="155">
        <f>(E10-C10)/C10</f>
        <v>-3.1716417910447763E-2</v>
      </c>
      <c r="G10" s="154">
        <v>562</v>
      </c>
      <c r="H10" s="155">
        <f>(G10-E10)/E10</f>
        <v>8.2851637764932567E-2</v>
      </c>
      <c r="I10" s="154">
        <v>618</v>
      </c>
      <c r="J10" s="155">
        <f>(I10-G10)/G10</f>
        <v>9.9644128113879002E-2</v>
      </c>
      <c r="K10" s="154">
        <v>609</v>
      </c>
      <c r="L10" s="155">
        <f>(K10-I10)/I10</f>
        <v>-1.4563106796116505E-2</v>
      </c>
      <c r="M10" s="154">
        <v>539</v>
      </c>
      <c r="N10" s="155">
        <f>(M10-K10)/K10</f>
        <v>-0.11494252873563218</v>
      </c>
      <c r="O10" s="154">
        <v>560</v>
      </c>
      <c r="P10" s="155">
        <f>(O10-M10)/M10</f>
        <v>3.896103896103896E-2</v>
      </c>
      <c r="Q10" s="154">
        <v>511</v>
      </c>
      <c r="R10" s="155">
        <f>(Q10-O10)/O10</f>
        <v>-8.7499999999999994E-2</v>
      </c>
      <c r="S10" s="1185"/>
      <c r="T10" s="1185"/>
      <c r="U10" s="1055"/>
      <c r="V10" s="1055" t="s">
        <v>1094</v>
      </c>
      <c r="W10" s="1055">
        <f>+B16</f>
        <v>44</v>
      </c>
      <c r="X10" s="1055">
        <f>+C16</f>
        <v>48</v>
      </c>
      <c r="Y10" s="1055">
        <f>+E16</f>
        <v>60</v>
      </c>
      <c r="Z10" s="1055">
        <f>+G16</f>
        <v>24</v>
      </c>
      <c r="AA10" s="1055">
        <f>+I16</f>
        <v>24</v>
      </c>
      <c r="AB10" s="1055">
        <f>+K16</f>
        <v>20</v>
      </c>
      <c r="AC10" s="1055">
        <f>+M16</f>
        <v>31</v>
      </c>
      <c r="AD10" s="1055">
        <f>+O16</f>
        <v>24</v>
      </c>
      <c r="AE10" s="1055">
        <f>+Q16</f>
        <v>55</v>
      </c>
      <c r="AF10" s="1055"/>
      <c r="AG10" s="1185"/>
      <c r="AH10" s="1404"/>
      <c r="AI10" s="1404"/>
      <c r="AJ10" s="1404"/>
      <c r="AK10" s="1404"/>
      <c r="AL10" s="1404"/>
      <c r="AM10" s="1404"/>
      <c r="AN10" s="1404"/>
      <c r="AO10" s="1404"/>
      <c r="AP10" s="1404"/>
      <c r="AQ10" s="1404"/>
    </row>
    <row r="11" spans="1:43" x14ac:dyDescent="0.25">
      <c r="A11" s="342"/>
      <c r="B11" s="413"/>
      <c r="C11" s="345"/>
      <c r="D11" s="343"/>
      <c r="E11" s="413"/>
      <c r="F11" s="343"/>
      <c r="G11" s="344"/>
      <c r="H11" s="343"/>
      <c r="I11" s="344"/>
      <c r="J11" s="343"/>
      <c r="K11" s="344"/>
      <c r="L11" s="343"/>
      <c r="M11" s="344"/>
      <c r="N11" s="343"/>
      <c r="O11" s="344"/>
      <c r="P11" s="343"/>
      <c r="Q11" s="344"/>
      <c r="R11" s="343"/>
      <c r="S11" s="1185"/>
      <c r="T11" s="1185"/>
      <c r="U11" s="1055"/>
      <c r="V11" s="1055" t="s">
        <v>996</v>
      </c>
      <c r="W11" s="1055">
        <f>+B20</f>
        <v>49</v>
      </c>
      <c r="X11" s="1055">
        <f>+C20</f>
        <v>57</v>
      </c>
      <c r="Y11" s="1055">
        <f>+E20</f>
        <v>50</v>
      </c>
      <c r="Z11" s="1055">
        <f>+G20</f>
        <v>69</v>
      </c>
      <c r="AA11" s="1055">
        <f>+I20</f>
        <v>61</v>
      </c>
      <c r="AB11" s="1055">
        <f>+K20</f>
        <v>44</v>
      </c>
      <c r="AC11" s="1055">
        <f>+M20</f>
        <v>69</v>
      </c>
      <c r="AD11" s="1055">
        <f>+O20</f>
        <v>37</v>
      </c>
      <c r="AE11" s="1055">
        <f>+Q20</f>
        <v>10</v>
      </c>
      <c r="AF11" s="1055"/>
      <c r="AG11" s="1185"/>
      <c r="AH11" s="1404"/>
      <c r="AI11" s="1404"/>
      <c r="AJ11" s="1404"/>
      <c r="AK11" s="1404"/>
      <c r="AL11" s="1404"/>
      <c r="AM11" s="1404"/>
      <c r="AN11" s="1404"/>
      <c r="AO11" s="1404"/>
      <c r="AP11" s="1404"/>
      <c r="AQ11" s="1404"/>
    </row>
    <row r="12" spans="1:43" x14ac:dyDescent="0.25">
      <c r="A12" s="153" t="s">
        <v>1092</v>
      </c>
      <c r="B12" s="153">
        <v>877</v>
      </c>
      <c r="C12" s="154">
        <v>663</v>
      </c>
      <c r="D12" s="155">
        <f>(C12-B12)/B12</f>
        <v>-0.24401368301026224</v>
      </c>
      <c r="E12" s="153">
        <v>904</v>
      </c>
      <c r="F12" s="155">
        <f>(E12-C12)/C12</f>
        <v>0.36349924585218701</v>
      </c>
      <c r="G12" s="154">
        <v>906</v>
      </c>
      <c r="H12" s="155">
        <f>(G12-E12)/E12</f>
        <v>2.2123893805309734E-3</v>
      </c>
      <c r="I12" s="154">
        <v>963</v>
      </c>
      <c r="J12" s="155">
        <f>(I12-G12)/G12</f>
        <v>6.2913907284768214E-2</v>
      </c>
      <c r="K12" s="154">
        <v>730</v>
      </c>
      <c r="L12" s="155">
        <f>(K12-I12)/I12</f>
        <v>-0.24195223260643822</v>
      </c>
      <c r="M12" s="154">
        <v>739</v>
      </c>
      <c r="N12" s="155">
        <f>(M12-K12)/K12</f>
        <v>1.2328767123287671E-2</v>
      </c>
      <c r="O12" s="154">
        <v>708</v>
      </c>
      <c r="P12" s="155">
        <f>(O12-M12)/M12</f>
        <v>-4.1948579161028419E-2</v>
      </c>
      <c r="Q12" s="154">
        <v>687</v>
      </c>
      <c r="R12" s="155">
        <f>(Q12-O12)/O12</f>
        <v>-2.9661016949152543E-2</v>
      </c>
      <c r="S12" s="1185"/>
      <c r="T12" s="1185"/>
      <c r="U12" s="1055"/>
      <c r="V12" s="1055" t="s">
        <v>995</v>
      </c>
      <c r="W12" s="1055">
        <f>+B22</f>
        <v>26</v>
      </c>
      <c r="X12" s="1055">
        <f>+C22</f>
        <v>37</v>
      </c>
      <c r="Y12" s="1055">
        <f>+E22</f>
        <v>20</v>
      </c>
      <c r="Z12" s="1055">
        <f>+G22</f>
        <v>25</v>
      </c>
      <c r="AA12" s="1055">
        <f>+I22</f>
        <v>24</v>
      </c>
      <c r="AB12" s="1055">
        <f>+K22</f>
        <v>51</v>
      </c>
      <c r="AC12" s="1055">
        <f>+M22</f>
        <v>51</v>
      </c>
      <c r="AD12" s="1055">
        <f>+O22</f>
        <v>49</v>
      </c>
      <c r="AE12" s="1055">
        <f>+Q22</f>
        <v>43</v>
      </c>
      <c r="AF12" s="1055"/>
      <c r="AG12" s="1185"/>
      <c r="AH12" s="1404"/>
      <c r="AI12" s="1404"/>
      <c r="AJ12" s="1404"/>
      <c r="AK12" s="1404"/>
      <c r="AL12" s="1404"/>
      <c r="AM12" s="1404"/>
      <c r="AN12" s="1404"/>
      <c r="AO12" s="1404"/>
      <c r="AP12" s="1404"/>
      <c r="AQ12" s="1404"/>
    </row>
    <row r="13" spans="1:43" x14ac:dyDescent="0.25">
      <c r="A13" s="342"/>
      <c r="B13" s="413"/>
      <c r="C13" s="345"/>
      <c r="D13" s="343"/>
      <c r="E13" s="413"/>
      <c r="F13" s="343"/>
      <c r="G13" s="344"/>
      <c r="H13" s="343"/>
      <c r="I13" s="344"/>
      <c r="J13" s="343"/>
      <c r="K13" s="344"/>
      <c r="L13" s="343"/>
      <c r="M13" s="344"/>
      <c r="N13" s="343"/>
      <c r="O13" s="344"/>
      <c r="P13" s="343"/>
      <c r="Q13" s="344"/>
      <c r="R13" s="343"/>
      <c r="S13" s="1185"/>
      <c r="T13" s="1185"/>
      <c r="U13" s="1055"/>
      <c r="V13" s="1055" t="s">
        <v>888</v>
      </c>
      <c r="W13" s="1055">
        <f t="shared" ref="W13:AB13" si="1">SUM(W5:W12)</f>
        <v>2304</v>
      </c>
      <c r="X13" s="1055">
        <f t="shared" si="1"/>
        <v>2476</v>
      </c>
      <c r="Y13" s="1055">
        <f t="shared" si="1"/>
        <v>2691</v>
      </c>
      <c r="Z13" s="1055">
        <f t="shared" si="1"/>
        <v>2846</v>
      </c>
      <c r="AA13" s="1055">
        <f t="shared" si="1"/>
        <v>2849</v>
      </c>
      <c r="AB13" s="1055">
        <f t="shared" si="1"/>
        <v>2780</v>
      </c>
      <c r="AC13" s="1055">
        <f>SUM(AC5:AC12)</f>
        <v>2661</v>
      </c>
      <c r="AD13" s="1055">
        <f>SUM(AD5:AD12)</f>
        <v>2539</v>
      </c>
      <c r="AE13" s="1055">
        <f>SUM(AE5:AE12)</f>
        <v>2463</v>
      </c>
      <c r="AF13" s="1055"/>
      <c r="AG13" s="1185"/>
      <c r="AH13" s="1404"/>
      <c r="AI13" s="1404"/>
      <c r="AJ13" s="1404"/>
      <c r="AK13" s="1404"/>
      <c r="AL13" s="1404"/>
      <c r="AM13" s="1404"/>
      <c r="AN13" s="1404"/>
      <c r="AO13" s="1404"/>
      <c r="AP13" s="1404"/>
      <c r="AQ13" s="1404"/>
    </row>
    <row r="14" spans="1:43" x14ac:dyDescent="0.25">
      <c r="A14" s="153" t="s">
        <v>1093</v>
      </c>
      <c r="B14" s="153">
        <v>41</v>
      </c>
      <c r="C14" s="154">
        <v>42</v>
      </c>
      <c r="D14" s="155">
        <f>(C14-B14)/B14</f>
        <v>2.4390243902439025E-2</v>
      </c>
      <c r="E14" s="153">
        <v>34</v>
      </c>
      <c r="F14" s="155">
        <f>(E14-C14)/C14</f>
        <v>-0.19047619047619047</v>
      </c>
      <c r="G14" s="154">
        <v>38</v>
      </c>
      <c r="H14" s="155">
        <f>(G14-E14)/E14</f>
        <v>0.11764705882352941</v>
      </c>
      <c r="I14" s="154">
        <v>40</v>
      </c>
      <c r="J14" s="155">
        <f>(I14-G14)/G14</f>
        <v>5.2631578947368418E-2</v>
      </c>
      <c r="K14" s="154">
        <v>44</v>
      </c>
      <c r="L14" s="155">
        <f>(K14-I14)/I14</f>
        <v>0.1</v>
      </c>
      <c r="M14" s="154">
        <v>41</v>
      </c>
      <c r="N14" s="155">
        <f>(M14-K14)/K14</f>
        <v>-6.8181818181818177E-2</v>
      </c>
      <c r="O14" s="154">
        <v>35</v>
      </c>
      <c r="P14" s="155">
        <f>(O14-M14)/M14</f>
        <v>-0.14634146341463414</v>
      </c>
      <c r="Q14" s="154">
        <v>31</v>
      </c>
      <c r="R14" s="155">
        <f>(Q14-O14)/O14</f>
        <v>-0.11428571428571428</v>
      </c>
      <c r="S14" s="1185"/>
      <c r="T14" s="1185"/>
      <c r="U14" s="1055"/>
      <c r="V14" s="1055"/>
      <c r="W14" s="1055"/>
      <c r="X14" s="1055"/>
      <c r="Y14" s="1055"/>
      <c r="Z14" s="1055"/>
      <c r="AA14" s="1055"/>
      <c r="AB14" s="1055"/>
      <c r="AC14" s="1055"/>
      <c r="AD14" s="1055"/>
      <c r="AE14" s="1055"/>
      <c r="AF14" s="1055"/>
      <c r="AG14" s="1185"/>
      <c r="AH14" s="1404"/>
      <c r="AI14" s="1404"/>
      <c r="AJ14" s="1404"/>
      <c r="AK14" s="1404"/>
      <c r="AL14" s="1404"/>
      <c r="AM14" s="1404"/>
      <c r="AN14" s="1404"/>
      <c r="AO14" s="1404"/>
      <c r="AP14" s="1404"/>
      <c r="AQ14" s="1404"/>
    </row>
    <row r="15" spans="1:43" x14ac:dyDescent="0.25">
      <c r="A15" s="342"/>
      <c r="B15" s="413"/>
      <c r="C15" s="345"/>
      <c r="D15" s="343"/>
      <c r="E15" s="413"/>
      <c r="F15" s="343"/>
      <c r="G15" s="344"/>
      <c r="H15" s="343"/>
      <c r="I15" s="344"/>
      <c r="J15" s="343"/>
      <c r="K15" s="344"/>
      <c r="L15" s="343"/>
      <c r="M15" s="344"/>
      <c r="N15" s="343"/>
      <c r="O15" s="344"/>
      <c r="P15" s="343"/>
      <c r="Q15" s="344"/>
      <c r="R15" s="343"/>
      <c r="S15" s="1185"/>
      <c r="T15" s="1185"/>
      <c r="U15" s="1055"/>
      <c r="V15" s="1055"/>
      <c r="W15" s="1055"/>
      <c r="X15" s="1055"/>
      <c r="Y15" s="1055"/>
      <c r="Z15" s="1055"/>
      <c r="AA15" s="1055"/>
      <c r="AB15" s="1055"/>
      <c r="AC15" s="1055"/>
      <c r="AD15" s="1055"/>
      <c r="AE15" s="1055"/>
      <c r="AF15" s="1055"/>
      <c r="AG15" s="1185"/>
      <c r="AH15" s="1404"/>
      <c r="AI15" s="1404"/>
      <c r="AJ15" s="1404"/>
      <c r="AK15" s="1404"/>
      <c r="AL15" s="1404"/>
      <c r="AM15" s="1404"/>
      <c r="AN15" s="1404"/>
      <c r="AO15" s="1404"/>
      <c r="AP15" s="1404"/>
      <c r="AQ15" s="1404"/>
    </row>
    <row r="16" spans="1:43" x14ac:dyDescent="0.25">
      <c r="A16" s="153" t="s">
        <v>1094</v>
      </c>
      <c r="B16" s="153">
        <v>44</v>
      </c>
      <c r="C16" s="154">
        <v>48</v>
      </c>
      <c r="D16" s="155">
        <f>(C16-B16)/B16</f>
        <v>9.0909090909090912E-2</v>
      </c>
      <c r="E16" s="153">
        <v>60</v>
      </c>
      <c r="F16" s="155">
        <f>(E16-C16)/C16</f>
        <v>0.25</v>
      </c>
      <c r="G16" s="154">
        <v>24</v>
      </c>
      <c r="H16" s="155">
        <f>(G16-E16)/E16</f>
        <v>-0.6</v>
      </c>
      <c r="I16" s="154">
        <v>24</v>
      </c>
      <c r="J16" s="155">
        <f>(I16-G16)/G16</f>
        <v>0</v>
      </c>
      <c r="K16" s="154">
        <v>20</v>
      </c>
      <c r="L16" s="155">
        <f>(K16-I16)/I16</f>
        <v>-0.16666666666666666</v>
      </c>
      <c r="M16" s="154">
        <v>31</v>
      </c>
      <c r="N16" s="155">
        <f>(M16-K16)/K16</f>
        <v>0.55000000000000004</v>
      </c>
      <c r="O16" s="154">
        <v>24</v>
      </c>
      <c r="P16" s="155">
        <f>(O16-M16)/M16</f>
        <v>-0.22580645161290322</v>
      </c>
      <c r="Q16" s="154">
        <v>55</v>
      </c>
      <c r="R16" s="155">
        <f>(Q16-O16)/O16</f>
        <v>1.2916666666666667</v>
      </c>
      <c r="S16" s="1185"/>
      <c r="T16" s="1185"/>
      <c r="U16" s="1055"/>
      <c r="V16" s="1055"/>
      <c r="W16" s="1055"/>
      <c r="X16" s="1055"/>
      <c r="Y16" s="1055"/>
      <c r="Z16" s="1055"/>
      <c r="AA16" s="1055"/>
      <c r="AB16" s="1055"/>
      <c r="AC16" s="1055"/>
      <c r="AD16" s="1055"/>
      <c r="AE16" s="1055"/>
      <c r="AF16" s="1055"/>
      <c r="AG16" s="1185"/>
      <c r="AH16" s="1404"/>
      <c r="AI16" s="1404"/>
      <c r="AJ16" s="1404"/>
      <c r="AK16" s="1404"/>
      <c r="AL16" s="1404"/>
      <c r="AM16" s="1404"/>
      <c r="AN16" s="1404"/>
      <c r="AO16" s="1404"/>
      <c r="AP16" s="1404"/>
      <c r="AQ16" s="1404"/>
    </row>
    <row r="17" spans="1:43" x14ac:dyDescent="0.25">
      <c r="A17" s="342"/>
      <c r="B17" s="413"/>
      <c r="C17" s="345"/>
      <c r="D17" s="343"/>
      <c r="E17" s="413"/>
      <c r="F17" s="343"/>
      <c r="G17" s="344"/>
      <c r="H17" s="343"/>
      <c r="I17" s="344"/>
      <c r="J17" s="343"/>
      <c r="K17" s="344"/>
      <c r="L17" s="343"/>
      <c r="M17" s="344"/>
      <c r="N17" s="343"/>
      <c r="O17" s="344"/>
      <c r="P17" s="343"/>
      <c r="Q17" s="344"/>
      <c r="R17" s="343"/>
      <c r="S17" s="1185"/>
      <c r="T17" s="1185"/>
      <c r="U17" s="1185"/>
      <c r="V17" s="1185"/>
      <c r="W17" s="1185"/>
      <c r="X17" s="1185"/>
      <c r="Y17" s="1185"/>
      <c r="Z17" s="1185"/>
      <c r="AA17" s="1185"/>
      <c r="AB17" s="1185"/>
      <c r="AC17" s="1185"/>
      <c r="AD17" s="1404"/>
      <c r="AE17" s="1404"/>
      <c r="AF17" s="1404"/>
      <c r="AG17" s="1404"/>
      <c r="AH17" s="1404"/>
      <c r="AI17" s="1404"/>
      <c r="AJ17" s="1404"/>
      <c r="AK17" s="1404"/>
      <c r="AL17" s="1404"/>
      <c r="AM17" s="1404"/>
      <c r="AN17" s="1404"/>
      <c r="AO17" s="1404"/>
      <c r="AP17" s="1404"/>
      <c r="AQ17" s="1404"/>
    </row>
    <row r="18" spans="1:43" x14ac:dyDescent="0.25">
      <c r="A18" s="156" t="s">
        <v>1095</v>
      </c>
      <c r="B18" s="1026">
        <f>SUM(B6:B16)</f>
        <v>2229</v>
      </c>
      <c r="C18" s="339">
        <f>SUM(C6:C16)</f>
        <v>2382</v>
      </c>
      <c r="D18" s="340">
        <f>(C18-B18)/B18</f>
        <v>6.8640646029609689E-2</v>
      </c>
      <c r="E18" s="1026">
        <f>SUM(E6:E16)</f>
        <v>2621</v>
      </c>
      <c r="F18" s="340">
        <f>(E18-C18)/C18</f>
        <v>0.10033585222502099</v>
      </c>
      <c r="G18" s="339">
        <f>SUM(G6:G16)</f>
        <v>2752</v>
      </c>
      <c r="H18" s="340">
        <f>(G18-E18)/E18</f>
        <v>4.9980923311713089E-2</v>
      </c>
      <c r="I18" s="339">
        <f>SUM(I6:I16)</f>
        <v>2764</v>
      </c>
      <c r="J18" s="340">
        <f>(I18-G18)/G18</f>
        <v>4.3604651162790697E-3</v>
      </c>
      <c r="K18" s="339">
        <f>SUM(K6:K16)</f>
        <v>2685</v>
      </c>
      <c r="L18" s="340">
        <f>(K18-I18)/I18</f>
        <v>-2.8581765557163533E-2</v>
      </c>
      <c r="M18" s="339">
        <f>SUM(M6:M16)</f>
        <v>2541</v>
      </c>
      <c r="N18" s="340">
        <f>(M18-K18)/K18</f>
        <v>-5.3631284916201116E-2</v>
      </c>
      <c r="O18" s="339">
        <f>SUM(O6:O16)</f>
        <v>2453</v>
      </c>
      <c r="P18" s="340">
        <f>(O18-M18)/M18</f>
        <v>-3.4632034632034632E-2</v>
      </c>
      <c r="Q18" s="339">
        <f>SUM(Q6:Q16)</f>
        <v>2410</v>
      </c>
      <c r="R18" s="340">
        <f>(Q18-O18)/O18</f>
        <v>-1.7529555646147575E-2</v>
      </c>
      <c r="U18" s="1185"/>
      <c r="V18" s="1185"/>
      <c r="W18" s="1185"/>
      <c r="X18" s="1185"/>
      <c r="Y18" s="1185"/>
      <c r="Z18" s="1185"/>
      <c r="AA18" s="1185"/>
      <c r="AB18" s="1185"/>
      <c r="AC18" s="1185"/>
      <c r="AD18" s="1404"/>
      <c r="AE18" s="1404"/>
      <c r="AF18" s="1404"/>
      <c r="AG18" s="1404"/>
      <c r="AH18" s="1404"/>
      <c r="AI18" s="1404"/>
      <c r="AJ18" s="1404"/>
      <c r="AK18" s="1404"/>
      <c r="AL18" s="1404"/>
      <c r="AM18" s="1404"/>
      <c r="AN18" s="1404"/>
      <c r="AO18" s="1404"/>
      <c r="AP18" s="1404"/>
      <c r="AQ18" s="1404"/>
    </row>
    <row r="19" spans="1:43" x14ac:dyDescent="0.25">
      <c r="A19" s="342"/>
      <c r="B19" s="413"/>
      <c r="C19" s="345"/>
      <c r="D19" s="343"/>
      <c r="E19" s="413"/>
      <c r="F19" s="343"/>
      <c r="G19" s="344"/>
      <c r="H19" s="343"/>
      <c r="I19" s="344"/>
      <c r="J19" s="343"/>
      <c r="K19" s="344"/>
      <c r="L19" s="343"/>
      <c r="M19" s="344"/>
      <c r="N19" s="343"/>
      <c r="O19" s="344"/>
      <c r="P19" s="343"/>
      <c r="Q19" s="344"/>
      <c r="R19" s="343"/>
      <c r="U19" s="1185"/>
      <c r="V19" s="1185"/>
      <c r="W19" s="1185"/>
      <c r="X19" s="1185"/>
      <c r="Y19" s="1185"/>
      <c r="Z19" s="1185"/>
      <c r="AA19" s="1185"/>
      <c r="AB19" s="1185"/>
      <c r="AC19" s="1185"/>
      <c r="AD19" s="1404"/>
      <c r="AE19" s="1404"/>
      <c r="AF19" s="1404"/>
      <c r="AG19" s="1404"/>
      <c r="AH19" s="1404"/>
      <c r="AI19" s="1404"/>
      <c r="AJ19" s="1404"/>
      <c r="AK19" s="1404"/>
      <c r="AL19" s="1404"/>
      <c r="AM19" s="1404"/>
      <c r="AN19" s="1404"/>
      <c r="AO19" s="1404"/>
      <c r="AP19" s="1404"/>
      <c r="AQ19" s="1404"/>
    </row>
    <row r="20" spans="1:43" x14ac:dyDescent="0.25">
      <c r="A20" s="153" t="s">
        <v>996</v>
      </c>
      <c r="B20" s="153">
        <v>49</v>
      </c>
      <c r="C20" s="154">
        <v>57</v>
      </c>
      <c r="D20" s="155">
        <f>(C20-B20)/B20</f>
        <v>0.16326530612244897</v>
      </c>
      <c r="E20" s="153">
        <v>50</v>
      </c>
      <c r="F20" s="155">
        <f>(E20-C20)/C20</f>
        <v>-0.12280701754385964</v>
      </c>
      <c r="G20" s="154">
        <v>69</v>
      </c>
      <c r="H20" s="155">
        <f>(G20-E20)/E20</f>
        <v>0.38</v>
      </c>
      <c r="I20" s="154">
        <v>61</v>
      </c>
      <c r="J20" s="155">
        <f>(I20-G20)/G20</f>
        <v>-0.11594202898550725</v>
      </c>
      <c r="K20" s="154">
        <v>44</v>
      </c>
      <c r="L20" s="155">
        <f>(K20-I20)/I20</f>
        <v>-0.27868852459016391</v>
      </c>
      <c r="M20" s="154">
        <v>69</v>
      </c>
      <c r="N20" s="155">
        <f>(M20-K20)/K20</f>
        <v>0.56818181818181823</v>
      </c>
      <c r="O20" s="154">
        <v>37</v>
      </c>
      <c r="P20" s="155">
        <f>(O20-M20)/M20</f>
        <v>-0.46376811594202899</v>
      </c>
      <c r="Q20" s="154">
        <v>10</v>
      </c>
      <c r="R20" s="155">
        <f>(Q20-O20)/O20</f>
        <v>-0.72972972972972971</v>
      </c>
      <c r="V20" s="1404"/>
      <c r="W20" s="1404"/>
      <c r="X20" s="1404"/>
      <c r="Y20" s="1404"/>
      <c r="Z20" s="1404"/>
      <c r="AA20" s="1404"/>
      <c r="AB20" s="1404"/>
      <c r="AC20" s="1404"/>
      <c r="AD20" s="1404"/>
      <c r="AE20" s="1404"/>
      <c r="AF20" s="1404"/>
      <c r="AG20" s="1404"/>
      <c r="AH20" s="1404"/>
      <c r="AI20" s="1404"/>
      <c r="AJ20" s="1404"/>
      <c r="AK20" s="1404"/>
      <c r="AL20" s="1404"/>
      <c r="AM20" s="1404"/>
      <c r="AN20" s="1404"/>
      <c r="AO20" s="1404"/>
      <c r="AP20" s="1404"/>
      <c r="AQ20" s="1404"/>
    </row>
    <row r="21" spans="1:43" x14ac:dyDescent="0.25">
      <c r="A21" s="342"/>
      <c r="B21" s="413"/>
      <c r="C21" s="345"/>
      <c r="D21" s="343"/>
      <c r="E21" s="413"/>
      <c r="F21" s="343"/>
      <c r="G21" s="344"/>
      <c r="H21" s="343"/>
      <c r="I21" s="344"/>
      <c r="J21" s="343"/>
      <c r="K21" s="344"/>
      <c r="L21" s="343"/>
      <c r="M21" s="344"/>
      <c r="N21" s="343"/>
      <c r="O21" s="344"/>
      <c r="P21" s="343"/>
      <c r="Q21" s="344"/>
      <c r="R21" s="343"/>
      <c r="V21" s="1404"/>
      <c r="W21" s="1404"/>
      <c r="X21" s="1404"/>
      <c r="Y21" s="1404"/>
      <c r="Z21" s="1404"/>
      <c r="AA21" s="1404"/>
      <c r="AB21" s="1404"/>
      <c r="AC21" s="1404"/>
      <c r="AD21" s="1404"/>
      <c r="AE21" s="1404"/>
      <c r="AF21" s="1404"/>
      <c r="AG21" s="1404"/>
      <c r="AH21" s="1404"/>
      <c r="AI21" s="1404"/>
      <c r="AJ21" s="1404"/>
      <c r="AK21" s="1404"/>
      <c r="AL21" s="1404"/>
      <c r="AM21" s="1404"/>
      <c r="AN21" s="1404"/>
      <c r="AO21" s="1404"/>
      <c r="AP21" s="1404"/>
      <c r="AQ21" s="1404"/>
    </row>
    <row r="22" spans="1:43" x14ac:dyDescent="0.25">
      <c r="A22" s="153" t="s">
        <v>995</v>
      </c>
      <c r="B22" s="153">
        <v>26</v>
      </c>
      <c r="C22" s="154">
        <v>37</v>
      </c>
      <c r="D22" s="155">
        <f>(C22-B22)/B22</f>
        <v>0.42307692307692307</v>
      </c>
      <c r="E22" s="153">
        <v>20</v>
      </c>
      <c r="F22" s="155">
        <f>(E22-C22)/C22</f>
        <v>-0.45945945945945948</v>
      </c>
      <c r="G22" s="154">
        <v>25</v>
      </c>
      <c r="H22" s="155">
        <f>(G22-E22)/E22</f>
        <v>0.25</v>
      </c>
      <c r="I22" s="154">
        <v>24</v>
      </c>
      <c r="J22" s="155">
        <f>(I22-G22)/G22</f>
        <v>-0.04</v>
      </c>
      <c r="K22" s="154">
        <v>51</v>
      </c>
      <c r="L22" s="155">
        <f>(K22-I22)/I22</f>
        <v>1.125</v>
      </c>
      <c r="M22" s="154">
        <v>51</v>
      </c>
      <c r="N22" s="155">
        <f>(M22-K22)/K22</f>
        <v>0</v>
      </c>
      <c r="O22" s="154">
        <v>49</v>
      </c>
      <c r="P22" s="155">
        <f>(O22-M22)/M22</f>
        <v>-3.9215686274509803E-2</v>
      </c>
      <c r="Q22" s="154">
        <v>43</v>
      </c>
      <c r="R22" s="155">
        <f>(Q22-O22)/O22</f>
        <v>-0.12244897959183673</v>
      </c>
      <c r="V22" s="1404"/>
      <c r="W22" s="1404"/>
      <c r="X22" s="1404"/>
      <c r="Y22" s="1404"/>
      <c r="Z22" s="1404"/>
      <c r="AA22" s="1404"/>
      <c r="AB22" s="1404"/>
      <c r="AC22" s="1404"/>
      <c r="AD22" s="1404"/>
      <c r="AE22" s="1404"/>
      <c r="AF22" s="1404"/>
      <c r="AG22" s="1404"/>
      <c r="AH22" s="1404"/>
      <c r="AI22" s="1404"/>
      <c r="AJ22" s="1404"/>
      <c r="AK22" s="1404"/>
      <c r="AL22" s="1404"/>
      <c r="AM22" s="1404"/>
      <c r="AN22" s="1404"/>
      <c r="AO22" s="1404"/>
      <c r="AP22" s="1404"/>
      <c r="AQ22" s="1404"/>
    </row>
    <row r="23" spans="1:43" x14ac:dyDescent="0.25">
      <c r="A23" s="342"/>
      <c r="B23" s="413"/>
      <c r="C23" s="345"/>
      <c r="D23" s="343"/>
      <c r="E23" s="413"/>
      <c r="F23" s="343"/>
      <c r="G23" s="344"/>
      <c r="H23" s="343"/>
      <c r="I23" s="344"/>
      <c r="J23" s="343"/>
      <c r="K23" s="344"/>
      <c r="L23" s="343"/>
      <c r="M23" s="344"/>
      <c r="N23" s="343"/>
      <c r="O23" s="344"/>
      <c r="P23" s="343"/>
      <c r="Q23" s="344"/>
      <c r="R23" s="343"/>
      <c r="V23" s="1404"/>
      <c r="W23" s="1404"/>
      <c r="X23" s="1404"/>
      <c r="Y23" s="1404"/>
      <c r="Z23" s="1404"/>
      <c r="AA23" s="1404"/>
      <c r="AB23" s="1404"/>
      <c r="AC23" s="1404"/>
      <c r="AD23" s="1404"/>
      <c r="AE23" s="1404"/>
      <c r="AF23" s="1404"/>
      <c r="AG23" s="1404"/>
      <c r="AH23" s="1404"/>
      <c r="AI23" s="1404"/>
      <c r="AJ23" s="1404"/>
      <c r="AK23" s="1404"/>
      <c r="AL23" s="1404"/>
      <c r="AM23" s="1404"/>
      <c r="AN23" s="1404"/>
      <c r="AO23" s="1404"/>
      <c r="AP23" s="1404"/>
      <c r="AQ23" s="1404"/>
    </row>
    <row r="24" spans="1:43" x14ac:dyDescent="0.25">
      <c r="A24" s="157" t="s">
        <v>1096</v>
      </c>
      <c r="B24" s="1026">
        <f>B20+B22</f>
        <v>75</v>
      </c>
      <c r="C24" s="339">
        <f>C20+C22</f>
        <v>94</v>
      </c>
      <c r="D24" s="340">
        <f>(C24-B24)/B24</f>
        <v>0.25333333333333335</v>
      </c>
      <c r="E24" s="1026">
        <f>E20+E22</f>
        <v>70</v>
      </c>
      <c r="F24" s="340">
        <f>(E24-C24)/C24</f>
        <v>-0.25531914893617019</v>
      </c>
      <c r="G24" s="339">
        <f>G20+G22</f>
        <v>94</v>
      </c>
      <c r="H24" s="340">
        <f>(G24-E24)/E24</f>
        <v>0.34285714285714286</v>
      </c>
      <c r="I24" s="339">
        <f>I20+I22</f>
        <v>85</v>
      </c>
      <c r="J24" s="340">
        <f>(I24-G24)/G24</f>
        <v>-9.5744680851063829E-2</v>
      </c>
      <c r="K24" s="339">
        <f>K20+K22</f>
        <v>95</v>
      </c>
      <c r="L24" s="340">
        <f>(K24-I24)/I24</f>
        <v>0.11764705882352941</v>
      </c>
      <c r="M24" s="339">
        <f>M20+M22</f>
        <v>120</v>
      </c>
      <c r="N24" s="340">
        <f>(M24-K24)/K24</f>
        <v>0.26315789473684209</v>
      </c>
      <c r="O24" s="339">
        <f>O20+O22</f>
        <v>86</v>
      </c>
      <c r="P24" s="340">
        <f>(O24-M24)/M24</f>
        <v>-0.28333333333333333</v>
      </c>
      <c r="Q24" s="339">
        <f>Q20+Q22</f>
        <v>53</v>
      </c>
      <c r="R24" s="340">
        <f>(Q24-O24)/O24</f>
        <v>-0.38372093023255816</v>
      </c>
      <c r="V24" s="1404"/>
      <c r="W24" s="1404"/>
      <c r="X24" s="1404"/>
      <c r="Y24" s="1404"/>
      <c r="Z24" s="1404"/>
      <c r="AA24" s="1404"/>
      <c r="AB24" s="1404"/>
      <c r="AC24" s="1404"/>
      <c r="AD24" s="1404"/>
      <c r="AE24" s="1404"/>
      <c r="AF24" s="1404"/>
      <c r="AG24" s="1404"/>
      <c r="AH24" s="1404"/>
      <c r="AI24" s="1404"/>
      <c r="AJ24" s="1404"/>
      <c r="AK24" s="1404"/>
      <c r="AL24" s="1404"/>
      <c r="AM24" s="1404"/>
      <c r="AN24" s="1404"/>
      <c r="AO24" s="1404"/>
      <c r="AP24" s="1404"/>
      <c r="AQ24" s="1404"/>
    </row>
    <row r="25" spans="1:43" x14ac:dyDescent="0.25">
      <c r="A25" s="342"/>
      <c r="B25" s="413"/>
      <c r="C25" s="345"/>
      <c r="D25" s="343"/>
      <c r="E25" s="413"/>
      <c r="F25" s="343"/>
      <c r="G25" s="344"/>
      <c r="H25" s="343"/>
      <c r="I25" s="344"/>
      <c r="J25" s="343"/>
      <c r="K25" s="344"/>
      <c r="L25" s="343"/>
      <c r="M25" s="344"/>
      <c r="N25" s="343"/>
      <c r="O25" s="344"/>
      <c r="P25" s="343"/>
      <c r="Q25" s="344"/>
      <c r="R25" s="343"/>
      <c r="V25" s="1404"/>
      <c r="W25" s="1404"/>
      <c r="X25" s="1404"/>
      <c r="Y25" s="1404"/>
      <c r="Z25" s="1404"/>
      <c r="AA25" s="1404"/>
      <c r="AB25" s="1404"/>
      <c r="AC25" s="1404"/>
      <c r="AD25" s="1404"/>
      <c r="AE25" s="1404"/>
      <c r="AF25" s="1404"/>
      <c r="AG25" s="1404"/>
      <c r="AH25" s="1404"/>
      <c r="AI25" s="1404"/>
      <c r="AJ25" s="1404"/>
      <c r="AK25" s="1404"/>
      <c r="AL25" s="1404"/>
      <c r="AM25" s="1404"/>
      <c r="AN25" s="1404"/>
      <c r="AO25" s="1404"/>
      <c r="AP25" s="1404"/>
      <c r="AQ25" s="1404"/>
    </row>
    <row r="26" spans="1:43" x14ac:dyDescent="0.25">
      <c r="A26" s="158" t="s">
        <v>1003</v>
      </c>
      <c r="B26" s="1026">
        <f>B18+B24</f>
        <v>2304</v>
      </c>
      <c r="C26" s="339">
        <f>C18+C24</f>
        <v>2476</v>
      </c>
      <c r="D26" s="340">
        <f>(C26-B26)/B26</f>
        <v>7.4652777777777776E-2</v>
      </c>
      <c r="E26" s="1026">
        <f>E18+E24</f>
        <v>2691</v>
      </c>
      <c r="F26" s="340">
        <f>(E26-C26)/C26</f>
        <v>8.6833602584814221E-2</v>
      </c>
      <c r="G26" s="339">
        <f>G18+G24</f>
        <v>2846</v>
      </c>
      <c r="H26" s="340">
        <f>(G26-E26)/E26</f>
        <v>5.7599405425492384E-2</v>
      </c>
      <c r="I26" s="339">
        <f>I18+I24</f>
        <v>2849</v>
      </c>
      <c r="J26" s="340">
        <f>(I26-G26)/G26</f>
        <v>1.0541110330288123E-3</v>
      </c>
      <c r="K26" s="339">
        <f>K18+K24</f>
        <v>2780</v>
      </c>
      <c r="L26" s="340">
        <f>(K26-I26)/I26</f>
        <v>-2.4219024219024218E-2</v>
      </c>
      <c r="M26" s="339">
        <f>M18+M24</f>
        <v>2661</v>
      </c>
      <c r="N26" s="340">
        <f>(M26-K26)/K26</f>
        <v>-4.2805755395683452E-2</v>
      </c>
      <c r="O26" s="339">
        <f>O18+O24</f>
        <v>2539</v>
      </c>
      <c r="P26" s="340">
        <f>(O26-M26)/M26</f>
        <v>-4.5847425779782035E-2</v>
      </c>
      <c r="Q26" s="339">
        <f>Q18+Q24</f>
        <v>2463</v>
      </c>
      <c r="R26" s="340">
        <f>(Q26-O26)/O26</f>
        <v>-2.993304450571091E-2</v>
      </c>
      <c r="S26" s="1945"/>
      <c r="T26" s="1945"/>
    </row>
    <row r="27" spans="1:43" x14ac:dyDescent="0.25">
      <c r="I27" s="325"/>
    </row>
    <row r="28" spans="1:43" x14ac:dyDescent="0.25">
      <c r="I28" s="325"/>
    </row>
  </sheetData>
  <mergeCells count="9">
    <mergeCell ref="Q3:R3"/>
    <mergeCell ref="A1:R1"/>
    <mergeCell ref="O3:P3"/>
    <mergeCell ref="M3:N3"/>
    <mergeCell ref="K3:L3"/>
    <mergeCell ref="C3:D3"/>
    <mergeCell ref="E3:F3"/>
    <mergeCell ref="G3:H3"/>
    <mergeCell ref="I3:J3"/>
  </mergeCells>
  <phoneticPr fontId="16" type="noConversion"/>
  <printOptions horizontalCentered="1" verticalCentered="1"/>
  <pageMargins left="0.5" right="0.5" top="0.25" bottom="0.75" header="0.5" footer="0.5"/>
  <pageSetup scale="73" orientation="portrait" r:id="rId1"/>
  <headerFooter alignWithMargins="0">
    <oddFooter xml:space="preserve">&amp;LSource: Office of Institutional Research&amp;R
</oddFooter>
  </headerFooter>
  <drawing r:id="rId2"/>
  <webPublishItems count="1">
    <webPublishItem id="8539" divId="2004_2005 FACT BOOK WORKING COPY_8539" sourceType="sheet" destinationFile="C:\Documents and Settings\mkirkpatrick\My Documents\2004-2005 FACT BOOK\2004-2005 fact book WEB PAGES\04_05springenrollmentbyclassandGRAPH.htm"/>
  </webPublishItem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3"/>
  <sheetViews>
    <sheetView zoomScale="80" zoomScaleNormal="80" workbookViewId="0">
      <selection sqref="A1:R1"/>
    </sheetView>
  </sheetViews>
  <sheetFormatPr defaultColWidth="6.6640625" defaultRowHeight="13.2" x14ac:dyDescent="0.25"/>
  <cols>
    <col min="1" max="1" width="20.44140625" style="1404" customWidth="1"/>
    <col min="2" max="8" width="12.6640625" style="1404" hidden="1" customWidth="1"/>
    <col min="9" max="13" width="12.6640625" style="1404" customWidth="1"/>
    <col min="14" max="22" width="12.6640625" style="1055" customWidth="1"/>
    <col min="23" max="23" width="23.6640625" style="1055" customWidth="1"/>
    <col min="24" max="24" width="12.6640625" style="1055" hidden="1" customWidth="1"/>
    <col min="25" max="25" width="5" style="1055" bestFit="1" customWidth="1"/>
    <col min="26" max="28" width="12.6640625" style="1055" customWidth="1"/>
    <col min="29" max="34" width="12.6640625" style="1404" customWidth="1"/>
    <col min="35" max="16384" width="6.6640625" style="1404"/>
  </cols>
  <sheetData>
    <row r="1" spans="1:35" ht="39" customHeight="1" x14ac:dyDescent="0.35">
      <c r="A1" s="2170" t="s">
        <v>1098</v>
      </c>
      <c r="B1" s="2170"/>
      <c r="C1" s="2170"/>
      <c r="D1" s="2170"/>
      <c r="E1" s="2170"/>
      <c r="F1" s="2170"/>
      <c r="G1" s="2170"/>
      <c r="H1" s="2170"/>
      <c r="I1" s="2170"/>
      <c r="J1" s="2170"/>
      <c r="K1" s="2170"/>
      <c r="L1" s="2170"/>
      <c r="M1" s="2170"/>
      <c r="N1" s="2170"/>
      <c r="O1" s="2170"/>
      <c r="P1" s="2170"/>
      <c r="Q1" s="2170"/>
      <c r="R1" s="2170"/>
      <c r="S1" s="2087"/>
      <c r="T1" s="2087"/>
      <c r="U1" s="2087"/>
      <c r="V1" s="2087"/>
      <c r="AC1" s="1055"/>
      <c r="AD1" s="1055"/>
      <c r="AE1" s="1055"/>
      <c r="AF1" s="1055"/>
      <c r="AG1" s="1055"/>
      <c r="AH1" s="1055"/>
      <c r="AI1" s="1055"/>
    </row>
    <row r="2" spans="1:35" ht="12.75" customHeight="1" x14ac:dyDescent="0.35">
      <c r="A2" s="159"/>
      <c r="B2" s="1527"/>
      <c r="C2" s="1527"/>
      <c r="D2" s="1527"/>
      <c r="E2" s="1527"/>
      <c r="F2" s="1527"/>
      <c r="G2" s="1527"/>
      <c r="H2" s="1527"/>
      <c r="I2" s="1527"/>
      <c r="J2" s="1527"/>
      <c r="P2" s="1185"/>
      <c r="Q2" s="1185"/>
      <c r="R2" s="1185"/>
      <c r="S2" s="1185"/>
      <c r="T2" s="1185"/>
      <c r="U2" s="1185"/>
      <c r="V2" s="1185"/>
      <c r="W2" s="1185"/>
      <c r="X2" s="1185"/>
      <c r="Y2" s="1185"/>
      <c r="Z2" s="1185"/>
      <c r="AA2" s="1185"/>
      <c r="AB2" s="1185"/>
      <c r="AC2" s="1185"/>
      <c r="AD2" s="1185"/>
      <c r="AE2" s="1185"/>
      <c r="AF2" s="1185"/>
      <c r="AG2" s="1185"/>
      <c r="AH2" s="1185"/>
      <c r="AI2" s="1185"/>
    </row>
    <row r="3" spans="1:35" x14ac:dyDescent="0.25">
      <c r="A3" s="1528"/>
      <c r="B3" s="427">
        <v>2008</v>
      </c>
      <c r="C3" s="2171">
        <v>2009</v>
      </c>
      <c r="D3" s="2172"/>
      <c r="E3" s="2171">
        <v>2010</v>
      </c>
      <c r="F3" s="2172"/>
      <c r="G3" s="2171">
        <v>2011</v>
      </c>
      <c r="H3" s="2172"/>
      <c r="I3" s="2171">
        <v>2012</v>
      </c>
      <c r="J3" s="2172"/>
      <c r="K3" s="2171">
        <v>2013</v>
      </c>
      <c r="L3" s="2172"/>
      <c r="M3" s="2171">
        <v>2014</v>
      </c>
      <c r="N3" s="2172"/>
      <c r="O3" s="2171">
        <v>2015</v>
      </c>
      <c r="P3" s="2172"/>
      <c r="Q3" s="2171">
        <v>2016</v>
      </c>
      <c r="R3" s="2172"/>
      <c r="S3" s="1944"/>
      <c r="T3" s="1944"/>
      <c r="U3" s="1944"/>
      <c r="V3" s="1944"/>
      <c r="W3" s="1185"/>
      <c r="X3" s="1185"/>
      <c r="Y3" s="1185"/>
      <c r="Z3" s="1185"/>
      <c r="AA3" s="1185"/>
      <c r="AB3" s="1185"/>
      <c r="AC3" s="1185"/>
      <c r="AD3" s="1185"/>
      <c r="AE3" s="1185"/>
      <c r="AF3" s="1185"/>
      <c r="AG3" s="1185"/>
      <c r="AH3" s="1185"/>
      <c r="AI3" s="1185"/>
    </row>
    <row r="4" spans="1:35" ht="30" customHeight="1" x14ac:dyDescent="0.25">
      <c r="A4" s="150" t="s">
        <v>1364</v>
      </c>
      <c r="B4" s="412" t="s">
        <v>1087</v>
      </c>
      <c r="C4" s="1529" t="s">
        <v>1087</v>
      </c>
      <c r="D4" s="1530" t="s">
        <v>1088</v>
      </c>
      <c r="E4" s="1529" t="s">
        <v>1087</v>
      </c>
      <c r="F4" s="1530" t="s">
        <v>1088</v>
      </c>
      <c r="G4" s="1529" t="s">
        <v>1087</v>
      </c>
      <c r="H4" s="1530" t="s">
        <v>1088</v>
      </c>
      <c r="I4" s="1529" t="s">
        <v>1087</v>
      </c>
      <c r="J4" s="1530" t="s">
        <v>1088</v>
      </c>
      <c r="K4" s="1529" t="s">
        <v>1087</v>
      </c>
      <c r="L4" s="1530" t="s">
        <v>1088</v>
      </c>
      <c r="M4" s="1529" t="s">
        <v>1087</v>
      </c>
      <c r="N4" s="1530" t="s">
        <v>1088</v>
      </c>
      <c r="O4" s="1529" t="s">
        <v>1087</v>
      </c>
      <c r="P4" s="1530" t="s">
        <v>1088</v>
      </c>
      <c r="Q4" s="1529" t="s">
        <v>1087</v>
      </c>
      <c r="R4" s="1530" t="s">
        <v>1088</v>
      </c>
      <c r="S4" s="1185"/>
      <c r="T4" s="1185"/>
      <c r="U4" s="1185"/>
      <c r="V4" s="1185"/>
      <c r="AC4" s="1055"/>
      <c r="AD4" s="1055"/>
      <c r="AE4" s="1055"/>
      <c r="AF4" s="1055"/>
      <c r="AG4" s="1185"/>
      <c r="AH4" s="1185"/>
      <c r="AI4" s="1185"/>
    </row>
    <row r="5" spans="1:35" x14ac:dyDescent="0.25">
      <c r="A5" s="1531"/>
      <c r="B5" s="1532"/>
      <c r="C5" s="1533"/>
      <c r="D5" s="1534"/>
      <c r="E5" s="1535"/>
      <c r="F5" s="1534"/>
      <c r="G5" s="1535"/>
      <c r="H5" s="1534"/>
      <c r="I5" s="1535"/>
      <c r="J5" s="1534"/>
      <c r="K5" s="1535"/>
      <c r="L5" s="1534"/>
      <c r="M5" s="1535"/>
      <c r="N5" s="1534"/>
      <c r="O5" s="1535"/>
      <c r="P5" s="1534"/>
      <c r="Q5" s="1535"/>
      <c r="R5" s="1534"/>
      <c r="S5" s="1185"/>
      <c r="T5" s="1185"/>
      <c r="U5" s="1185"/>
      <c r="V5" s="1185"/>
      <c r="X5" s="1055">
        <v>2008</v>
      </c>
      <c r="Y5" s="1055">
        <f>+X5+1</f>
        <v>2009</v>
      </c>
      <c r="Z5" s="1055">
        <f>+Y5+1</f>
        <v>2010</v>
      </c>
      <c r="AA5" s="1055">
        <f>+Z5+1</f>
        <v>2011</v>
      </c>
      <c r="AB5" s="1055">
        <f>+AA5+1</f>
        <v>2012</v>
      </c>
      <c r="AC5" s="1055">
        <v>2013</v>
      </c>
      <c r="AD5" s="1055">
        <v>2014</v>
      </c>
      <c r="AE5" s="1055">
        <v>2015</v>
      </c>
      <c r="AF5" s="1055">
        <v>2016</v>
      </c>
      <c r="AG5" s="1185"/>
      <c r="AH5" s="1185"/>
      <c r="AI5" s="1185"/>
    </row>
    <row r="6" spans="1:35" x14ac:dyDescent="0.25">
      <c r="A6" s="1536" t="s">
        <v>1089</v>
      </c>
      <c r="B6" s="1537">
        <v>56</v>
      </c>
      <c r="C6" s="1538">
        <v>27</v>
      </c>
      <c r="D6" s="1539">
        <f>(C6-B6)/B6</f>
        <v>-0.5178571428571429</v>
      </c>
      <c r="E6" s="1538">
        <v>36</v>
      </c>
      <c r="F6" s="1539">
        <f>(E6-C6)/C6</f>
        <v>0.33333333333333331</v>
      </c>
      <c r="G6" s="1538">
        <v>29</v>
      </c>
      <c r="H6" s="1539">
        <f>(G6-E6)/E6</f>
        <v>-0.19444444444444445</v>
      </c>
      <c r="I6" s="1538">
        <v>19</v>
      </c>
      <c r="J6" s="1539">
        <f>(I6-G6)/G6</f>
        <v>-0.34482758620689657</v>
      </c>
      <c r="K6" s="1538">
        <v>15</v>
      </c>
      <c r="L6" s="1539">
        <f>(K6-I6)/I6</f>
        <v>-0.21052631578947367</v>
      </c>
      <c r="M6" s="1538">
        <v>20</v>
      </c>
      <c r="N6" s="1539">
        <f>(M6-K6)/K6</f>
        <v>0.33333333333333331</v>
      </c>
      <c r="O6" s="1538">
        <v>33</v>
      </c>
      <c r="P6" s="1539">
        <f>(O6-M6)/M6</f>
        <v>0.65</v>
      </c>
      <c r="Q6" s="1538">
        <v>20</v>
      </c>
      <c r="R6" s="1539">
        <f>(Q6-O6)/O6</f>
        <v>-0.39393939393939392</v>
      </c>
      <c r="S6" s="1185"/>
      <c r="T6" s="1185"/>
      <c r="U6" s="1185"/>
      <c r="V6" s="1185"/>
      <c r="W6" s="1055" t="s">
        <v>1089</v>
      </c>
      <c r="X6" s="1055">
        <f>+B6</f>
        <v>56</v>
      </c>
      <c r="Y6" s="1055">
        <f>+C6</f>
        <v>27</v>
      </c>
      <c r="Z6" s="1055">
        <f>+E6</f>
        <v>36</v>
      </c>
      <c r="AA6" s="1055">
        <f>+G6</f>
        <v>29</v>
      </c>
      <c r="AB6" s="1055">
        <f>+I6</f>
        <v>19</v>
      </c>
      <c r="AC6" s="1055">
        <f>+K6</f>
        <v>15</v>
      </c>
      <c r="AD6" s="1055">
        <f>+M6</f>
        <v>20</v>
      </c>
      <c r="AE6" s="1055">
        <f>+O6</f>
        <v>33</v>
      </c>
      <c r="AF6" s="1055">
        <f>+Q6</f>
        <v>20</v>
      </c>
      <c r="AG6" s="1185"/>
      <c r="AH6" s="1185"/>
      <c r="AI6" s="1185"/>
    </row>
    <row r="7" spans="1:35" x14ac:dyDescent="0.25">
      <c r="A7" s="1531"/>
      <c r="B7" s="1532"/>
      <c r="C7" s="1533"/>
      <c r="D7" s="1534"/>
      <c r="E7" s="1535"/>
      <c r="F7" s="1534"/>
      <c r="G7" s="1535"/>
      <c r="H7" s="1534"/>
      <c r="I7" s="1535"/>
      <c r="J7" s="1534"/>
      <c r="K7" s="1535"/>
      <c r="L7" s="1534"/>
      <c r="M7" s="1535"/>
      <c r="N7" s="1534"/>
      <c r="O7" s="1535"/>
      <c r="P7" s="1534"/>
      <c r="Q7" s="1535"/>
      <c r="R7" s="1534"/>
      <c r="S7" s="1185"/>
      <c r="T7" s="1185"/>
      <c r="U7" s="1185"/>
      <c r="V7" s="1185"/>
      <c r="W7" s="1055" t="s">
        <v>1090</v>
      </c>
      <c r="X7" s="1055">
        <f>+B8</f>
        <v>93</v>
      </c>
      <c r="Y7" s="1055">
        <f>+C8</f>
        <v>88</v>
      </c>
      <c r="Z7" s="1055">
        <f>+E8</f>
        <v>119</v>
      </c>
      <c r="AA7" s="1055">
        <f>+G8</f>
        <v>126</v>
      </c>
      <c r="AB7" s="1055">
        <f>+I8</f>
        <v>85</v>
      </c>
      <c r="AC7" s="1055">
        <f>+K8</f>
        <v>76</v>
      </c>
      <c r="AD7" s="1055">
        <f>+M8</f>
        <v>83</v>
      </c>
      <c r="AE7" s="1055">
        <f>+O8</f>
        <v>74</v>
      </c>
      <c r="AF7" s="1055">
        <f>+Q8</f>
        <v>73</v>
      </c>
      <c r="AG7" s="1185"/>
      <c r="AH7" s="1185"/>
      <c r="AI7" s="1185"/>
    </row>
    <row r="8" spans="1:35" x14ac:dyDescent="0.25">
      <c r="A8" s="1536" t="s">
        <v>1090</v>
      </c>
      <c r="B8" s="1536">
        <v>93</v>
      </c>
      <c r="C8" s="1538">
        <v>88</v>
      </c>
      <c r="D8" s="1539">
        <f>(C8-B8)/B8</f>
        <v>-5.3763440860215055E-2</v>
      </c>
      <c r="E8" s="1538">
        <v>119</v>
      </c>
      <c r="F8" s="1539">
        <f>(E8-C8)/C8</f>
        <v>0.35227272727272729</v>
      </c>
      <c r="G8" s="1538">
        <v>126</v>
      </c>
      <c r="H8" s="1539">
        <f>(G8-E8)/E8</f>
        <v>5.8823529411764705E-2</v>
      </c>
      <c r="I8" s="1538">
        <v>85</v>
      </c>
      <c r="J8" s="1539">
        <f>(I8-G8)/G8</f>
        <v>-0.32539682539682541</v>
      </c>
      <c r="K8" s="1538">
        <v>76</v>
      </c>
      <c r="L8" s="1539">
        <f>(K8-I8)/I8</f>
        <v>-0.10588235294117647</v>
      </c>
      <c r="M8" s="1538">
        <v>83</v>
      </c>
      <c r="N8" s="1539">
        <f>(M8-K8)/K8</f>
        <v>9.2105263157894732E-2</v>
      </c>
      <c r="O8" s="1538">
        <v>74</v>
      </c>
      <c r="P8" s="1539">
        <f>(O8-M8)/M8</f>
        <v>-0.10843373493975904</v>
      </c>
      <c r="Q8" s="1538">
        <v>73</v>
      </c>
      <c r="R8" s="1539">
        <f>(Q8-O8)/O8</f>
        <v>-1.3513513513513514E-2</v>
      </c>
      <c r="S8" s="1185"/>
      <c r="T8" s="1185"/>
      <c r="U8" s="1185"/>
      <c r="V8" s="1185"/>
      <c r="W8" s="1055" t="s">
        <v>1091</v>
      </c>
      <c r="X8" s="1055">
        <f>+B10</f>
        <v>120</v>
      </c>
      <c r="Y8" s="1055">
        <f>+C10</f>
        <v>144</v>
      </c>
      <c r="Z8" s="1055">
        <f>+E10</f>
        <v>135</v>
      </c>
      <c r="AA8" s="1055">
        <f>+G10</f>
        <v>135</v>
      </c>
      <c r="AB8" s="1055">
        <f>+I10</f>
        <v>182</v>
      </c>
      <c r="AC8" s="1055">
        <f>+K10</f>
        <v>151</v>
      </c>
      <c r="AD8" s="1055">
        <f>+M10</f>
        <v>143</v>
      </c>
      <c r="AE8" s="1055">
        <f>+O10</f>
        <v>125</v>
      </c>
      <c r="AF8" s="1055">
        <f>+Q10</f>
        <v>133</v>
      </c>
      <c r="AG8" s="1185"/>
      <c r="AH8" s="1185"/>
      <c r="AI8" s="1185"/>
    </row>
    <row r="9" spans="1:35" x14ac:dyDescent="0.25">
      <c r="A9" s="1531"/>
      <c r="B9" s="1532"/>
      <c r="C9" s="1533"/>
      <c r="D9" s="1534"/>
      <c r="E9" s="1535"/>
      <c r="F9" s="1534"/>
      <c r="G9" s="1535"/>
      <c r="H9" s="1534"/>
      <c r="I9" s="1535"/>
      <c r="J9" s="1534"/>
      <c r="K9" s="1535"/>
      <c r="L9" s="1534"/>
      <c r="M9" s="1535"/>
      <c r="N9" s="1534"/>
      <c r="O9" s="1535"/>
      <c r="P9" s="1534"/>
      <c r="Q9" s="1535"/>
      <c r="R9" s="1534"/>
      <c r="S9" s="1185"/>
      <c r="T9" s="1185"/>
      <c r="U9" s="1185"/>
      <c r="V9" s="1185"/>
      <c r="W9" s="1055" t="s">
        <v>1092</v>
      </c>
      <c r="X9" s="1055">
        <f>+B12</f>
        <v>323</v>
      </c>
      <c r="Y9" s="1055">
        <f>+C12</f>
        <v>293</v>
      </c>
      <c r="Z9" s="1055">
        <f>+E12</f>
        <v>272</v>
      </c>
      <c r="AA9" s="1055">
        <f>+G12</f>
        <v>290</v>
      </c>
      <c r="AB9" s="1055">
        <f>+I12</f>
        <v>306</v>
      </c>
      <c r="AC9" s="1055">
        <f>+K12</f>
        <v>310</v>
      </c>
      <c r="AD9" s="1055">
        <f>+M12</f>
        <v>250</v>
      </c>
      <c r="AE9" s="1055">
        <f>+O12</f>
        <v>271</v>
      </c>
      <c r="AF9" s="1055">
        <f>+Q12</f>
        <v>252</v>
      </c>
      <c r="AG9" s="1185"/>
      <c r="AH9" s="1185"/>
      <c r="AI9" s="1185"/>
    </row>
    <row r="10" spans="1:35" x14ac:dyDescent="0.25">
      <c r="A10" s="1536" t="s">
        <v>1091</v>
      </c>
      <c r="B10" s="1536">
        <v>120</v>
      </c>
      <c r="C10" s="1538">
        <v>144</v>
      </c>
      <c r="D10" s="1539">
        <f>(C10-B10)/B10</f>
        <v>0.2</v>
      </c>
      <c r="E10" s="1538">
        <v>135</v>
      </c>
      <c r="F10" s="1539">
        <f>(E10-C10)/C10</f>
        <v>-6.25E-2</v>
      </c>
      <c r="G10" s="1538">
        <v>135</v>
      </c>
      <c r="H10" s="1539">
        <f>(G10-E10)/E10</f>
        <v>0</v>
      </c>
      <c r="I10" s="1538">
        <v>182</v>
      </c>
      <c r="J10" s="1539">
        <f>(I10-G10)/G10</f>
        <v>0.34814814814814815</v>
      </c>
      <c r="K10" s="1538">
        <v>151</v>
      </c>
      <c r="L10" s="1539">
        <f>(K10-I10)/I10</f>
        <v>-0.17032967032967034</v>
      </c>
      <c r="M10" s="1538">
        <v>143</v>
      </c>
      <c r="N10" s="1539">
        <f>(M10-K10)/K10</f>
        <v>-5.2980132450331126E-2</v>
      </c>
      <c r="O10" s="1538">
        <v>125</v>
      </c>
      <c r="P10" s="1539">
        <f>(O10-M10)/M10</f>
        <v>-0.12587412587412589</v>
      </c>
      <c r="Q10" s="1538">
        <v>133</v>
      </c>
      <c r="R10" s="1539">
        <f>(Q10-O10)/O10</f>
        <v>6.4000000000000001E-2</v>
      </c>
      <c r="S10" s="1185"/>
      <c r="T10" s="1185"/>
      <c r="U10" s="1185"/>
      <c r="V10" s="1185"/>
      <c r="W10" s="1055" t="s">
        <v>1093</v>
      </c>
      <c r="X10" s="1055">
        <f>+B14</f>
        <v>20</v>
      </c>
      <c r="Y10" s="1055">
        <f>+C14</f>
        <v>17</v>
      </c>
      <c r="Z10" s="1055">
        <f>+E14</f>
        <v>12</v>
      </c>
      <c r="AA10" s="1055">
        <f>+G14</f>
        <v>16</v>
      </c>
      <c r="AB10" s="1055">
        <f>+I14</f>
        <v>21</v>
      </c>
      <c r="AC10" s="1055">
        <f>+K14</f>
        <v>24</v>
      </c>
      <c r="AD10" s="1055">
        <f>+M14</f>
        <v>12</v>
      </c>
      <c r="AE10" s="1055">
        <f>+O14</f>
        <v>18</v>
      </c>
      <c r="AF10" s="1055">
        <f>+Q14</f>
        <v>12</v>
      </c>
      <c r="AG10" s="1185"/>
      <c r="AH10" s="1185"/>
      <c r="AI10" s="1185"/>
    </row>
    <row r="11" spans="1:35" x14ac:dyDescent="0.25">
      <c r="A11" s="1531"/>
      <c r="B11" s="1532"/>
      <c r="C11" s="1533"/>
      <c r="D11" s="1534"/>
      <c r="E11" s="1535"/>
      <c r="F11" s="1534"/>
      <c r="G11" s="1535"/>
      <c r="H11" s="1534"/>
      <c r="I11" s="1535"/>
      <c r="J11" s="1534"/>
      <c r="K11" s="1535"/>
      <c r="L11" s="1534"/>
      <c r="M11" s="1535"/>
      <c r="N11" s="1534"/>
      <c r="O11" s="1535"/>
      <c r="P11" s="1534"/>
      <c r="Q11" s="1535"/>
      <c r="R11" s="1534"/>
      <c r="S11" s="1185"/>
      <c r="T11" s="1185"/>
      <c r="U11" s="1185"/>
      <c r="V11" s="1185"/>
      <c r="W11" s="1055" t="s">
        <v>1094</v>
      </c>
      <c r="X11" s="1055">
        <f>+B16</f>
        <v>74</v>
      </c>
      <c r="Y11" s="1055">
        <f>+C16</f>
        <v>235</v>
      </c>
      <c r="Z11" s="1055">
        <f>+E16</f>
        <v>238</v>
      </c>
      <c r="AA11" s="1055">
        <f>+G16</f>
        <v>198</v>
      </c>
      <c r="AB11" s="1055">
        <f>+I16</f>
        <v>147</v>
      </c>
      <c r="AC11" s="1055">
        <f>+K16</f>
        <v>143</v>
      </c>
      <c r="AD11" s="1055">
        <f>+M16</f>
        <v>84</v>
      </c>
      <c r="AE11" s="1055">
        <f>+O16</f>
        <v>99</v>
      </c>
      <c r="AF11" s="1055">
        <f>+Q16</f>
        <v>93</v>
      </c>
      <c r="AG11" s="1185"/>
      <c r="AH11" s="1185"/>
      <c r="AI11" s="1185"/>
    </row>
    <row r="12" spans="1:35" x14ac:dyDescent="0.25">
      <c r="A12" s="1536" t="s">
        <v>1092</v>
      </c>
      <c r="B12" s="1536">
        <v>323</v>
      </c>
      <c r="C12" s="1538">
        <v>293</v>
      </c>
      <c r="D12" s="1539">
        <f>(C12-B12)/B12</f>
        <v>-9.2879256965944276E-2</v>
      </c>
      <c r="E12" s="1538">
        <v>272</v>
      </c>
      <c r="F12" s="1539">
        <f>(E12-C12)/C12</f>
        <v>-7.1672354948805458E-2</v>
      </c>
      <c r="G12" s="1538">
        <v>290</v>
      </c>
      <c r="H12" s="1539">
        <f>(G12-E12)/E12</f>
        <v>6.6176470588235295E-2</v>
      </c>
      <c r="I12" s="1538">
        <v>306</v>
      </c>
      <c r="J12" s="1539">
        <f>(I12-G12)/G12</f>
        <v>5.5172413793103448E-2</v>
      </c>
      <c r="K12" s="1538">
        <v>310</v>
      </c>
      <c r="L12" s="1539">
        <f>(K12-I12)/I12</f>
        <v>1.3071895424836602E-2</v>
      </c>
      <c r="M12" s="1538">
        <v>250</v>
      </c>
      <c r="N12" s="1539">
        <f>(M12-K12)/K12</f>
        <v>-0.19354838709677419</v>
      </c>
      <c r="O12" s="1538">
        <v>271</v>
      </c>
      <c r="P12" s="1539">
        <f>(O12-M12)/M12</f>
        <v>8.4000000000000005E-2</v>
      </c>
      <c r="Q12" s="1538">
        <v>252</v>
      </c>
      <c r="R12" s="1539">
        <f>(Q12-O12)/O12</f>
        <v>-7.0110701107011064E-2</v>
      </c>
      <c r="S12" s="1185"/>
      <c r="T12" s="1185"/>
      <c r="U12" s="1185"/>
      <c r="V12" s="1185"/>
      <c r="W12" s="1055" t="s">
        <v>996</v>
      </c>
      <c r="X12" s="1055">
        <f>+B20</f>
        <v>91</v>
      </c>
      <c r="Y12" s="1055">
        <f>+C20</f>
        <v>120</v>
      </c>
      <c r="Z12" s="1055">
        <f>+E20</f>
        <v>174</v>
      </c>
      <c r="AA12" s="1055">
        <f>+G20</f>
        <v>190</v>
      </c>
      <c r="AB12" s="1055">
        <f>+I20</f>
        <v>196</v>
      </c>
      <c r="AC12" s="1055">
        <f>+K20</f>
        <v>135</v>
      </c>
      <c r="AD12" s="1055">
        <f>+M20</f>
        <v>72</v>
      </c>
      <c r="AE12" s="1055">
        <f>+O20</f>
        <v>70</v>
      </c>
      <c r="AF12" s="1055">
        <f>+Q20</f>
        <v>34</v>
      </c>
      <c r="AG12" s="1185"/>
      <c r="AH12" s="1185"/>
      <c r="AI12" s="1185"/>
    </row>
    <row r="13" spans="1:35" x14ac:dyDescent="0.25">
      <c r="A13" s="1531"/>
      <c r="B13" s="1532"/>
      <c r="C13" s="1533"/>
      <c r="D13" s="1533"/>
      <c r="E13" s="1535"/>
      <c r="F13" s="1534"/>
      <c r="G13" s="1535"/>
      <c r="H13" s="1534"/>
      <c r="I13" s="1535"/>
      <c r="J13" s="1534"/>
      <c r="K13" s="1535"/>
      <c r="L13" s="1534"/>
      <c r="M13" s="1535"/>
      <c r="N13" s="1534"/>
      <c r="O13" s="1535"/>
      <c r="P13" s="1534"/>
      <c r="Q13" s="1535"/>
      <c r="R13" s="1534"/>
      <c r="S13" s="1185"/>
      <c r="T13" s="1185"/>
      <c r="U13" s="1185"/>
      <c r="V13" s="1185"/>
      <c r="W13" s="1055" t="s">
        <v>995</v>
      </c>
      <c r="X13" s="1055">
        <f>+B22</f>
        <v>45</v>
      </c>
      <c r="Y13" s="1055">
        <f>+C22</f>
        <v>38</v>
      </c>
      <c r="Z13" s="1055">
        <f>+E22</f>
        <v>28</v>
      </c>
      <c r="AA13" s="1055">
        <f>+G22</f>
        <v>30</v>
      </c>
      <c r="AB13" s="1055">
        <f>+I22</f>
        <v>47</v>
      </c>
      <c r="AC13" s="1055">
        <f>+K22</f>
        <v>50</v>
      </c>
      <c r="AD13" s="1055">
        <f>+M22</f>
        <v>50</v>
      </c>
      <c r="AE13" s="1055">
        <f>+O22</f>
        <v>38</v>
      </c>
      <c r="AF13" s="1055">
        <f>+Q22</f>
        <v>38</v>
      </c>
      <c r="AG13" s="1185"/>
      <c r="AH13" s="1185"/>
      <c r="AI13" s="1185"/>
    </row>
    <row r="14" spans="1:35" x14ac:dyDescent="0.25">
      <c r="A14" s="1536" t="s">
        <v>1093</v>
      </c>
      <c r="B14" s="1536">
        <v>20</v>
      </c>
      <c r="C14" s="1538">
        <v>17</v>
      </c>
      <c r="D14" s="1539">
        <f>(C14-B14)/B14</f>
        <v>-0.15</v>
      </c>
      <c r="E14" s="1538">
        <v>12</v>
      </c>
      <c r="F14" s="1539">
        <f>(E14-C14)/C14</f>
        <v>-0.29411764705882354</v>
      </c>
      <c r="G14" s="1538">
        <v>16</v>
      </c>
      <c r="H14" s="1539">
        <f>(G14-E14)/E14</f>
        <v>0.33333333333333331</v>
      </c>
      <c r="I14" s="1538">
        <v>21</v>
      </c>
      <c r="J14" s="1539">
        <f>(I14-G14)/G14</f>
        <v>0.3125</v>
      </c>
      <c r="K14" s="1538">
        <v>24</v>
      </c>
      <c r="L14" s="1539">
        <f>(K14-I14)/I14</f>
        <v>0.14285714285714285</v>
      </c>
      <c r="M14" s="1538">
        <v>12</v>
      </c>
      <c r="N14" s="1539">
        <f>(M14-K14)/K14</f>
        <v>-0.5</v>
      </c>
      <c r="O14" s="1538">
        <v>18</v>
      </c>
      <c r="P14" s="1539">
        <f>(O14-M14)/M14</f>
        <v>0.5</v>
      </c>
      <c r="Q14" s="1538">
        <v>12</v>
      </c>
      <c r="R14" s="1539">
        <f>(Q14-O14)/O14</f>
        <v>-0.33333333333333331</v>
      </c>
      <c r="S14" s="1185"/>
      <c r="T14" s="1185"/>
      <c r="U14" s="1185"/>
      <c r="V14" s="1185"/>
      <c r="W14" s="1055" t="s">
        <v>888</v>
      </c>
      <c r="X14" s="1055">
        <f t="shared" ref="X14:AF14" si="0">SUM(X6:X13)</f>
        <v>822</v>
      </c>
      <c r="Y14" s="1055">
        <f t="shared" si="0"/>
        <v>962</v>
      </c>
      <c r="Z14" s="1055">
        <f t="shared" si="0"/>
        <v>1014</v>
      </c>
      <c r="AA14" s="1055">
        <f t="shared" si="0"/>
        <v>1014</v>
      </c>
      <c r="AB14" s="1055">
        <f t="shared" si="0"/>
        <v>1003</v>
      </c>
      <c r="AC14" s="1055">
        <f t="shared" si="0"/>
        <v>904</v>
      </c>
      <c r="AD14" s="1055">
        <f t="shared" si="0"/>
        <v>714</v>
      </c>
      <c r="AE14" s="1055">
        <f t="shared" si="0"/>
        <v>728</v>
      </c>
      <c r="AF14" s="1055">
        <f t="shared" si="0"/>
        <v>655</v>
      </c>
      <c r="AG14" s="1185"/>
      <c r="AH14" s="1185"/>
      <c r="AI14" s="1185"/>
    </row>
    <row r="15" spans="1:35" x14ac:dyDescent="0.25">
      <c r="A15" s="1531"/>
      <c r="B15" s="1532"/>
      <c r="C15" s="1533"/>
      <c r="D15" s="1534"/>
      <c r="E15" s="1535"/>
      <c r="F15" s="1534"/>
      <c r="G15" s="1535"/>
      <c r="H15" s="1534"/>
      <c r="I15" s="1535"/>
      <c r="J15" s="1534"/>
      <c r="K15" s="1535"/>
      <c r="L15" s="1534"/>
      <c r="M15" s="1535"/>
      <c r="N15" s="1534"/>
      <c r="O15" s="1535"/>
      <c r="P15" s="1534"/>
      <c r="Q15" s="1535"/>
      <c r="R15" s="1534"/>
      <c r="S15" s="1185"/>
      <c r="T15" s="1185"/>
      <c r="U15" s="1185"/>
      <c r="V15" s="1185"/>
      <c r="W15" s="1185"/>
      <c r="X15" s="1185"/>
      <c r="Y15" s="1185"/>
      <c r="Z15" s="1185"/>
      <c r="AA15" s="1185"/>
      <c r="AB15" s="1185"/>
      <c r="AC15" s="1185"/>
      <c r="AD15" s="1185"/>
      <c r="AE15" s="1185"/>
      <c r="AF15" s="1185"/>
      <c r="AG15" s="1185"/>
      <c r="AH15" s="1185"/>
      <c r="AI15" s="1185"/>
    </row>
    <row r="16" spans="1:35" x14ac:dyDescent="0.25">
      <c r="A16" s="1536" t="s">
        <v>1094</v>
      </c>
      <c r="B16" s="1536">
        <v>74</v>
      </c>
      <c r="C16" s="1538">
        <v>235</v>
      </c>
      <c r="D16" s="1539">
        <f>(C16-B16)/B16</f>
        <v>2.1756756756756759</v>
      </c>
      <c r="E16" s="1538">
        <v>238</v>
      </c>
      <c r="F16" s="1539">
        <f>(E16-C16)/C16</f>
        <v>1.276595744680851E-2</v>
      </c>
      <c r="G16" s="1538">
        <v>198</v>
      </c>
      <c r="H16" s="1539">
        <f>(G16-E16)/E16</f>
        <v>-0.16806722689075632</v>
      </c>
      <c r="I16" s="1538">
        <v>147</v>
      </c>
      <c r="J16" s="1539">
        <f>(I16-G16)/G16</f>
        <v>-0.25757575757575757</v>
      </c>
      <c r="K16" s="1538">
        <v>143</v>
      </c>
      <c r="L16" s="1539">
        <f>(K16-I16)/I16</f>
        <v>-2.7210884353741496E-2</v>
      </c>
      <c r="M16" s="1538">
        <v>84</v>
      </c>
      <c r="N16" s="1539">
        <f>(M16-K16)/K16</f>
        <v>-0.41258741258741261</v>
      </c>
      <c r="O16" s="1538">
        <v>99</v>
      </c>
      <c r="P16" s="1539">
        <f>(O16-M16)/M16</f>
        <v>0.17857142857142858</v>
      </c>
      <c r="Q16" s="1538">
        <v>93</v>
      </c>
      <c r="R16" s="1539">
        <f>(Q16-O16)/O16</f>
        <v>-6.0606060606060608E-2</v>
      </c>
      <c r="S16" s="1185"/>
      <c r="T16" s="1185"/>
      <c r="U16" s="1185"/>
      <c r="V16" s="1185"/>
      <c r="W16" s="1185"/>
      <c r="X16" s="1185"/>
      <c r="Y16" s="1185"/>
      <c r="Z16" s="1185"/>
      <c r="AA16" s="1185"/>
      <c r="AB16" s="1185"/>
      <c r="AC16" s="1185"/>
      <c r="AD16" s="1185"/>
      <c r="AE16" s="1185"/>
      <c r="AF16" s="1185"/>
      <c r="AG16" s="1185"/>
      <c r="AH16" s="1185"/>
      <c r="AI16" s="1185"/>
    </row>
    <row r="17" spans="1:35" x14ac:dyDescent="0.25">
      <c r="A17" s="1531"/>
      <c r="B17" s="1532"/>
      <c r="C17" s="1533"/>
      <c r="D17" s="1534"/>
      <c r="E17" s="1535"/>
      <c r="F17" s="1534"/>
      <c r="G17" s="1535"/>
      <c r="H17" s="1534"/>
      <c r="I17" s="1535"/>
      <c r="J17" s="1534"/>
      <c r="K17" s="1535"/>
      <c r="L17" s="1534"/>
      <c r="M17" s="1535"/>
      <c r="N17" s="1534"/>
      <c r="O17" s="1535"/>
      <c r="P17" s="1534"/>
      <c r="Q17" s="1535"/>
      <c r="R17" s="1534"/>
      <c r="S17" s="1185"/>
      <c r="T17" s="1185"/>
      <c r="U17" s="1185"/>
      <c r="V17" s="1185"/>
      <c r="W17" s="1185"/>
      <c r="X17" s="1185"/>
      <c r="Y17" s="1185"/>
      <c r="Z17" s="1185"/>
      <c r="AA17" s="1185"/>
      <c r="AB17" s="1185"/>
      <c r="AC17" s="1185"/>
      <c r="AD17" s="1185"/>
      <c r="AE17" s="1185"/>
      <c r="AF17" s="1185"/>
      <c r="AG17" s="1185"/>
      <c r="AH17" s="1185"/>
      <c r="AI17" s="1185"/>
    </row>
    <row r="18" spans="1:35" x14ac:dyDescent="0.25">
      <c r="A18" s="156" t="s">
        <v>1095</v>
      </c>
      <c r="B18" s="1026">
        <f>SUM(B6:B16)</f>
        <v>686</v>
      </c>
      <c r="C18" s="1540">
        <f>SUM(C6:C16)</f>
        <v>804</v>
      </c>
      <c r="D18" s="1541">
        <f>(C18-B18)/B18</f>
        <v>0.17201166180758018</v>
      </c>
      <c r="E18" s="1540">
        <f>SUM(E6:E16)</f>
        <v>812</v>
      </c>
      <c r="F18" s="1541">
        <f>(E18-C18)/C18</f>
        <v>9.9502487562189053E-3</v>
      </c>
      <c r="G18" s="1540">
        <f>SUM(G6:G16)</f>
        <v>794</v>
      </c>
      <c r="H18" s="1541">
        <f>(G18-E18)/E18</f>
        <v>-2.2167487684729065E-2</v>
      </c>
      <c r="I18" s="1540">
        <f>SUM(I6:I16)</f>
        <v>760</v>
      </c>
      <c r="J18" s="1541">
        <f>(I18-G18)/G18</f>
        <v>-4.2821158690176324E-2</v>
      </c>
      <c r="K18" s="1540">
        <f>SUM(K6:K16)</f>
        <v>719</v>
      </c>
      <c r="L18" s="1541">
        <f>(K18-I18)/I18</f>
        <v>-5.3947368421052633E-2</v>
      </c>
      <c r="M18" s="1540">
        <f>SUM(M6:M16)</f>
        <v>592</v>
      </c>
      <c r="N18" s="1541">
        <f>(M18-K18)/K18</f>
        <v>-0.17663421418636996</v>
      </c>
      <c r="O18" s="1540">
        <f>SUM(O6:O16)</f>
        <v>620</v>
      </c>
      <c r="P18" s="1541">
        <f>(O18-M18)/M18</f>
        <v>4.72972972972973E-2</v>
      </c>
      <c r="Q18" s="1540">
        <f>SUM(Q6:Q16)</f>
        <v>583</v>
      </c>
      <c r="R18" s="1541">
        <f>(Q18-O18)/O18</f>
        <v>-5.9677419354838709E-2</v>
      </c>
      <c r="S18" s="1185"/>
      <c r="T18" s="1185"/>
      <c r="U18" s="1185"/>
      <c r="V18" s="1185"/>
      <c r="W18" s="1185"/>
      <c r="X18" s="1185"/>
      <c r="Y18" s="1185"/>
      <c r="Z18" s="1185"/>
      <c r="AA18" s="1185"/>
      <c r="AB18" s="1185"/>
      <c r="AC18" s="1185"/>
      <c r="AD18" s="1185"/>
      <c r="AE18" s="1185"/>
      <c r="AF18" s="1185"/>
      <c r="AG18" s="1185"/>
      <c r="AH18" s="1185"/>
      <c r="AI18" s="1185"/>
    </row>
    <row r="19" spans="1:35" x14ac:dyDescent="0.25">
      <c r="A19" s="1531"/>
      <c r="B19" s="1532"/>
      <c r="C19" s="1533"/>
      <c r="D19" s="1534"/>
      <c r="E19" s="1535"/>
      <c r="F19" s="1534"/>
      <c r="G19" s="1535"/>
      <c r="H19" s="1534"/>
      <c r="I19" s="1535"/>
      <c r="J19" s="1534"/>
      <c r="K19" s="1535"/>
      <c r="L19" s="1534"/>
      <c r="M19" s="1535"/>
      <c r="N19" s="1534"/>
      <c r="O19" s="1535"/>
      <c r="P19" s="1534"/>
      <c r="Q19" s="1535"/>
      <c r="R19" s="1534"/>
      <c r="S19" s="1185"/>
      <c r="T19" s="1185"/>
      <c r="U19" s="1185"/>
      <c r="V19" s="1185"/>
      <c r="W19" s="1185"/>
      <c r="X19" s="1185"/>
      <c r="Y19" s="1185"/>
      <c r="Z19" s="1185"/>
      <c r="AA19" s="1185"/>
      <c r="AB19" s="1185"/>
      <c r="AC19" s="1185"/>
      <c r="AD19" s="1185"/>
      <c r="AE19" s="1185"/>
      <c r="AF19" s="1185"/>
      <c r="AG19" s="1185"/>
      <c r="AH19" s="1185"/>
      <c r="AI19" s="1185"/>
    </row>
    <row r="20" spans="1:35" x14ac:dyDescent="0.25">
      <c r="A20" s="1536" t="s">
        <v>996</v>
      </c>
      <c r="B20" s="1536">
        <v>91</v>
      </c>
      <c r="C20" s="1538">
        <v>120</v>
      </c>
      <c r="D20" s="1539">
        <f>(C20-B20)/B20</f>
        <v>0.31868131868131866</v>
      </c>
      <c r="E20" s="1538">
        <v>174</v>
      </c>
      <c r="F20" s="1539">
        <f>(E20-C20)/C20</f>
        <v>0.45</v>
      </c>
      <c r="G20" s="1538">
        <v>190</v>
      </c>
      <c r="H20" s="1539">
        <f>(G20-E20)/E20</f>
        <v>9.1954022988505746E-2</v>
      </c>
      <c r="I20" s="1538">
        <v>196</v>
      </c>
      <c r="J20" s="1539">
        <f>(I20-G20)/G20</f>
        <v>3.1578947368421054E-2</v>
      </c>
      <c r="K20" s="1538">
        <v>135</v>
      </c>
      <c r="L20" s="1539">
        <f>(K20-I20)/I20</f>
        <v>-0.31122448979591838</v>
      </c>
      <c r="M20" s="1538">
        <v>72</v>
      </c>
      <c r="N20" s="1539">
        <f>(M20-K20)/K20</f>
        <v>-0.46666666666666667</v>
      </c>
      <c r="O20" s="1538">
        <v>70</v>
      </c>
      <c r="P20" s="1539">
        <f>(O20-M20)/M20</f>
        <v>-2.7777777777777776E-2</v>
      </c>
      <c r="Q20" s="1538">
        <v>34</v>
      </c>
      <c r="R20" s="1539">
        <f>(Q20-O20)/O20</f>
        <v>-0.51428571428571423</v>
      </c>
      <c r="S20" s="1185"/>
      <c r="T20" s="1185"/>
      <c r="U20" s="1185"/>
      <c r="V20" s="1185"/>
      <c r="W20" s="1185"/>
      <c r="X20" s="1185"/>
      <c r="Y20" s="1185"/>
      <c r="Z20" s="1185"/>
      <c r="AA20" s="1185"/>
      <c r="AB20" s="1185"/>
      <c r="AC20" s="1185"/>
      <c r="AD20" s="1185"/>
      <c r="AE20" s="1185"/>
      <c r="AF20" s="1185"/>
      <c r="AG20" s="1185"/>
      <c r="AH20" s="1185"/>
      <c r="AI20" s="1185"/>
    </row>
    <row r="21" spans="1:35" x14ac:dyDescent="0.25">
      <c r="A21" s="1531"/>
      <c r="B21" s="1532"/>
      <c r="C21" s="1533"/>
      <c r="D21" s="1534"/>
      <c r="E21" s="1535"/>
      <c r="F21" s="1534"/>
      <c r="G21" s="1535"/>
      <c r="H21" s="1534"/>
      <c r="I21" s="1535"/>
      <c r="J21" s="1534"/>
      <c r="K21" s="1535"/>
      <c r="L21" s="1534"/>
      <c r="M21" s="1535"/>
      <c r="N21" s="1534"/>
      <c r="O21" s="1535"/>
      <c r="P21" s="1534"/>
      <c r="Q21" s="1535"/>
      <c r="R21" s="1534"/>
      <c r="S21" s="1185"/>
      <c r="T21" s="1185"/>
      <c r="U21" s="1185"/>
      <c r="V21" s="1185"/>
      <c r="W21" s="1185"/>
      <c r="X21" s="1185"/>
      <c r="Y21" s="1185"/>
      <c r="Z21" s="1185"/>
      <c r="AA21" s="1185"/>
      <c r="AB21" s="1185"/>
      <c r="AC21" s="1185"/>
      <c r="AD21" s="1185"/>
      <c r="AE21" s="1185"/>
      <c r="AF21" s="1185"/>
      <c r="AG21" s="1185"/>
      <c r="AH21" s="1185"/>
      <c r="AI21" s="1185"/>
    </row>
    <row r="22" spans="1:35" x14ac:dyDescent="0.25">
      <c r="A22" s="1536" t="s">
        <v>995</v>
      </c>
      <c r="B22" s="1536">
        <v>45</v>
      </c>
      <c r="C22" s="1538">
        <v>38</v>
      </c>
      <c r="D22" s="1539">
        <f>(C22-B22)/B22</f>
        <v>-0.15555555555555556</v>
      </c>
      <c r="E22" s="1538">
        <v>28</v>
      </c>
      <c r="F22" s="1539">
        <f>(E22-C22)/C22</f>
        <v>-0.26315789473684209</v>
      </c>
      <c r="G22" s="1538">
        <v>30</v>
      </c>
      <c r="H22" s="1539">
        <f>(G22-E22)/E22</f>
        <v>7.1428571428571425E-2</v>
      </c>
      <c r="I22" s="1538">
        <v>47</v>
      </c>
      <c r="J22" s="1539">
        <f>(I22-G22)/G22</f>
        <v>0.56666666666666665</v>
      </c>
      <c r="K22" s="1538">
        <v>50</v>
      </c>
      <c r="L22" s="1539">
        <f>(K22-I22)/I22</f>
        <v>6.3829787234042548E-2</v>
      </c>
      <c r="M22" s="1538">
        <v>50</v>
      </c>
      <c r="N22" s="1539">
        <f>(M22-K22)/K22</f>
        <v>0</v>
      </c>
      <c r="O22" s="1538">
        <v>38</v>
      </c>
      <c r="P22" s="1539">
        <f>(O22-M22)/M22</f>
        <v>-0.24</v>
      </c>
      <c r="Q22" s="1538">
        <v>38</v>
      </c>
      <c r="R22" s="1539">
        <f>(Q22-O22)/O22</f>
        <v>0</v>
      </c>
      <c r="S22" s="1185"/>
      <c r="T22" s="1185"/>
      <c r="U22" s="1185"/>
      <c r="V22" s="1185"/>
      <c r="W22" s="1185"/>
      <c r="X22" s="1185"/>
      <c r="Y22" s="1185"/>
      <c r="Z22" s="1185"/>
      <c r="AA22" s="1185"/>
      <c r="AB22" s="1185"/>
      <c r="AC22" s="1185"/>
      <c r="AD22" s="1185"/>
      <c r="AE22" s="1185"/>
      <c r="AF22" s="1185"/>
      <c r="AG22" s="1185"/>
      <c r="AH22" s="1185"/>
      <c r="AI22" s="1185"/>
    </row>
    <row r="23" spans="1:35" x14ac:dyDescent="0.25">
      <c r="A23" s="1531"/>
      <c r="B23" s="1532"/>
      <c r="C23" s="1533"/>
      <c r="D23" s="1534"/>
      <c r="E23" s="1535"/>
      <c r="F23" s="1534"/>
      <c r="G23" s="1535"/>
      <c r="H23" s="1534"/>
      <c r="I23" s="1535"/>
      <c r="J23" s="1534"/>
      <c r="K23" s="1535"/>
      <c r="L23" s="1534"/>
      <c r="M23" s="1535"/>
      <c r="N23" s="1534"/>
      <c r="O23" s="1535"/>
      <c r="P23" s="1534"/>
      <c r="Q23" s="1535"/>
      <c r="R23" s="1534"/>
      <c r="S23" s="1185"/>
      <c r="T23" s="1185"/>
      <c r="U23" s="1185"/>
      <c r="V23" s="1185"/>
      <c r="W23" s="1185"/>
      <c r="X23" s="1185"/>
      <c r="Y23" s="1185"/>
      <c r="Z23" s="1185"/>
      <c r="AA23" s="1185"/>
      <c r="AB23" s="1185"/>
      <c r="AC23" s="1185"/>
      <c r="AD23" s="1185"/>
      <c r="AE23" s="1185"/>
      <c r="AF23" s="1185"/>
      <c r="AG23" s="1185"/>
      <c r="AH23" s="1185"/>
      <c r="AI23" s="1185"/>
    </row>
    <row r="24" spans="1:35" x14ac:dyDescent="0.25">
      <c r="A24" s="156" t="s">
        <v>1096</v>
      </c>
      <c r="B24" s="1026">
        <f>B20+B22</f>
        <v>136</v>
      </c>
      <c r="C24" s="1540">
        <f>C20+C22</f>
        <v>158</v>
      </c>
      <c r="D24" s="1541">
        <f>(C24-B24)/B24</f>
        <v>0.16176470588235295</v>
      </c>
      <c r="E24" s="1540">
        <f>E20+E22</f>
        <v>202</v>
      </c>
      <c r="F24" s="1541">
        <f>(E24-C24)/C24</f>
        <v>0.27848101265822783</v>
      </c>
      <c r="G24" s="1540">
        <f>G20+G22</f>
        <v>220</v>
      </c>
      <c r="H24" s="1541">
        <f>(G24-E24)/E24</f>
        <v>8.9108910891089105E-2</v>
      </c>
      <c r="I24" s="1540">
        <f>I20+I22</f>
        <v>243</v>
      </c>
      <c r="J24" s="1541">
        <f>(I24-G24)/G24</f>
        <v>0.10454545454545454</v>
      </c>
      <c r="K24" s="1540">
        <f>K20+K22</f>
        <v>185</v>
      </c>
      <c r="L24" s="1541">
        <f>(K24-I24)/I24</f>
        <v>-0.23868312757201646</v>
      </c>
      <c r="M24" s="1540">
        <f>M20+M22</f>
        <v>122</v>
      </c>
      <c r="N24" s="1541">
        <f>(M24-K24)/K24</f>
        <v>-0.34054054054054056</v>
      </c>
      <c r="O24" s="1540">
        <f>O20+O22</f>
        <v>108</v>
      </c>
      <c r="P24" s="1541">
        <f>(O24-M24)/M24</f>
        <v>-0.11475409836065574</v>
      </c>
      <c r="Q24" s="1540">
        <f>Q20+Q22</f>
        <v>72</v>
      </c>
      <c r="R24" s="1541">
        <f>(Q24-O24)/O24</f>
        <v>-0.33333333333333331</v>
      </c>
      <c r="S24" s="1185"/>
      <c r="T24" s="1185"/>
      <c r="U24" s="1185"/>
      <c r="V24" s="1185"/>
      <c r="W24" s="1185"/>
      <c r="X24" s="1185"/>
      <c r="Y24" s="1185"/>
      <c r="Z24" s="1185"/>
      <c r="AA24" s="1185"/>
      <c r="AB24" s="1185"/>
      <c r="AC24" s="1185"/>
      <c r="AD24" s="1185"/>
      <c r="AE24" s="1185"/>
      <c r="AF24" s="1185"/>
      <c r="AG24" s="1185"/>
      <c r="AH24" s="1185"/>
      <c r="AI24" s="1185"/>
    </row>
    <row r="25" spans="1:35" x14ac:dyDescent="0.25">
      <c r="A25" s="1531"/>
      <c r="B25" s="1532"/>
      <c r="C25" s="1533"/>
      <c r="D25" s="1534"/>
      <c r="E25" s="1535"/>
      <c r="F25" s="1534"/>
      <c r="G25" s="1535"/>
      <c r="H25" s="1534"/>
      <c r="I25" s="1535"/>
      <c r="J25" s="1534"/>
      <c r="K25" s="1535"/>
      <c r="L25" s="1534"/>
      <c r="M25" s="1535"/>
      <c r="N25" s="1534"/>
      <c r="O25" s="1535"/>
      <c r="P25" s="1534"/>
      <c r="Q25" s="1535"/>
      <c r="R25" s="1534"/>
      <c r="S25" s="1185"/>
      <c r="T25" s="1185"/>
      <c r="U25" s="1185"/>
      <c r="V25" s="1185"/>
      <c r="W25" s="1185"/>
      <c r="X25" s="1185"/>
      <c r="Y25" s="1185"/>
      <c r="Z25" s="1185"/>
      <c r="AA25" s="1185"/>
      <c r="AB25" s="1185"/>
      <c r="AC25" s="1185"/>
      <c r="AD25" s="1185"/>
      <c r="AE25" s="1185"/>
      <c r="AF25" s="1185"/>
      <c r="AG25" s="1185"/>
      <c r="AH25" s="1185"/>
      <c r="AI25" s="1185"/>
    </row>
    <row r="26" spans="1:35" x14ac:dyDescent="0.25">
      <c r="A26" s="158" t="s">
        <v>1003</v>
      </c>
      <c r="B26" s="1027">
        <f>B18+B24</f>
        <v>822</v>
      </c>
      <c r="C26" s="1542">
        <f>C18+C24</f>
        <v>962</v>
      </c>
      <c r="D26" s="1541">
        <f>(C26-B26)/B26</f>
        <v>0.170316301703163</v>
      </c>
      <c r="E26" s="1542">
        <f>E18+E24</f>
        <v>1014</v>
      </c>
      <c r="F26" s="1541">
        <f>(E26-C26)/C26</f>
        <v>5.4054054054054057E-2</v>
      </c>
      <c r="G26" s="1542">
        <f>G18+G24</f>
        <v>1014</v>
      </c>
      <c r="H26" s="1541">
        <f>(G26-E26)/E26</f>
        <v>0</v>
      </c>
      <c r="I26" s="1542">
        <f>I18+I24</f>
        <v>1003</v>
      </c>
      <c r="J26" s="1541">
        <f>(I26-G26)/G26</f>
        <v>-1.0848126232741617E-2</v>
      </c>
      <c r="K26" s="1542">
        <f>K18+K24</f>
        <v>904</v>
      </c>
      <c r="L26" s="1541">
        <f>(K26-I26)/I26</f>
        <v>-9.8703888334995021E-2</v>
      </c>
      <c r="M26" s="1542">
        <f>M18+M24</f>
        <v>714</v>
      </c>
      <c r="N26" s="1541">
        <f>(M26-K26)/K26</f>
        <v>-0.21017699115044247</v>
      </c>
      <c r="O26" s="1542">
        <f>O18+O24</f>
        <v>728</v>
      </c>
      <c r="P26" s="1541">
        <f>(O26-M26)/M26</f>
        <v>1.9607843137254902E-2</v>
      </c>
      <c r="Q26" s="1542">
        <f>Q18+Q24</f>
        <v>655</v>
      </c>
      <c r="R26" s="1541">
        <f>(Q26-O26)/O26</f>
        <v>-0.10027472527472528</v>
      </c>
      <c r="S26" s="1185"/>
      <c r="T26" s="1185"/>
      <c r="U26" s="1185"/>
      <c r="V26" s="1185"/>
      <c r="W26" s="1185"/>
      <c r="X26" s="1185"/>
      <c r="Y26" s="1185"/>
      <c r="Z26" s="1185"/>
      <c r="AA26" s="1185"/>
      <c r="AB26" s="1185"/>
      <c r="AC26" s="1185"/>
      <c r="AD26" s="1185"/>
      <c r="AE26" s="1185"/>
      <c r="AF26" s="1185"/>
      <c r="AG26" s="1185"/>
      <c r="AH26" s="1185"/>
      <c r="AI26" s="1185"/>
    </row>
    <row r="27" spans="1:35" x14ac:dyDescent="0.25">
      <c r="A27" s="1543"/>
      <c r="B27" s="1543"/>
      <c r="C27" s="1543"/>
      <c r="D27" s="1543"/>
      <c r="E27" s="1543"/>
      <c r="F27" s="1544"/>
      <c r="G27" s="1544"/>
      <c r="H27" s="1544"/>
      <c r="I27" s="1545"/>
      <c r="J27" s="1544"/>
      <c r="O27" s="1185"/>
      <c r="P27" s="1185"/>
      <c r="Q27" s="1185"/>
      <c r="R27" s="1185"/>
      <c r="S27" s="1185"/>
      <c r="T27" s="1185"/>
      <c r="U27" s="1185"/>
      <c r="V27" s="1185"/>
      <c r="W27" s="1185"/>
      <c r="X27" s="1185"/>
      <c r="Y27" s="1185"/>
      <c r="Z27" s="1185"/>
      <c r="AA27" s="1185"/>
      <c r="AB27" s="1185"/>
      <c r="AC27" s="1185"/>
      <c r="AD27" s="1185"/>
      <c r="AE27" s="1185"/>
      <c r="AF27" s="1185"/>
      <c r="AG27" s="1185"/>
      <c r="AH27" s="1185"/>
      <c r="AI27" s="1185"/>
    </row>
    <row r="28" spans="1:35" x14ac:dyDescent="0.25">
      <c r="P28" s="1185"/>
      <c r="Q28" s="1185"/>
      <c r="R28" s="1185"/>
      <c r="S28" s="1185"/>
      <c r="T28" s="1185"/>
      <c r="U28" s="1185"/>
      <c r="V28" s="1185"/>
      <c r="W28" s="1185"/>
      <c r="X28" s="1185"/>
      <c r="Y28" s="1185"/>
      <c r="Z28" s="1185"/>
      <c r="AA28" s="1185"/>
      <c r="AB28" s="1185"/>
      <c r="AC28" s="1185"/>
      <c r="AD28" s="1185"/>
      <c r="AE28" s="1185"/>
      <c r="AF28" s="1185"/>
      <c r="AG28" s="1185"/>
      <c r="AH28" s="1185"/>
      <c r="AI28" s="1185"/>
    </row>
    <row r="29" spans="1:35" x14ac:dyDescent="0.25">
      <c r="S29" s="1185"/>
      <c r="T29" s="1185"/>
      <c r="U29" s="1185"/>
      <c r="V29" s="1185"/>
      <c r="W29" s="1185"/>
      <c r="X29" s="1185"/>
      <c r="Y29" s="1185"/>
      <c r="Z29" s="1185"/>
      <c r="AA29" s="1185"/>
      <c r="AB29" s="1185"/>
      <c r="AC29" s="1185"/>
      <c r="AD29" s="1185"/>
      <c r="AE29" s="1185"/>
      <c r="AF29" s="1185"/>
      <c r="AG29" s="1185"/>
      <c r="AH29" s="1185"/>
      <c r="AI29" s="1055"/>
    </row>
    <row r="30" spans="1:35" x14ac:dyDescent="0.25">
      <c r="S30" s="1185"/>
      <c r="T30" s="1185"/>
      <c r="U30" s="1185"/>
      <c r="V30" s="1185"/>
      <c r="W30" s="1185"/>
      <c r="X30" s="1185"/>
      <c r="Y30" s="1185"/>
      <c r="Z30" s="1185"/>
      <c r="AA30" s="1185"/>
      <c r="AB30" s="1185"/>
      <c r="AC30" s="1185"/>
      <c r="AD30" s="1185"/>
      <c r="AE30" s="1185"/>
      <c r="AF30" s="1185"/>
      <c r="AG30" s="1185"/>
      <c r="AH30" s="1185"/>
      <c r="AI30" s="1055"/>
    </row>
    <row r="31" spans="1:35" x14ac:dyDescent="0.25">
      <c r="S31" s="1185"/>
      <c r="T31" s="1185"/>
      <c r="U31" s="1185"/>
      <c r="V31" s="1185"/>
      <c r="W31" s="1185"/>
      <c r="AC31" s="1055"/>
      <c r="AD31" s="1055"/>
      <c r="AE31" s="1055"/>
      <c r="AF31" s="1055"/>
      <c r="AG31" s="1055"/>
      <c r="AH31" s="1055"/>
      <c r="AI31" s="1055"/>
    </row>
    <row r="32" spans="1:35" x14ac:dyDescent="0.25">
      <c r="S32" s="1185"/>
      <c r="T32" s="1185"/>
      <c r="U32" s="1185"/>
      <c r="V32" s="1185"/>
      <c r="W32" s="1185"/>
      <c r="AC32" s="1055"/>
      <c r="AD32" s="1055"/>
      <c r="AE32" s="1055"/>
      <c r="AF32" s="1055"/>
      <c r="AG32" s="1055"/>
      <c r="AH32" s="1055"/>
      <c r="AI32" s="1055"/>
    </row>
    <row r="33" spans="16:35" x14ac:dyDescent="0.25">
      <c r="S33" s="1185"/>
      <c r="T33" s="1185"/>
      <c r="U33" s="1185"/>
      <c r="V33" s="1185"/>
      <c r="W33" s="1185"/>
      <c r="AC33" s="1055"/>
      <c r="AD33" s="1055"/>
      <c r="AE33" s="1055"/>
      <c r="AF33" s="1055"/>
      <c r="AG33" s="1055"/>
      <c r="AH33" s="1055"/>
      <c r="AI33" s="1055"/>
    </row>
    <row r="34" spans="16:35" x14ac:dyDescent="0.25">
      <c r="S34" s="1185"/>
      <c r="T34" s="1185"/>
      <c r="U34" s="1185"/>
      <c r="V34" s="1185"/>
      <c r="W34" s="1185"/>
      <c r="AC34" s="1055"/>
      <c r="AD34" s="1055"/>
      <c r="AE34" s="1055"/>
      <c r="AF34" s="1055"/>
      <c r="AG34" s="1055"/>
      <c r="AH34" s="1055"/>
      <c r="AI34" s="1055"/>
    </row>
    <row r="35" spans="16:35" x14ac:dyDescent="0.25">
      <c r="AC35" s="1055"/>
      <c r="AD35" s="1055"/>
      <c r="AE35" s="1055"/>
      <c r="AF35" s="1055"/>
      <c r="AG35" s="1055"/>
      <c r="AH35" s="1055"/>
      <c r="AI35" s="1055"/>
    </row>
    <row r="36" spans="16:35" x14ac:dyDescent="0.25">
      <c r="AC36" s="1055"/>
      <c r="AD36" s="1055"/>
      <c r="AE36" s="1055"/>
      <c r="AF36" s="1055"/>
      <c r="AG36" s="1055"/>
      <c r="AH36" s="1055"/>
      <c r="AI36" s="1055"/>
    </row>
    <row r="37" spans="16:35" x14ac:dyDescent="0.25">
      <c r="AC37" s="1055"/>
      <c r="AD37" s="1055"/>
      <c r="AE37" s="1055"/>
      <c r="AF37" s="1055"/>
      <c r="AG37" s="1055"/>
      <c r="AH37" s="1055"/>
      <c r="AI37" s="1055"/>
    </row>
    <row r="38" spans="16:35" x14ac:dyDescent="0.25">
      <c r="AC38" s="1055"/>
      <c r="AD38" s="1055"/>
      <c r="AE38" s="1055"/>
      <c r="AF38" s="1055"/>
      <c r="AG38" s="1055"/>
      <c r="AH38" s="1055"/>
      <c r="AI38" s="1055"/>
    </row>
    <row r="39" spans="16:35" x14ac:dyDescent="0.25">
      <c r="AC39" s="1055"/>
      <c r="AD39" s="1055"/>
      <c r="AE39" s="1055"/>
      <c r="AF39" s="1055"/>
      <c r="AG39" s="1055"/>
      <c r="AH39" s="1055"/>
      <c r="AI39" s="1055"/>
    </row>
    <row r="40" spans="16:35" x14ac:dyDescent="0.25">
      <c r="P40" s="1185"/>
      <c r="Q40" s="1185"/>
      <c r="R40" s="1185"/>
      <c r="S40" s="1185"/>
      <c r="T40" s="1185"/>
      <c r="U40" s="1185"/>
      <c r="V40" s="1185"/>
      <c r="W40" s="1185"/>
      <c r="X40" s="1185"/>
      <c r="Y40" s="1185"/>
      <c r="Z40" s="1185"/>
      <c r="AA40" s="1185"/>
      <c r="AB40" s="1185"/>
      <c r="AC40" s="1185"/>
      <c r="AD40" s="1185"/>
      <c r="AE40" s="1185"/>
      <c r="AF40" s="1185"/>
    </row>
    <row r="41" spans="16:35" x14ac:dyDescent="0.25">
      <c r="P41" s="1185"/>
      <c r="Q41" s="1185"/>
      <c r="R41" s="1185"/>
      <c r="S41" s="1185"/>
      <c r="T41" s="1185"/>
      <c r="U41" s="1185"/>
      <c r="V41" s="1185"/>
      <c r="W41" s="1185"/>
      <c r="X41" s="1185"/>
      <c r="Y41" s="1185"/>
      <c r="Z41" s="1185"/>
      <c r="AA41" s="1185"/>
      <c r="AB41" s="1185"/>
      <c r="AC41" s="1185"/>
      <c r="AD41" s="1185"/>
      <c r="AE41" s="1185"/>
      <c r="AF41" s="1185"/>
    </row>
    <row r="42" spans="16:35" x14ac:dyDescent="0.25">
      <c r="P42" s="1185"/>
      <c r="Q42" s="1185"/>
      <c r="R42" s="1185"/>
      <c r="S42" s="1185"/>
      <c r="T42" s="1185"/>
      <c r="U42" s="1185"/>
      <c r="V42" s="1185"/>
      <c r="W42" s="1185"/>
      <c r="X42" s="1185"/>
      <c r="Y42" s="1185"/>
      <c r="Z42" s="1185"/>
      <c r="AA42" s="1185"/>
      <c r="AB42" s="1185"/>
      <c r="AC42" s="1185"/>
      <c r="AD42" s="1185"/>
      <c r="AE42" s="1185"/>
      <c r="AF42" s="1185"/>
    </row>
    <row r="43" spans="16:35" x14ac:dyDescent="0.25">
      <c r="P43" s="1185"/>
      <c r="Q43" s="1185"/>
      <c r="R43" s="1185"/>
      <c r="S43" s="1185"/>
      <c r="T43" s="1185"/>
      <c r="U43" s="1185"/>
      <c r="V43" s="1185"/>
      <c r="W43" s="1185"/>
      <c r="X43" s="1185"/>
      <c r="Y43" s="1185"/>
      <c r="Z43" s="1185"/>
      <c r="AA43" s="1185"/>
      <c r="AB43" s="1185"/>
      <c r="AC43" s="1185"/>
      <c r="AD43" s="1185"/>
      <c r="AE43" s="1185"/>
      <c r="AF43" s="1185"/>
    </row>
  </sheetData>
  <mergeCells count="9">
    <mergeCell ref="Q3:R3"/>
    <mergeCell ref="A1:R1"/>
    <mergeCell ref="O3:P3"/>
    <mergeCell ref="C3:D3"/>
    <mergeCell ref="E3:F3"/>
    <mergeCell ref="G3:H3"/>
    <mergeCell ref="I3:J3"/>
    <mergeCell ref="K3:L3"/>
    <mergeCell ref="M3:N3"/>
  </mergeCells>
  <printOptions horizontalCentered="1" verticalCentered="1"/>
  <pageMargins left="0.5" right="0.5" top="0.25" bottom="0.75" header="0.5" footer="0.5"/>
  <pageSetup scale="62" orientation="landscape" horizontalDpi="4294967293" r:id="rId1"/>
  <headerFooter alignWithMargins="0">
    <oddFooter xml:space="preserve">&amp;LSource: Office of Institutional Research&amp;R
</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R137"/>
  <sheetViews>
    <sheetView zoomScale="70" zoomScaleNormal="70" workbookViewId="0">
      <selection sqref="A1:R1"/>
    </sheetView>
  </sheetViews>
  <sheetFormatPr defaultRowHeight="13.2" x14ac:dyDescent="0.25"/>
  <cols>
    <col min="1" max="1" width="70.33203125" customWidth="1"/>
    <col min="2" max="3" width="15.44140625" hidden="1" customWidth="1"/>
    <col min="4" max="4" width="15.44140625" style="7" hidden="1" customWidth="1"/>
    <col min="5" max="8" width="15.44140625" hidden="1" customWidth="1"/>
    <col min="9" max="62" width="15.44140625" customWidth="1"/>
  </cols>
  <sheetData>
    <row r="1" spans="1:18" ht="19.2" x14ac:dyDescent="0.35">
      <c r="A1" s="2174" t="s">
        <v>923</v>
      </c>
      <c r="B1" s="2174"/>
      <c r="C1" s="2174"/>
      <c r="D1" s="2174"/>
      <c r="E1" s="2174"/>
      <c r="F1" s="2174"/>
      <c r="G1" s="2174"/>
      <c r="H1" s="2174"/>
      <c r="I1" s="2174"/>
      <c r="J1" s="2174"/>
      <c r="K1" s="2174"/>
      <c r="L1" s="2174"/>
      <c r="M1" s="2174"/>
      <c r="N1" s="2174"/>
      <c r="O1" s="2174"/>
      <c r="P1" s="2174"/>
      <c r="Q1" s="2174"/>
      <c r="R1" s="2174"/>
    </row>
    <row r="2" spans="1:18" ht="8.25" customHeight="1" thickBot="1" x14ac:dyDescent="0.4">
      <c r="A2" s="458"/>
      <c r="B2" s="458"/>
      <c r="C2" s="458"/>
      <c r="D2" s="458"/>
    </row>
    <row r="3" spans="1:18" ht="20.25" customHeight="1" thickBot="1" x14ac:dyDescent="0.35">
      <c r="A3" s="2134" t="s">
        <v>409</v>
      </c>
      <c r="B3" s="2135"/>
      <c r="C3" s="2135"/>
      <c r="D3" s="2135"/>
      <c r="E3" s="2135"/>
      <c r="F3" s="2135"/>
      <c r="G3" s="2135"/>
      <c r="H3" s="2135"/>
      <c r="I3" s="2135"/>
      <c r="J3" s="2135"/>
      <c r="K3" s="2135"/>
      <c r="L3" s="2135"/>
      <c r="M3" s="2135"/>
      <c r="N3" s="2135"/>
      <c r="O3" s="2135"/>
      <c r="P3" s="2135"/>
      <c r="Q3" s="2135"/>
      <c r="R3" s="2136"/>
    </row>
    <row r="4" spans="1:18" ht="20.25" customHeight="1" x14ac:dyDescent="0.3">
      <c r="A4" s="549" t="s">
        <v>410</v>
      </c>
      <c r="B4" s="1358">
        <v>2007</v>
      </c>
      <c r="C4" s="1358">
        <f>B4+1</f>
        <v>2008</v>
      </c>
      <c r="D4" s="667" t="s">
        <v>1100</v>
      </c>
      <c r="E4" s="1358">
        <f>C4+1</f>
        <v>2009</v>
      </c>
      <c r="F4" s="667" t="s">
        <v>1100</v>
      </c>
      <c r="G4" s="1358">
        <f>E4+1</f>
        <v>2010</v>
      </c>
      <c r="H4" s="667" t="s">
        <v>1100</v>
      </c>
      <c r="I4" s="1358">
        <f>G4+1</f>
        <v>2011</v>
      </c>
      <c r="J4" s="667" t="s">
        <v>1100</v>
      </c>
      <c r="K4" s="1358">
        <f>I4+1</f>
        <v>2012</v>
      </c>
      <c r="L4" s="667" t="s">
        <v>1100</v>
      </c>
      <c r="M4" s="1358">
        <f>K4+1</f>
        <v>2013</v>
      </c>
      <c r="N4" s="667" t="s">
        <v>1100</v>
      </c>
      <c r="O4" s="1358">
        <f>M4+1</f>
        <v>2014</v>
      </c>
      <c r="P4" s="667" t="s">
        <v>1100</v>
      </c>
      <c r="Q4" s="1358">
        <f>O4+1</f>
        <v>2015</v>
      </c>
      <c r="R4" s="667" t="s">
        <v>1100</v>
      </c>
    </row>
    <row r="5" spans="1:18" ht="18" customHeight="1" x14ac:dyDescent="0.3">
      <c r="A5" s="551" t="s">
        <v>411</v>
      </c>
      <c r="B5" s="1360"/>
      <c r="C5" s="1360"/>
      <c r="D5" s="460"/>
      <c r="E5" s="1360"/>
      <c r="F5" s="460"/>
      <c r="G5" s="1360"/>
      <c r="H5" s="460"/>
      <c r="I5" s="1360"/>
      <c r="J5" s="460"/>
      <c r="K5" s="1360"/>
      <c r="L5" s="460"/>
      <c r="M5" s="1360"/>
      <c r="N5" s="470"/>
      <c r="O5" s="1360"/>
      <c r="P5" s="460"/>
      <c r="Q5" s="1360"/>
      <c r="R5" s="460"/>
    </row>
    <row r="6" spans="1:18" ht="18" customHeight="1" x14ac:dyDescent="0.3">
      <c r="A6" s="552" t="s">
        <v>1110</v>
      </c>
      <c r="B6" s="1296">
        <v>98</v>
      </c>
      <c r="C6" s="1296">
        <v>99</v>
      </c>
      <c r="D6" s="462">
        <f t="shared" ref="D6:D13" si="0">IF(B6&gt;0,(C6-B6)/B6,(IF(C6=0,"N/A",100%)))</f>
        <v>1.020408163265306E-2</v>
      </c>
      <c r="E6" s="1296">
        <v>110</v>
      </c>
      <c r="F6" s="462">
        <f t="shared" ref="F6:F13" si="1">IF(C6&gt;0,(E6-C6)/C6,(IF(E6=0,"N/A",100%)))</f>
        <v>0.1111111111111111</v>
      </c>
      <c r="G6" s="1296">
        <v>127</v>
      </c>
      <c r="H6" s="462">
        <f t="shared" ref="H6:H13" si="2">IF(E6&gt;0,(G6-E6)/E6,(IF(G6=0,"N/A",100%)))</f>
        <v>0.15454545454545454</v>
      </c>
      <c r="I6" s="1296">
        <v>125</v>
      </c>
      <c r="J6" s="462">
        <f t="shared" ref="J6:J13" si="3">IF(G6&gt;0,(I6-G6)/G6,(IF(I6=0,"N/A",100%)))</f>
        <v>-1.5748031496062992E-2</v>
      </c>
      <c r="K6" s="1296">
        <v>118</v>
      </c>
      <c r="L6" s="462">
        <f t="shared" ref="L6:L13" si="4">IF(I6&gt;0,(K6-I6)/I6,(IF(K6=0,"N/A",100%)))</f>
        <v>-5.6000000000000001E-2</v>
      </c>
      <c r="M6" s="1296">
        <v>126</v>
      </c>
      <c r="N6" s="462">
        <f t="shared" ref="N6:N13" si="5">IF(K6&gt;0,(M6-K6)/K6,(IF(M6=0,"N/A",100%)))</f>
        <v>6.7796610169491525E-2</v>
      </c>
      <c r="O6" s="1296">
        <v>132</v>
      </c>
      <c r="P6" s="462">
        <f t="shared" ref="P6:P13" si="6">IF(M6&gt;0,(O6-M6)/M6,(IF(O6=0,"N/A",100%)))</f>
        <v>4.7619047619047616E-2</v>
      </c>
      <c r="Q6" s="1296">
        <v>134</v>
      </c>
      <c r="R6" s="462">
        <f t="shared" ref="R6:R13" si="7">IF(O6&gt;0,(Q6-O6)/O6,(IF(Q6=0,"N/A",100%)))</f>
        <v>1.5151515151515152E-2</v>
      </c>
    </row>
    <row r="7" spans="1:18" ht="18" customHeight="1" x14ac:dyDescent="0.3">
      <c r="A7" s="552" t="s">
        <v>522</v>
      </c>
      <c r="B7" s="1296">
        <v>6</v>
      </c>
      <c r="C7" s="1296">
        <v>16</v>
      </c>
      <c r="D7" s="462">
        <f t="shared" si="0"/>
        <v>1.6666666666666667</v>
      </c>
      <c r="E7" s="1296">
        <v>13</v>
      </c>
      <c r="F7" s="462">
        <f t="shared" si="1"/>
        <v>-0.1875</v>
      </c>
      <c r="G7" s="1296">
        <v>16</v>
      </c>
      <c r="H7" s="462">
        <f t="shared" si="2"/>
        <v>0.23076923076923078</v>
      </c>
      <c r="I7" s="1296">
        <v>11</v>
      </c>
      <c r="J7" s="462">
        <f t="shared" si="3"/>
        <v>-0.3125</v>
      </c>
      <c r="K7" s="1296">
        <v>13</v>
      </c>
      <c r="L7" s="462">
        <f t="shared" si="4"/>
        <v>0.18181818181818182</v>
      </c>
      <c r="M7" s="1296">
        <v>17</v>
      </c>
      <c r="N7" s="462">
        <f t="shared" si="5"/>
        <v>0.30769230769230771</v>
      </c>
      <c r="O7" s="1296">
        <v>22</v>
      </c>
      <c r="P7" s="462">
        <f t="shared" si="6"/>
        <v>0.29411764705882354</v>
      </c>
      <c r="Q7" s="1296">
        <v>18</v>
      </c>
      <c r="R7" s="462">
        <f t="shared" si="7"/>
        <v>-0.18181818181818182</v>
      </c>
    </row>
    <row r="8" spans="1:18" ht="18" customHeight="1" x14ac:dyDescent="0.3">
      <c r="A8" s="552" t="s">
        <v>755</v>
      </c>
      <c r="B8" s="1296">
        <v>16</v>
      </c>
      <c r="C8" s="1296">
        <v>12</v>
      </c>
      <c r="D8" s="462">
        <f t="shared" si="0"/>
        <v>-0.25</v>
      </c>
      <c r="E8" s="1296">
        <v>15</v>
      </c>
      <c r="F8" s="462">
        <f t="shared" si="1"/>
        <v>0.25</v>
      </c>
      <c r="G8" s="1296">
        <v>20</v>
      </c>
      <c r="H8" s="462">
        <f t="shared" si="2"/>
        <v>0.33333333333333331</v>
      </c>
      <c r="I8" s="1296">
        <v>20</v>
      </c>
      <c r="J8" s="462">
        <f t="shared" si="3"/>
        <v>0</v>
      </c>
      <c r="K8" s="1296">
        <v>18</v>
      </c>
      <c r="L8" s="462">
        <f t="shared" si="4"/>
        <v>-0.1</v>
      </c>
      <c r="M8" s="1296">
        <v>12</v>
      </c>
      <c r="N8" s="462">
        <f t="shared" si="5"/>
        <v>-0.33333333333333331</v>
      </c>
      <c r="O8" s="1296">
        <v>17</v>
      </c>
      <c r="P8" s="462">
        <f t="shared" si="6"/>
        <v>0.41666666666666669</v>
      </c>
      <c r="Q8" s="1296">
        <v>7</v>
      </c>
      <c r="R8" s="462">
        <f t="shared" si="7"/>
        <v>-0.58823529411764708</v>
      </c>
    </row>
    <row r="9" spans="1:18" ht="18" customHeight="1" x14ac:dyDescent="0.3">
      <c r="A9" s="1363" t="s">
        <v>1114</v>
      </c>
      <c r="B9" s="1296">
        <v>0</v>
      </c>
      <c r="C9" s="1296">
        <v>0</v>
      </c>
      <c r="D9" s="462" t="str">
        <f t="shared" si="0"/>
        <v>N/A</v>
      </c>
      <c r="E9" s="1296">
        <v>0</v>
      </c>
      <c r="F9" s="462" t="str">
        <f t="shared" si="1"/>
        <v>N/A</v>
      </c>
      <c r="G9" s="1296">
        <v>0</v>
      </c>
      <c r="H9" s="462" t="str">
        <f t="shared" si="2"/>
        <v>N/A</v>
      </c>
      <c r="I9" s="1296">
        <v>0</v>
      </c>
      <c r="J9" s="462" t="str">
        <f t="shared" si="3"/>
        <v>N/A</v>
      </c>
      <c r="K9" s="1296">
        <v>0</v>
      </c>
      <c r="L9" s="462" t="str">
        <f t="shared" si="4"/>
        <v>N/A</v>
      </c>
      <c r="M9" s="1296">
        <v>0</v>
      </c>
      <c r="N9" s="462" t="str">
        <f t="shared" si="5"/>
        <v>N/A</v>
      </c>
      <c r="O9" s="1296">
        <v>0</v>
      </c>
      <c r="P9" s="462" t="str">
        <f t="shared" si="6"/>
        <v>N/A</v>
      </c>
      <c r="Q9" s="1296">
        <v>0</v>
      </c>
      <c r="R9" s="462" t="str">
        <f t="shared" si="7"/>
        <v>N/A</v>
      </c>
    </row>
    <row r="10" spans="1:18" ht="18" customHeight="1" x14ac:dyDescent="0.3">
      <c r="A10" s="552" t="s">
        <v>1115</v>
      </c>
      <c r="B10" s="1296">
        <v>0</v>
      </c>
      <c r="C10" s="1296">
        <v>0</v>
      </c>
      <c r="D10" s="462" t="str">
        <f t="shared" si="0"/>
        <v>N/A</v>
      </c>
      <c r="E10" s="1296">
        <v>0</v>
      </c>
      <c r="F10" s="462" t="str">
        <f t="shared" si="1"/>
        <v>N/A</v>
      </c>
      <c r="G10" s="1296">
        <v>0</v>
      </c>
      <c r="H10" s="462" t="str">
        <f t="shared" si="2"/>
        <v>N/A</v>
      </c>
      <c r="I10" s="1296">
        <v>0</v>
      </c>
      <c r="J10" s="462" t="str">
        <f t="shared" si="3"/>
        <v>N/A</v>
      </c>
      <c r="K10" s="1296">
        <v>0</v>
      </c>
      <c r="L10" s="462" t="str">
        <f t="shared" si="4"/>
        <v>N/A</v>
      </c>
      <c r="M10" s="1296">
        <v>0</v>
      </c>
      <c r="N10" s="462" t="str">
        <f t="shared" si="5"/>
        <v>N/A</v>
      </c>
      <c r="O10" s="1296">
        <v>0</v>
      </c>
      <c r="P10" s="462" t="str">
        <f t="shared" si="6"/>
        <v>N/A</v>
      </c>
      <c r="Q10" s="1296">
        <v>0</v>
      </c>
      <c r="R10" s="462" t="str">
        <f t="shared" si="7"/>
        <v>N/A</v>
      </c>
    </row>
    <row r="11" spans="1:18" ht="18" customHeight="1" x14ac:dyDescent="0.3">
      <c r="A11" s="552" t="s">
        <v>1120</v>
      </c>
      <c r="B11" s="1296">
        <v>0</v>
      </c>
      <c r="C11" s="1296">
        <v>0</v>
      </c>
      <c r="D11" s="462" t="str">
        <f t="shared" si="0"/>
        <v>N/A</v>
      </c>
      <c r="E11" s="1296">
        <v>0</v>
      </c>
      <c r="F11" s="462" t="str">
        <f t="shared" si="1"/>
        <v>N/A</v>
      </c>
      <c r="G11" s="1296">
        <v>0</v>
      </c>
      <c r="H11" s="462" t="str">
        <f t="shared" si="2"/>
        <v>N/A</v>
      </c>
      <c r="I11" s="1296">
        <v>0</v>
      </c>
      <c r="J11" s="462" t="str">
        <f t="shared" si="3"/>
        <v>N/A</v>
      </c>
      <c r="K11" s="1296">
        <v>0</v>
      </c>
      <c r="L11" s="462" t="str">
        <f t="shared" si="4"/>
        <v>N/A</v>
      </c>
      <c r="M11" s="1296">
        <v>0</v>
      </c>
      <c r="N11" s="462" t="str">
        <f t="shared" si="5"/>
        <v>N/A</v>
      </c>
      <c r="O11" s="1296">
        <v>0</v>
      </c>
      <c r="P11" s="462" t="str">
        <f t="shared" si="6"/>
        <v>N/A</v>
      </c>
      <c r="Q11" s="1296">
        <v>0</v>
      </c>
      <c r="R11" s="462" t="str">
        <f t="shared" si="7"/>
        <v>N/A</v>
      </c>
    </row>
    <row r="12" spans="1:18" ht="18" customHeight="1" x14ac:dyDescent="0.3">
      <c r="A12" s="552" t="s">
        <v>1122</v>
      </c>
      <c r="B12" s="1296">
        <v>0</v>
      </c>
      <c r="C12" s="1296">
        <v>0</v>
      </c>
      <c r="D12" s="462" t="str">
        <f t="shared" si="0"/>
        <v>N/A</v>
      </c>
      <c r="E12" s="1296">
        <v>0</v>
      </c>
      <c r="F12" s="462" t="str">
        <f t="shared" si="1"/>
        <v>N/A</v>
      </c>
      <c r="G12" s="1296">
        <v>0</v>
      </c>
      <c r="H12" s="462" t="str">
        <f t="shared" si="2"/>
        <v>N/A</v>
      </c>
      <c r="I12" s="1296">
        <v>0</v>
      </c>
      <c r="J12" s="462" t="str">
        <f t="shared" si="3"/>
        <v>N/A</v>
      </c>
      <c r="K12" s="1296">
        <v>0</v>
      </c>
      <c r="L12" s="462" t="str">
        <f t="shared" si="4"/>
        <v>N/A</v>
      </c>
      <c r="M12" s="1296">
        <v>0</v>
      </c>
      <c r="N12" s="462" t="str">
        <f t="shared" si="5"/>
        <v>N/A</v>
      </c>
      <c r="O12" s="1296">
        <v>0</v>
      </c>
      <c r="P12" s="462" t="str">
        <f t="shared" si="6"/>
        <v>N/A</v>
      </c>
      <c r="Q12" s="1296">
        <v>0</v>
      </c>
      <c r="R12" s="462" t="str">
        <f t="shared" si="7"/>
        <v>N/A</v>
      </c>
    </row>
    <row r="13" spans="1:18" ht="18" customHeight="1" x14ac:dyDescent="0.3">
      <c r="A13" s="553" t="s">
        <v>1015</v>
      </c>
      <c r="B13" s="1296">
        <f>SUM(B6:B12)</f>
        <v>120</v>
      </c>
      <c r="C13" s="1296">
        <f>SUM(C6:C12)</f>
        <v>127</v>
      </c>
      <c r="D13" s="462">
        <f t="shared" si="0"/>
        <v>5.8333333333333334E-2</v>
      </c>
      <c r="E13" s="1296">
        <f>SUM(E6:E12)</f>
        <v>138</v>
      </c>
      <c r="F13" s="462">
        <f t="shared" si="1"/>
        <v>8.6614173228346455E-2</v>
      </c>
      <c r="G13" s="1296">
        <f>SUM(G6:G12)</f>
        <v>163</v>
      </c>
      <c r="H13" s="462">
        <f t="shared" si="2"/>
        <v>0.18115942028985507</v>
      </c>
      <c r="I13" s="1296">
        <f>SUM(I6:I12)</f>
        <v>156</v>
      </c>
      <c r="J13" s="462">
        <f t="shared" si="3"/>
        <v>-4.2944785276073622E-2</v>
      </c>
      <c r="K13" s="1296">
        <f>SUM(K6:K12)</f>
        <v>149</v>
      </c>
      <c r="L13" s="462">
        <f t="shared" si="4"/>
        <v>-4.4871794871794872E-2</v>
      </c>
      <c r="M13" s="1296">
        <f>SUM(M6:M12)</f>
        <v>155</v>
      </c>
      <c r="N13" s="462">
        <f t="shared" si="5"/>
        <v>4.0268456375838924E-2</v>
      </c>
      <c r="O13" s="1296">
        <f>SUM(O6:O12)</f>
        <v>171</v>
      </c>
      <c r="P13" s="462">
        <f t="shared" si="6"/>
        <v>0.1032258064516129</v>
      </c>
      <c r="Q13" s="1296">
        <f>SUM(Q6:Q12)</f>
        <v>159</v>
      </c>
      <c r="R13" s="462">
        <f t="shared" si="7"/>
        <v>-7.0175438596491224E-2</v>
      </c>
    </row>
    <row r="14" spans="1:18" ht="18" customHeight="1" x14ac:dyDescent="0.3">
      <c r="A14" s="551" t="s">
        <v>412</v>
      </c>
      <c r="B14" s="1360"/>
      <c r="C14" s="1360"/>
      <c r="D14" s="460"/>
      <c r="E14" s="1360"/>
      <c r="F14" s="460"/>
      <c r="G14" s="1360"/>
      <c r="H14" s="460"/>
      <c r="I14" s="1360"/>
      <c r="J14" s="460"/>
      <c r="K14" s="1360"/>
      <c r="L14" s="460"/>
      <c r="M14" s="1360"/>
      <c r="N14" s="460"/>
      <c r="O14" s="1360"/>
      <c r="P14" s="460"/>
      <c r="Q14" s="1360"/>
      <c r="R14" s="460"/>
    </row>
    <row r="15" spans="1:18" ht="18" customHeight="1" x14ac:dyDescent="0.3">
      <c r="A15" s="555" t="s">
        <v>1135</v>
      </c>
      <c r="B15" s="1296">
        <v>6</v>
      </c>
      <c r="C15" s="1296">
        <v>16</v>
      </c>
      <c r="D15" s="462">
        <f t="shared" ref="D15:D22" si="8">IF(B15&gt;0,(C15-B15)/B15,(IF(C15=0,"N/A",100%)))</f>
        <v>1.6666666666666667</v>
      </c>
      <c r="E15" s="1296">
        <v>24</v>
      </c>
      <c r="F15" s="462">
        <f t="shared" ref="F15:F22" si="9">IF(C15&gt;0,(E15-C15)/C15,(IF(E15=0,"N/A",100%)))</f>
        <v>0.5</v>
      </c>
      <c r="G15" s="1296">
        <v>23</v>
      </c>
      <c r="H15" s="462">
        <f t="shared" ref="H15:H22" si="10">IF(E15&gt;0,(G15-E15)/E15,(IF(G15=0,"N/A",100%)))</f>
        <v>-4.1666666666666664E-2</v>
      </c>
      <c r="I15" s="1296">
        <v>20</v>
      </c>
      <c r="J15" s="462">
        <f t="shared" ref="J15:J22" si="11">IF(G15&gt;0,(I15-G15)/G15,(IF(I15=0,"N/A",100%)))</f>
        <v>-0.13043478260869565</v>
      </c>
      <c r="K15" s="1296">
        <v>16</v>
      </c>
      <c r="L15" s="462">
        <f t="shared" ref="L15:L22" si="12">IF(I15&gt;0,(K15-I15)/I15,(IF(K15=0,"N/A",100%)))</f>
        <v>-0.2</v>
      </c>
      <c r="M15" s="1296">
        <v>19</v>
      </c>
      <c r="N15" s="462">
        <f t="shared" ref="N15:N22" si="13">IF(K15&gt;0,(M15-K15)/K15,(IF(M15=0,"N/A",100%)))</f>
        <v>0.1875</v>
      </c>
      <c r="O15" s="1296">
        <v>12</v>
      </c>
      <c r="P15" s="462">
        <f t="shared" ref="P15:P22" si="14">IF(M15&gt;0,(O15-M15)/M15,(IF(O15=0,"N/A",100%)))</f>
        <v>-0.36842105263157893</v>
      </c>
      <c r="Q15" s="1296">
        <v>18</v>
      </c>
      <c r="R15" s="462">
        <f t="shared" ref="R15:R22" si="15">IF(O15&gt;0,(Q15-O15)/O15,(IF(Q15=0,"N/A",100%)))</f>
        <v>0.5</v>
      </c>
    </row>
    <row r="16" spans="1:18" ht="18" customHeight="1" x14ac:dyDescent="0.3">
      <c r="A16" s="552" t="s">
        <v>1136</v>
      </c>
      <c r="B16" s="1296">
        <v>1</v>
      </c>
      <c r="C16" s="1296">
        <v>0</v>
      </c>
      <c r="D16" s="462">
        <f t="shared" si="8"/>
        <v>-1</v>
      </c>
      <c r="E16" s="1296">
        <v>0</v>
      </c>
      <c r="F16" s="462" t="str">
        <f t="shared" si="9"/>
        <v>N/A</v>
      </c>
      <c r="G16" s="1296">
        <v>0</v>
      </c>
      <c r="H16" s="462" t="str">
        <f t="shared" si="10"/>
        <v>N/A</v>
      </c>
      <c r="I16" s="1296">
        <v>0</v>
      </c>
      <c r="J16" s="462" t="str">
        <f t="shared" si="11"/>
        <v>N/A</v>
      </c>
      <c r="K16" s="1296">
        <v>0</v>
      </c>
      <c r="L16" s="462" t="str">
        <f t="shared" si="12"/>
        <v>N/A</v>
      </c>
      <c r="M16" s="1296">
        <v>0</v>
      </c>
      <c r="N16" s="462" t="str">
        <f t="shared" si="13"/>
        <v>N/A</v>
      </c>
      <c r="O16" s="1296">
        <v>0</v>
      </c>
      <c r="P16" s="462" t="str">
        <f t="shared" si="14"/>
        <v>N/A</v>
      </c>
      <c r="Q16" s="1296">
        <v>0</v>
      </c>
      <c r="R16" s="462" t="str">
        <f t="shared" si="15"/>
        <v>N/A</v>
      </c>
    </row>
    <row r="17" spans="1:18" ht="18" customHeight="1" x14ac:dyDescent="0.3">
      <c r="A17" s="554" t="s">
        <v>1140</v>
      </c>
      <c r="B17" s="1296">
        <v>14</v>
      </c>
      <c r="C17" s="1296">
        <v>23</v>
      </c>
      <c r="D17" s="462">
        <f t="shared" si="8"/>
        <v>0.6428571428571429</v>
      </c>
      <c r="E17" s="1296">
        <v>24</v>
      </c>
      <c r="F17" s="462">
        <f t="shared" si="9"/>
        <v>4.3478260869565216E-2</v>
      </c>
      <c r="G17" s="1296">
        <v>18</v>
      </c>
      <c r="H17" s="462">
        <f t="shared" si="10"/>
        <v>-0.25</v>
      </c>
      <c r="I17" s="1296">
        <v>13</v>
      </c>
      <c r="J17" s="462">
        <f t="shared" si="11"/>
        <v>-0.27777777777777779</v>
      </c>
      <c r="K17" s="1296">
        <v>19</v>
      </c>
      <c r="L17" s="462">
        <f t="shared" si="12"/>
        <v>0.46153846153846156</v>
      </c>
      <c r="M17" s="1296">
        <v>20</v>
      </c>
      <c r="N17" s="462">
        <f t="shared" si="13"/>
        <v>5.2631578947368418E-2</v>
      </c>
      <c r="O17" s="1296">
        <v>33</v>
      </c>
      <c r="P17" s="462">
        <f t="shared" si="14"/>
        <v>0.65</v>
      </c>
      <c r="Q17" s="1296">
        <v>25</v>
      </c>
      <c r="R17" s="462">
        <f t="shared" si="15"/>
        <v>-0.24242424242424243</v>
      </c>
    </row>
    <row r="18" spans="1:18" ht="18" customHeight="1" x14ac:dyDescent="0.3">
      <c r="A18" s="552" t="s">
        <v>1137</v>
      </c>
      <c r="B18" s="1296">
        <v>7</v>
      </c>
      <c r="C18" s="1296">
        <v>4</v>
      </c>
      <c r="D18" s="462">
        <f t="shared" si="8"/>
        <v>-0.42857142857142855</v>
      </c>
      <c r="E18" s="1296">
        <v>1</v>
      </c>
      <c r="F18" s="462">
        <f t="shared" si="9"/>
        <v>-0.75</v>
      </c>
      <c r="G18" s="1296">
        <v>0</v>
      </c>
      <c r="H18" s="462">
        <f t="shared" si="10"/>
        <v>-1</v>
      </c>
      <c r="I18" s="1296">
        <v>0</v>
      </c>
      <c r="J18" s="462" t="str">
        <f t="shared" si="11"/>
        <v>N/A</v>
      </c>
      <c r="K18" s="1296">
        <v>0</v>
      </c>
      <c r="L18" s="462" t="str">
        <f t="shared" si="12"/>
        <v>N/A</v>
      </c>
      <c r="M18" s="1296">
        <v>0</v>
      </c>
      <c r="N18" s="462" t="str">
        <f t="shared" si="13"/>
        <v>N/A</v>
      </c>
      <c r="O18" s="1296">
        <v>0</v>
      </c>
      <c r="P18" s="462" t="str">
        <f t="shared" si="14"/>
        <v>N/A</v>
      </c>
      <c r="Q18" s="1296">
        <v>0</v>
      </c>
      <c r="R18" s="462" t="str">
        <f t="shared" si="15"/>
        <v>N/A</v>
      </c>
    </row>
    <row r="19" spans="1:18" ht="18" customHeight="1" x14ac:dyDescent="0.3">
      <c r="A19" s="552" t="s">
        <v>257</v>
      </c>
      <c r="B19" s="1296">
        <v>24</v>
      </c>
      <c r="C19" s="1296">
        <v>17</v>
      </c>
      <c r="D19" s="462">
        <f t="shared" si="8"/>
        <v>-0.29166666666666669</v>
      </c>
      <c r="E19" s="1296">
        <v>25</v>
      </c>
      <c r="F19" s="462">
        <f t="shared" si="9"/>
        <v>0.47058823529411764</v>
      </c>
      <c r="G19" s="1296">
        <v>23</v>
      </c>
      <c r="H19" s="462">
        <f t="shared" si="10"/>
        <v>-0.08</v>
      </c>
      <c r="I19" s="1296">
        <v>30</v>
      </c>
      <c r="J19" s="462">
        <f t="shared" si="11"/>
        <v>0.30434782608695654</v>
      </c>
      <c r="K19" s="1296">
        <v>38</v>
      </c>
      <c r="L19" s="462">
        <f t="shared" si="12"/>
        <v>0.26666666666666666</v>
      </c>
      <c r="M19" s="1296">
        <v>39</v>
      </c>
      <c r="N19" s="462">
        <f t="shared" si="13"/>
        <v>2.6315789473684209E-2</v>
      </c>
      <c r="O19" s="1296">
        <v>46</v>
      </c>
      <c r="P19" s="462">
        <f t="shared" si="14"/>
        <v>0.17948717948717949</v>
      </c>
      <c r="Q19" s="1296">
        <v>37</v>
      </c>
      <c r="R19" s="462">
        <f t="shared" si="15"/>
        <v>-0.19565217391304349</v>
      </c>
    </row>
    <row r="20" spans="1:18" ht="18" customHeight="1" x14ac:dyDescent="0.3">
      <c r="A20" s="555" t="s">
        <v>1138</v>
      </c>
      <c r="B20" s="1296">
        <v>15</v>
      </c>
      <c r="C20" s="1296">
        <v>21</v>
      </c>
      <c r="D20" s="462">
        <f t="shared" si="8"/>
        <v>0.4</v>
      </c>
      <c r="E20" s="1296">
        <v>28</v>
      </c>
      <c r="F20" s="462">
        <f t="shared" si="9"/>
        <v>0.33333333333333331</v>
      </c>
      <c r="G20" s="1296">
        <v>34</v>
      </c>
      <c r="H20" s="462">
        <f t="shared" si="10"/>
        <v>0.21428571428571427</v>
      </c>
      <c r="I20" s="1296">
        <v>28</v>
      </c>
      <c r="J20" s="462">
        <f t="shared" si="11"/>
        <v>-0.17647058823529413</v>
      </c>
      <c r="K20" s="1296">
        <v>33</v>
      </c>
      <c r="L20" s="462">
        <f t="shared" si="12"/>
        <v>0.17857142857142858</v>
      </c>
      <c r="M20" s="1296">
        <v>39</v>
      </c>
      <c r="N20" s="462">
        <f t="shared" si="13"/>
        <v>0.18181818181818182</v>
      </c>
      <c r="O20" s="1296">
        <v>40</v>
      </c>
      <c r="P20" s="462">
        <f t="shared" si="14"/>
        <v>2.564102564102564E-2</v>
      </c>
      <c r="Q20" s="1296">
        <v>41</v>
      </c>
      <c r="R20" s="462">
        <f t="shared" si="15"/>
        <v>2.5000000000000001E-2</v>
      </c>
    </row>
    <row r="21" spans="1:18" ht="18" customHeight="1" x14ac:dyDescent="0.3">
      <c r="A21" s="552" t="s">
        <v>1141</v>
      </c>
      <c r="B21" s="1296">
        <f>12+19</f>
        <v>31</v>
      </c>
      <c r="C21" s="1296">
        <v>29</v>
      </c>
      <c r="D21" s="462">
        <f t="shared" si="8"/>
        <v>-6.4516129032258063E-2</v>
      </c>
      <c r="E21" s="1296">
        <v>26</v>
      </c>
      <c r="F21" s="462">
        <f t="shared" si="9"/>
        <v>-0.10344827586206896</v>
      </c>
      <c r="G21" s="1296">
        <v>28</v>
      </c>
      <c r="H21" s="462">
        <f t="shared" si="10"/>
        <v>7.6923076923076927E-2</v>
      </c>
      <c r="I21" s="1296">
        <v>24</v>
      </c>
      <c r="J21" s="462">
        <f t="shared" si="11"/>
        <v>-0.14285714285714285</v>
      </c>
      <c r="K21" s="1296">
        <v>23</v>
      </c>
      <c r="L21" s="462">
        <f t="shared" si="12"/>
        <v>-4.1666666666666664E-2</v>
      </c>
      <c r="M21" s="1296">
        <v>24</v>
      </c>
      <c r="N21" s="462">
        <f t="shared" si="13"/>
        <v>4.3478260869565216E-2</v>
      </c>
      <c r="O21" s="1296">
        <v>22</v>
      </c>
      <c r="P21" s="462">
        <f t="shared" si="14"/>
        <v>-8.3333333333333329E-2</v>
      </c>
      <c r="Q21" s="1296">
        <v>23</v>
      </c>
      <c r="R21" s="462">
        <f t="shared" si="15"/>
        <v>4.5454545454545456E-2</v>
      </c>
    </row>
    <row r="22" spans="1:18" ht="18" customHeight="1" x14ac:dyDescent="0.3">
      <c r="A22" s="553" t="s">
        <v>1015</v>
      </c>
      <c r="B22" s="1296">
        <f>SUM(B15:B21)</f>
        <v>98</v>
      </c>
      <c r="C22" s="1296">
        <f>SUM(C15:C21)</f>
        <v>110</v>
      </c>
      <c r="D22" s="462">
        <f t="shared" si="8"/>
        <v>0.12244897959183673</v>
      </c>
      <c r="E22" s="1296">
        <f>SUM(E15:E21)</f>
        <v>128</v>
      </c>
      <c r="F22" s="462">
        <f t="shared" si="9"/>
        <v>0.16363636363636364</v>
      </c>
      <c r="G22" s="1296">
        <f>SUM(G15:G21)</f>
        <v>126</v>
      </c>
      <c r="H22" s="462">
        <f t="shared" si="10"/>
        <v>-1.5625E-2</v>
      </c>
      <c r="I22" s="1296">
        <f>SUM(I15:I21)</f>
        <v>115</v>
      </c>
      <c r="J22" s="462">
        <f t="shared" si="11"/>
        <v>-8.7301587301587297E-2</v>
      </c>
      <c r="K22" s="1296">
        <f>SUM(K15:K21)</f>
        <v>129</v>
      </c>
      <c r="L22" s="462">
        <f t="shared" si="12"/>
        <v>0.12173913043478261</v>
      </c>
      <c r="M22" s="1296">
        <f>SUM(M15:M21)</f>
        <v>141</v>
      </c>
      <c r="N22" s="462">
        <f t="shared" si="13"/>
        <v>9.3023255813953487E-2</v>
      </c>
      <c r="O22" s="1296">
        <f>SUM(O15:O21)</f>
        <v>153</v>
      </c>
      <c r="P22" s="462">
        <f t="shared" si="14"/>
        <v>8.5106382978723402E-2</v>
      </c>
      <c r="Q22" s="1296">
        <f>SUM(Q15:Q21)</f>
        <v>144</v>
      </c>
      <c r="R22" s="462">
        <f t="shared" si="15"/>
        <v>-5.8823529411764705E-2</v>
      </c>
    </row>
    <row r="23" spans="1:18" ht="18" customHeight="1" x14ac:dyDescent="0.3">
      <c r="A23" s="551" t="s">
        <v>413</v>
      </c>
      <c r="B23" s="1360"/>
      <c r="C23" s="1360"/>
      <c r="D23" s="460"/>
      <c r="E23" s="1360"/>
      <c r="F23" s="460"/>
      <c r="G23" s="1360"/>
      <c r="H23" s="460"/>
      <c r="I23" s="1360"/>
      <c r="J23" s="460"/>
      <c r="K23" s="1360"/>
      <c r="L23" s="460"/>
      <c r="M23" s="1360"/>
      <c r="N23" s="460"/>
      <c r="O23" s="1360"/>
      <c r="P23" s="460"/>
      <c r="Q23" s="1360"/>
      <c r="R23" s="460"/>
    </row>
    <row r="24" spans="1:18" ht="18" customHeight="1" x14ac:dyDescent="0.3">
      <c r="A24" s="552" t="s">
        <v>1664</v>
      </c>
      <c r="B24" s="1296">
        <v>0</v>
      </c>
      <c r="C24" s="1296">
        <v>0</v>
      </c>
      <c r="D24" s="462" t="str">
        <f>IF(B24&gt;0,(C24-B24)/B24,(IF(C24=0,"N/A",100%)))</f>
        <v>N/A</v>
      </c>
      <c r="E24" s="1296">
        <v>0</v>
      </c>
      <c r="F24" s="462" t="str">
        <f>IF(C24&gt;0,(E24-C24)/C24,(IF(E24=0,"N/A",100%)))</f>
        <v>N/A</v>
      </c>
      <c r="G24" s="1296">
        <v>0</v>
      </c>
      <c r="H24" s="462" t="str">
        <f>IF(E24&gt;0,(G24-E24)/E24,(IF(G24=0,"N/A",100%)))</f>
        <v>N/A</v>
      </c>
      <c r="I24" s="1296">
        <v>0</v>
      </c>
      <c r="J24" s="462" t="str">
        <f>IF(G24&gt;0,(I24-G24)/G24,(IF(I24=0,"N/A",100%)))</f>
        <v>N/A</v>
      </c>
      <c r="K24" s="1296">
        <v>0</v>
      </c>
      <c r="L24" s="462" t="str">
        <f>IF(I24&gt;0,(K24-I24)/I24,(IF(K24=0,"N/A",100%)))</f>
        <v>N/A</v>
      </c>
      <c r="M24" s="1296">
        <v>0</v>
      </c>
      <c r="N24" s="462" t="str">
        <f>IF(K24&gt;0,(M24-K24)/K24,(IF(M24=0,"N/A",100%)))</f>
        <v>N/A</v>
      </c>
      <c r="O24" s="1296">
        <v>2</v>
      </c>
      <c r="P24" s="462">
        <f>IF(M24&gt;0,(O24-M24)/M24,(IF(O24=0,"N/A",100%)))</f>
        <v>1</v>
      </c>
      <c r="Q24" s="1296">
        <v>1</v>
      </c>
      <c r="R24" s="462">
        <f>IF(O24&gt;0,(Q24-O24)/O24,(IF(Q24=0,"N/A",100%)))</f>
        <v>-0.5</v>
      </c>
    </row>
    <row r="25" spans="1:18" ht="18" customHeight="1" x14ac:dyDescent="0.3">
      <c r="A25" s="552" t="s">
        <v>1050</v>
      </c>
      <c r="B25" s="1296">
        <v>112</v>
      </c>
      <c r="C25" s="1296">
        <v>126</v>
      </c>
      <c r="D25" s="462">
        <f>IF(B25&gt;0,(C25-B25)/B25,(IF(C25=0,"N/A",100%)))</f>
        <v>0.125</v>
      </c>
      <c r="E25" s="1296">
        <v>165</v>
      </c>
      <c r="F25" s="462">
        <f>IF(C25&gt;0,(E25-C25)/C25,(IF(E25=0,"N/A",100%)))</f>
        <v>0.30952380952380953</v>
      </c>
      <c r="G25" s="1296">
        <v>175</v>
      </c>
      <c r="H25" s="462">
        <f>IF(E25&gt;0,(G25-E25)/E25,(IF(G25=0,"N/A",100%)))</f>
        <v>6.0606060606060608E-2</v>
      </c>
      <c r="I25" s="1296">
        <v>176</v>
      </c>
      <c r="J25" s="462">
        <f>IF(G25&gt;0,(I25-G25)/G25,(IF(I25=0,"N/A",100%)))</f>
        <v>5.7142857142857143E-3</v>
      </c>
      <c r="K25" s="1296">
        <v>200</v>
      </c>
      <c r="L25" s="462">
        <f>IF(I25&gt;0,(K25-I25)/I25,(IF(K25=0,"N/A",100%)))</f>
        <v>0.13636363636363635</v>
      </c>
      <c r="M25" s="1296">
        <v>205</v>
      </c>
      <c r="N25" s="462">
        <f>IF(K25&gt;0,(M25-K25)/K25,(IF(M25=0,"N/A",100%)))</f>
        <v>2.5000000000000001E-2</v>
      </c>
      <c r="O25" s="1296">
        <v>177</v>
      </c>
      <c r="P25" s="462">
        <f>IF(M25&gt;0,(O25-M25)/M25,(IF(O25=0,"N/A",100%)))</f>
        <v>-0.13658536585365855</v>
      </c>
      <c r="Q25" s="1296">
        <v>180</v>
      </c>
      <c r="R25" s="462">
        <f>IF(O25&gt;0,(Q25-O25)/O25,(IF(Q25=0,"N/A",100%)))</f>
        <v>1.6949152542372881E-2</v>
      </c>
    </row>
    <row r="26" spans="1:18" ht="18" customHeight="1" x14ac:dyDescent="0.3">
      <c r="A26" s="552" t="s">
        <v>1369</v>
      </c>
      <c r="B26" s="1296">
        <f>26+25</f>
        <v>51</v>
      </c>
      <c r="C26" s="1296">
        <v>35</v>
      </c>
      <c r="D26" s="462">
        <f>IF(B26&gt;0,(C26-B26)/B26,(IF(C26=0,"N/A",100%)))</f>
        <v>-0.31372549019607843</v>
      </c>
      <c r="E26" s="1296">
        <v>32</v>
      </c>
      <c r="F26" s="462">
        <f>IF(C26&gt;0,(E26-C26)/C26,(IF(E26=0,"N/A",100%)))</f>
        <v>-8.5714285714285715E-2</v>
      </c>
      <c r="G26" s="1296">
        <v>40</v>
      </c>
      <c r="H26" s="462">
        <f>IF(E26&gt;0,(G26-E26)/E26,(IF(G26=0,"N/A",100%)))</f>
        <v>0.25</v>
      </c>
      <c r="I26" s="1296">
        <v>51</v>
      </c>
      <c r="J26" s="462">
        <f>IF(G26&gt;0,(I26-G26)/G26,(IF(I26=0,"N/A",100%)))</f>
        <v>0.27500000000000002</v>
      </c>
      <c r="K26" s="1296">
        <v>44</v>
      </c>
      <c r="L26" s="462">
        <f>IF(I26&gt;0,(K26-I26)/I26,(IF(K26=0,"N/A",100%)))</f>
        <v>-0.13725490196078433</v>
      </c>
      <c r="M26" s="1296">
        <v>37</v>
      </c>
      <c r="N26" s="462">
        <f>IF(K26&gt;0,(M26-K26)/K26,(IF(M26=0,"N/A",100%)))</f>
        <v>-0.15909090909090909</v>
      </c>
      <c r="O26" s="1296">
        <v>30</v>
      </c>
      <c r="P26" s="462">
        <f>IF(M26&gt;0,(O26-M26)/M26,(IF(O26=0,"N/A",100%)))</f>
        <v>-0.1891891891891892</v>
      </c>
      <c r="Q26" s="1296">
        <v>24</v>
      </c>
      <c r="R26" s="462">
        <f>IF(O26&gt;0,(Q26-O26)/O26,(IF(Q26=0,"N/A",100%)))</f>
        <v>-0.2</v>
      </c>
    </row>
    <row r="27" spans="1:18" ht="18" customHeight="1" x14ac:dyDescent="0.3">
      <c r="A27" s="552" t="s">
        <v>1143</v>
      </c>
      <c r="B27" s="1296">
        <v>55</v>
      </c>
      <c r="C27" s="1296">
        <v>81</v>
      </c>
      <c r="D27" s="462">
        <f>IF(B27&gt;0,(C27-B27)/B27,(IF(C27=0,"N/A",100%)))</f>
        <v>0.47272727272727272</v>
      </c>
      <c r="E27" s="1296">
        <v>80</v>
      </c>
      <c r="F27" s="462">
        <f>IF(C27&gt;0,(E27-C27)/C27,(IF(E27=0,"N/A",100%)))</f>
        <v>-1.2345679012345678E-2</v>
      </c>
      <c r="G27" s="1296">
        <v>77</v>
      </c>
      <c r="H27" s="462">
        <f>IF(E27&gt;0,(G27-E27)/E27,(IF(G27=0,"N/A",100%)))</f>
        <v>-3.7499999999999999E-2</v>
      </c>
      <c r="I27" s="1296">
        <v>72</v>
      </c>
      <c r="J27" s="462">
        <f>IF(G27&gt;0,(I27-G27)/G27,(IF(I27=0,"N/A",100%)))</f>
        <v>-6.4935064935064929E-2</v>
      </c>
      <c r="K27" s="1296">
        <v>73</v>
      </c>
      <c r="L27" s="462">
        <f>IF(I27&gt;0,(K27-I27)/I27,(IF(K27=0,"N/A",100%)))</f>
        <v>1.3888888888888888E-2</v>
      </c>
      <c r="M27" s="1296">
        <v>62</v>
      </c>
      <c r="N27" s="462">
        <f>IF(K27&gt;0,(M27-K27)/K27,(IF(M27=0,"N/A",100%)))</f>
        <v>-0.15068493150684931</v>
      </c>
      <c r="O27" s="1296">
        <v>81</v>
      </c>
      <c r="P27" s="462">
        <f>IF(M27&gt;0,(O27-M27)/M27,(IF(O27=0,"N/A",100%)))</f>
        <v>0.30645161290322581</v>
      </c>
      <c r="Q27" s="1296">
        <v>76</v>
      </c>
      <c r="R27" s="462">
        <f>IF(O27&gt;0,(Q27-O27)/O27,(IF(Q27=0,"N/A",100%)))</f>
        <v>-6.1728395061728392E-2</v>
      </c>
    </row>
    <row r="28" spans="1:18" ht="18" customHeight="1" x14ac:dyDescent="0.3">
      <c r="A28" s="553" t="s">
        <v>1015</v>
      </c>
      <c r="B28" s="1296">
        <f>SUM(B24:B27)</f>
        <v>218</v>
      </c>
      <c r="C28" s="1296">
        <f>SUM(C24:C27)</f>
        <v>242</v>
      </c>
      <c r="D28" s="462">
        <f>IF(B28&gt;0,(C28-B28)/B28,(IF(C28=0,"N/A",100%)))</f>
        <v>0.11009174311926606</v>
      </c>
      <c r="E28" s="1296">
        <f>SUM(E24:E27)</f>
        <v>277</v>
      </c>
      <c r="F28" s="462">
        <f>IF(C28&gt;0,(E28-C28)/C28,(IF(E28=0,"N/A",100%)))</f>
        <v>0.14462809917355371</v>
      </c>
      <c r="G28" s="1296">
        <f>SUM(G24:G27)</f>
        <v>292</v>
      </c>
      <c r="H28" s="462">
        <f>IF(E28&gt;0,(G28-E28)/E28,(IF(G28=0,"N/A",100%)))</f>
        <v>5.4151624548736461E-2</v>
      </c>
      <c r="I28" s="1296">
        <f>SUM(I24:I27)</f>
        <v>299</v>
      </c>
      <c r="J28" s="462">
        <f>IF(G28&gt;0,(I28-G28)/G28,(IF(I28=0,"N/A",100%)))</f>
        <v>2.3972602739726026E-2</v>
      </c>
      <c r="K28" s="1296">
        <f>SUM(K24:K27)</f>
        <v>317</v>
      </c>
      <c r="L28" s="462">
        <f>IF(I28&gt;0,(K28-I28)/I28,(IF(K28=0,"N/A",100%)))</f>
        <v>6.0200668896321072E-2</v>
      </c>
      <c r="M28" s="1296">
        <f>SUM(M24:M27)</f>
        <v>304</v>
      </c>
      <c r="N28" s="462">
        <f>IF(K28&gt;0,(M28-K28)/K28,(IF(M28=0,"N/A",100%)))</f>
        <v>-4.1009463722397478E-2</v>
      </c>
      <c r="O28" s="1296">
        <f>SUM(O24:O27)</f>
        <v>290</v>
      </c>
      <c r="P28" s="462">
        <f>IF(M28&gt;0,(O28-M28)/M28,(IF(O28=0,"N/A",100%)))</f>
        <v>-4.6052631578947366E-2</v>
      </c>
      <c r="Q28" s="1296">
        <f>SUM(Q24:Q27)</f>
        <v>281</v>
      </c>
      <c r="R28" s="462">
        <f>IF(O28&gt;0,(Q28-O28)/O28,(IF(Q28=0,"N/A",100%)))</f>
        <v>-3.1034482758620689E-2</v>
      </c>
    </row>
    <row r="29" spans="1:18" ht="18" customHeight="1" x14ac:dyDescent="0.3">
      <c r="A29" s="551" t="s">
        <v>414</v>
      </c>
      <c r="B29" s="1360"/>
      <c r="C29" s="1360"/>
      <c r="D29" s="460"/>
      <c r="E29" s="1360"/>
      <c r="F29" s="460"/>
      <c r="G29" s="1360"/>
      <c r="H29" s="460"/>
      <c r="I29" s="1360"/>
      <c r="J29" s="460"/>
      <c r="K29" s="1360"/>
      <c r="L29" s="460"/>
      <c r="M29" s="1360"/>
      <c r="N29" s="460"/>
      <c r="O29" s="1360"/>
      <c r="P29" s="460"/>
      <c r="Q29" s="1360"/>
      <c r="R29" s="460"/>
    </row>
    <row r="30" spans="1:18" ht="18" customHeight="1" x14ac:dyDescent="0.3">
      <c r="A30" s="552" t="s">
        <v>1111</v>
      </c>
      <c r="B30" s="1296">
        <v>47</v>
      </c>
      <c r="C30" s="1296">
        <v>48</v>
      </c>
      <c r="D30" s="462">
        <f t="shared" ref="D30:D35" si="16">IF(B30&gt;0,(C30-B30)/B30,(IF(C30=0,"N/A",100%)))</f>
        <v>2.1276595744680851E-2</v>
      </c>
      <c r="E30" s="1296">
        <v>58</v>
      </c>
      <c r="F30" s="462">
        <f t="shared" ref="F30:F35" si="17">IF(C30&gt;0,(E30-C30)/C30,(IF(E30=0,"N/A",100%)))</f>
        <v>0.20833333333333334</v>
      </c>
      <c r="G30" s="1296">
        <v>63</v>
      </c>
      <c r="H30" s="462">
        <f t="shared" ref="H30:H35" si="18">IF(E30&gt;0,(G30-E30)/E30,(IF(G30=0,"N/A",100%)))</f>
        <v>8.6206896551724144E-2</v>
      </c>
      <c r="I30" s="1296">
        <v>63</v>
      </c>
      <c r="J30" s="462">
        <f t="shared" ref="J30:J35" si="19">IF(G30&gt;0,(I30-G30)/G30,(IF(I30=0,"N/A",100%)))</f>
        <v>0</v>
      </c>
      <c r="K30" s="1296">
        <v>47</v>
      </c>
      <c r="L30" s="462">
        <f t="shared" ref="L30:L35" si="20">IF(I30&gt;0,(K30-I30)/I30,(IF(K30=0,"N/A",100%)))</f>
        <v>-0.25396825396825395</v>
      </c>
      <c r="M30" s="1296">
        <v>45</v>
      </c>
      <c r="N30" s="462">
        <f t="shared" ref="N30:N35" si="21">IF(K30&gt;0,(M30-K30)/K30,(IF(M30=0,"N/A",100%)))</f>
        <v>-4.2553191489361701E-2</v>
      </c>
      <c r="O30" s="1296">
        <v>39</v>
      </c>
      <c r="P30" s="462">
        <f t="shared" ref="P30:P35" si="22">IF(M30&gt;0,(O30-M30)/M30,(IF(O30=0,"N/A",100%)))</f>
        <v>-0.13333333333333333</v>
      </c>
      <c r="Q30" s="1296">
        <v>32</v>
      </c>
      <c r="R30" s="462">
        <f t="shared" ref="R30:R35" si="23">IF(O30&gt;0,(Q30-O30)/O30,(IF(Q30=0,"N/A",100%)))</f>
        <v>-0.17948717948717949</v>
      </c>
    </row>
    <row r="31" spans="1:18" ht="18" customHeight="1" x14ac:dyDescent="0.3">
      <c r="A31" s="1363" t="s">
        <v>1112</v>
      </c>
      <c r="B31" s="1296">
        <v>7</v>
      </c>
      <c r="C31" s="1296">
        <v>4</v>
      </c>
      <c r="D31" s="462">
        <f t="shared" si="16"/>
        <v>-0.42857142857142855</v>
      </c>
      <c r="E31" s="1296">
        <v>3</v>
      </c>
      <c r="F31" s="462">
        <f t="shared" si="17"/>
        <v>-0.25</v>
      </c>
      <c r="G31" s="1296">
        <v>2</v>
      </c>
      <c r="H31" s="462">
        <f t="shared" si="18"/>
        <v>-0.33333333333333331</v>
      </c>
      <c r="I31" s="1296">
        <v>8</v>
      </c>
      <c r="J31" s="462">
        <f t="shared" si="19"/>
        <v>3</v>
      </c>
      <c r="K31" s="1296">
        <v>6</v>
      </c>
      <c r="L31" s="462">
        <f t="shared" si="20"/>
        <v>-0.25</v>
      </c>
      <c r="M31" s="1296">
        <v>11</v>
      </c>
      <c r="N31" s="462">
        <f t="shared" si="21"/>
        <v>0.83333333333333337</v>
      </c>
      <c r="O31" s="1296">
        <v>9</v>
      </c>
      <c r="P31" s="462">
        <f t="shared" si="22"/>
        <v>-0.18181818181818182</v>
      </c>
      <c r="Q31" s="1296">
        <v>11</v>
      </c>
      <c r="R31" s="462">
        <f t="shared" si="23"/>
        <v>0.22222222222222221</v>
      </c>
    </row>
    <row r="32" spans="1:18" ht="18" customHeight="1" x14ac:dyDescent="0.3">
      <c r="A32" s="552" t="s">
        <v>1113</v>
      </c>
      <c r="B32" s="1296">
        <v>10</v>
      </c>
      <c r="C32" s="1296">
        <v>13</v>
      </c>
      <c r="D32" s="462">
        <f t="shared" si="16"/>
        <v>0.3</v>
      </c>
      <c r="E32" s="1296">
        <v>12</v>
      </c>
      <c r="F32" s="462">
        <f t="shared" si="17"/>
        <v>-7.6923076923076927E-2</v>
      </c>
      <c r="G32" s="1296">
        <v>19</v>
      </c>
      <c r="H32" s="462">
        <f t="shared" si="18"/>
        <v>0.58333333333333337</v>
      </c>
      <c r="I32" s="1296">
        <v>22</v>
      </c>
      <c r="J32" s="462">
        <f t="shared" si="19"/>
        <v>0.15789473684210525</v>
      </c>
      <c r="K32" s="1296">
        <v>17</v>
      </c>
      <c r="L32" s="462">
        <f t="shared" si="20"/>
        <v>-0.22727272727272727</v>
      </c>
      <c r="M32" s="1296">
        <v>20</v>
      </c>
      <c r="N32" s="462">
        <f t="shared" si="21"/>
        <v>0.17647058823529413</v>
      </c>
      <c r="O32" s="1296">
        <v>14</v>
      </c>
      <c r="P32" s="462">
        <f t="shared" si="22"/>
        <v>-0.3</v>
      </c>
      <c r="Q32" s="1296">
        <v>14</v>
      </c>
      <c r="R32" s="462">
        <f t="shared" si="23"/>
        <v>0</v>
      </c>
    </row>
    <row r="33" spans="1:18" ht="18" customHeight="1" x14ac:dyDescent="0.3">
      <c r="A33" s="552" t="s">
        <v>1121</v>
      </c>
      <c r="B33" s="1296">
        <v>0</v>
      </c>
      <c r="C33" s="1296">
        <v>0</v>
      </c>
      <c r="D33" s="462" t="str">
        <f t="shared" si="16"/>
        <v>N/A</v>
      </c>
      <c r="E33" s="1296">
        <v>0</v>
      </c>
      <c r="F33" s="462" t="str">
        <f t="shared" si="17"/>
        <v>N/A</v>
      </c>
      <c r="G33" s="1296">
        <v>0</v>
      </c>
      <c r="H33" s="462" t="str">
        <f t="shared" si="18"/>
        <v>N/A</v>
      </c>
      <c r="I33" s="1296">
        <v>0</v>
      </c>
      <c r="J33" s="462" t="str">
        <f t="shared" si="19"/>
        <v>N/A</v>
      </c>
      <c r="K33" s="1296">
        <v>0</v>
      </c>
      <c r="L33" s="462" t="str">
        <f t="shared" si="20"/>
        <v>N/A</v>
      </c>
      <c r="M33" s="1296">
        <v>0</v>
      </c>
      <c r="N33" s="462" t="str">
        <f t="shared" si="21"/>
        <v>N/A</v>
      </c>
      <c r="O33" s="1296">
        <v>0</v>
      </c>
      <c r="P33" s="462" t="str">
        <f t="shared" si="22"/>
        <v>N/A</v>
      </c>
      <c r="Q33" s="1296">
        <v>0</v>
      </c>
      <c r="R33" s="462" t="str">
        <f t="shared" si="23"/>
        <v>N/A</v>
      </c>
    </row>
    <row r="34" spans="1:18" ht="18" customHeight="1" x14ac:dyDescent="0.3">
      <c r="A34" s="553" t="s">
        <v>1015</v>
      </c>
      <c r="B34" s="1296">
        <f>SUM(B30:B33)</f>
        <v>64</v>
      </c>
      <c r="C34" s="1296">
        <f>SUM(C30:C33)</f>
        <v>65</v>
      </c>
      <c r="D34" s="462">
        <f t="shared" si="16"/>
        <v>1.5625E-2</v>
      </c>
      <c r="E34" s="1296">
        <f>SUM(E30:E33)</f>
        <v>73</v>
      </c>
      <c r="F34" s="462">
        <f t="shared" si="17"/>
        <v>0.12307692307692308</v>
      </c>
      <c r="G34" s="1296">
        <f>SUM(G30:G33)</f>
        <v>84</v>
      </c>
      <c r="H34" s="462">
        <f t="shared" si="18"/>
        <v>0.15068493150684931</v>
      </c>
      <c r="I34" s="1296">
        <f>SUM(I30:I33)</f>
        <v>93</v>
      </c>
      <c r="J34" s="462">
        <f t="shared" si="19"/>
        <v>0.10714285714285714</v>
      </c>
      <c r="K34" s="1296">
        <f>SUM(K30:K33)</f>
        <v>70</v>
      </c>
      <c r="L34" s="462">
        <f t="shared" si="20"/>
        <v>-0.24731182795698925</v>
      </c>
      <c r="M34" s="1296">
        <f>SUM(M30:M33)</f>
        <v>76</v>
      </c>
      <c r="N34" s="462">
        <f t="shared" si="21"/>
        <v>8.5714285714285715E-2</v>
      </c>
      <c r="O34" s="1296">
        <f>SUM(O30:O33)</f>
        <v>62</v>
      </c>
      <c r="P34" s="462">
        <f t="shared" si="22"/>
        <v>-0.18421052631578946</v>
      </c>
      <c r="Q34" s="1296">
        <f>SUM(Q30:Q33)</f>
        <v>57</v>
      </c>
      <c r="R34" s="462">
        <f t="shared" si="23"/>
        <v>-8.0645161290322578E-2</v>
      </c>
    </row>
    <row r="35" spans="1:18" ht="18" customHeight="1" thickBot="1" x14ac:dyDescent="0.35">
      <c r="A35" s="556" t="s">
        <v>415</v>
      </c>
      <c r="B35" s="545">
        <f>+B34+B28+B22+B13</f>
        <v>500</v>
      </c>
      <c r="C35" s="545">
        <f>+C34+C28+C22+C13</f>
        <v>544</v>
      </c>
      <c r="D35" s="1154">
        <f t="shared" si="16"/>
        <v>8.7999999999999995E-2</v>
      </c>
      <c r="E35" s="545">
        <f>+E34+E28+E22+E13</f>
        <v>616</v>
      </c>
      <c r="F35" s="1154">
        <f t="shared" si="17"/>
        <v>0.13235294117647059</v>
      </c>
      <c r="G35" s="545">
        <f>+G34+G28+G22+G13</f>
        <v>665</v>
      </c>
      <c r="H35" s="1154">
        <f t="shared" si="18"/>
        <v>7.9545454545454544E-2</v>
      </c>
      <c r="I35" s="545">
        <f>+I34+I28+I22+I13</f>
        <v>663</v>
      </c>
      <c r="J35" s="1154">
        <f t="shared" si="19"/>
        <v>-3.0075187969924814E-3</v>
      </c>
      <c r="K35" s="545">
        <f>+K34+K28+K22+K13</f>
        <v>665</v>
      </c>
      <c r="L35" s="1154">
        <f t="shared" si="20"/>
        <v>3.0165912518853697E-3</v>
      </c>
      <c r="M35" s="545">
        <f>+M34+M28+M22+M13</f>
        <v>676</v>
      </c>
      <c r="N35" s="1260">
        <f t="shared" si="21"/>
        <v>1.6541353383458645E-2</v>
      </c>
      <c r="O35" s="545">
        <f>+O34+O28+O22+O13</f>
        <v>676</v>
      </c>
      <c r="P35" s="1154">
        <f t="shared" si="22"/>
        <v>0</v>
      </c>
      <c r="Q35" s="545">
        <f>+Q34+Q28+Q22+Q13</f>
        <v>641</v>
      </c>
      <c r="R35" s="1154">
        <f t="shared" si="23"/>
        <v>-5.1775147928994084E-2</v>
      </c>
    </row>
    <row r="36" spans="1:18" ht="20.25" customHeight="1" thickBot="1" x14ac:dyDescent="0.35">
      <c r="A36" s="2134" t="s">
        <v>416</v>
      </c>
      <c r="B36" s="2135"/>
      <c r="C36" s="2135"/>
      <c r="D36" s="2135"/>
      <c r="E36" s="2135"/>
      <c r="F36" s="2135"/>
      <c r="G36" s="2135"/>
      <c r="H36" s="2135"/>
      <c r="I36" s="2135"/>
      <c r="J36" s="2135"/>
      <c r="K36" s="2135"/>
      <c r="L36" s="2135"/>
      <c r="M36" s="2135"/>
      <c r="N36" s="2135"/>
      <c r="O36" s="2135"/>
      <c r="P36" s="2135"/>
      <c r="Q36" s="2135"/>
      <c r="R36" s="2136"/>
    </row>
    <row r="37" spans="1:18" ht="20.25" customHeight="1" x14ac:dyDescent="0.3">
      <c r="A37" s="549" t="s">
        <v>410</v>
      </c>
      <c r="B37" s="1358">
        <v>2007</v>
      </c>
      <c r="C37" s="1156">
        <f>B37+1</f>
        <v>2008</v>
      </c>
      <c r="D37" s="1359" t="s">
        <v>1100</v>
      </c>
      <c r="E37" s="1358">
        <f>C37+1</f>
        <v>2009</v>
      </c>
      <c r="F37" s="667" t="s">
        <v>1100</v>
      </c>
      <c r="G37" s="1358">
        <f>E37+1</f>
        <v>2010</v>
      </c>
      <c r="H37" s="1359" t="s">
        <v>1100</v>
      </c>
      <c r="I37" s="1358">
        <f>G37+1</f>
        <v>2011</v>
      </c>
      <c r="J37" s="667" t="s">
        <v>1100</v>
      </c>
      <c r="K37" s="1358">
        <f>I37+1</f>
        <v>2012</v>
      </c>
      <c r="L37" s="667" t="s">
        <v>1100</v>
      </c>
      <c r="M37" s="1358">
        <f>K37+1</f>
        <v>2013</v>
      </c>
      <c r="N37" s="667" t="s">
        <v>1100</v>
      </c>
      <c r="O37" s="1358">
        <f>M37+1</f>
        <v>2014</v>
      </c>
      <c r="P37" s="1359" t="s">
        <v>1100</v>
      </c>
      <c r="Q37" s="1358">
        <f>O37+1</f>
        <v>2015</v>
      </c>
      <c r="R37" s="1359" t="s">
        <v>1100</v>
      </c>
    </row>
    <row r="38" spans="1:18" ht="18" customHeight="1" x14ac:dyDescent="0.3">
      <c r="A38" s="551" t="s">
        <v>417</v>
      </c>
      <c r="B38" s="1360"/>
      <c r="C38" s="1360"/>
      <c r="D38" s="1361"/>
      <c r="E38" s="1360"/>
      <c r="F38" s="460"/>
      <c r="G38" s="1360"/>
      <c r="H38" s="1361"/>
      <c r="I38" s="1360"/>
      <c r="J38" s="460"/>
      <c r="K38" s="1360"/>
      <c r="L38" s="460"/>
      <c r="M38" s="1360"/>
      <c r="N38" s="460"/>
      <c r="O38" s="1360"/>
      <c r="P38" s="1361"/>
      <c r="Q38" s="1360"/>
      <c r="R38" s="1361"/>
    </row>
    <row r="39" spans="1:18" ht="18" customHeight="1" x14ac:dyDescent="0.3">
      <c r="A39" s="1363" t="s">
        <v>1127</v>
      </c>
      <c r="B39" s="1296">
        <v>0</v>
      </c>
      <c r="C39" s="1296">
        <v>0</v>
      </c>
      <c r="D39" s="1362" t="str">
        <f>IF(B39&gt;0,(C39-B39)/B39,(IF(C39=0,"N/A",100%)))</f>
        <v>N/A</v>
      </c>
      <c r="E39" s="1296">
        <v>0</v>
      </c>
      <c r="F39" s="462" t="str">
        <f>IF(C39&gt;0,(E39-C39)/C39,(IF(E39=0,"N/A",100%)))</f>
        <v>N/A</v>
      </c>
      <c r="G39" s="1296">
        <v>0</v>
      </c>
      <c r="H39" s="1362" t="str">
        <f>IF(E39&gt;0,(G39-E39)/E39,(IF(G39=0,"N/A",100%)))</f>
        <v>N/A</v>
      </c>
      <c r="I39" s="1296">
        <v>0</v>
      </c>
      <c r="J39" s="462" t="str">
        <f>IF(G39&gt;0,(I39-G39)/G39,(IF(I39=0,"N/A",100%)))</f>
        <v>N/A</v>
      </c>
      <c r="K39" s="1296">
        <v>0</v>
      </c>
      <c r="L39" s="462" t="str">
        <f>IF(I39&gt;0,(K39-I39)/I39,(IF(K39=0,"N/A",100%)))</f>
        <v>N/A</v>
      </c>
      <c r="M39" s="1296">
        <v>0</v>
      </c>
      <c r="N39" s="462" t="str">
        <f>IF(K39&gt;0,(M39-K39)/K39,(IF(M39=0,"N/A",100%)))</f>
        <v>N/A</v>
      </c>
      <c r="O39" s="1296">
        <v>0</v>
      </c>
      <c r="P39" s="1362" t="str">
        <f>IF(M39&gt;0,(O39-M39)/M39,(IF(O39=0,"N/A",100%)))</f>
        <v>N/A</v>
      </c>
      <c r="Q39" s="1296">
        <v>0</v>
      </c>
      <c r="R39" s="1362" t="str">
        <f>IF(O39&gt;0,(Q39-O39)/O39,(IF(Q39=0,"N/A",100%)))</f>
        <v>N/A</v>
      </c>
    </row>
    <row r="40" spans="1:18" ht="18" customHeight="1" x14ac:dyDescent="0.3">
      <c r="A40" s="552" t="s">
        <v>1128</v>
      </c>
      <c r="B40" s="1296">
        <f>58+7</f>
        <v>65</v>
      </c>
      <c r="C40" s="1296">
        <v>83</v>
      </c>
      <c r="D40" s="1362">
        <f>IF(B40&gt;0,(C40-B40)/B40,(IF(C40=0,"N/A",100%)))</f>
        <v>0.27692307692307694</v>
      </c>
      <c r="E40" s="1296">
        <v>97</v>
      </c>
      <c r="F40" s="462">
        <f>IF(C40&gt;0,(E40-C40)/C40,(IF(E40=0,"N/A",100%)))</f>
        <v>0.16867469879518071</v>
      </c>
      <c r="G40" s="1296">
        <v>100</v>
      </c>
      <c r="H40" s="1362">
        <f>IF(E40&gt;0,(G40-E40)/E40,(IF(G40=0,"N/A",100%)))</f>
        <v>3.0927835051546393E-2</v>
      </c>
      <c r="I40" s="1296">
        <v>107</v>
      </c>
      <c r="J40" s="462">
        <f>IF(G40&gt;0,(I40-G40)/G40,(IF(I40=0,"N/A",100%)))</f>
        <v>7.0000000000000007E-2</v>
      </c>
      <c r="K40" s="1296">
        <v>93</v>
      </c>
      <c r="L40" s="462">
        <f>IF(I40&gt;0,(K40-I40)/I40,(IF(K40=0,"N/A",100%)))</f>
        <v>-0.13084112149532709</v>
      </c>
      <c r="M40" s="1296">
        <v>99</v>
      </c>
      <c r="N40" s="462">
        <f>IF(K40&gt;0,(M40-K40)/K40,(IF(M40=0,"N/A",100%)))</f>
        <v>6.4516129032258063E-2</v>
      </c>
      <c r="O40" s="1296">
        <f>78+9</f>
        <v>87</v>
      </c>
      <c r="P40" s="1362">
        <f>IF(M40&gt;0,(O40-M40)/M40,(IF(O40=0,"N/A",100%)))</f>
        <v>-0.12121212121212122</v>
      </c>
      <c r="Q40" s="1296">
        <v>86</v>
      </c>
      <c r="R40" s="1362">
        <f>IF(O40&gt;0,(Q40-O40)/O40,(IF(Q40=0,"N/A",100%)))</f>
        <v>-1.1494252873563218E-2</v>
      </c>
    </row>
    <row r="41" spans="1:18" ht="18" customHeight="1" x14ac:dyDescent="0.3">
      <c r="A41" s="553" t="s">
        <v>1015</v>
      </c>
      <c r="B41" s="1296">
        <f>SUM(B39:B40)</f>
        <v>65</v>
      </c>
      <c r="C41" s="1296">
        <f>SUM(C39:C40)</f>
        <v>83</v>
      </c>
      <c r="D41" s="1362">
        <f>IF(B41&gt;0,(C41-B41)/B41,(IF(C41=0,"N/A",100%)))</f>
        <v>0.27692307692307694</v>
      </c>
      <c r="E41" s="1296">
        <f>SUM(E39:E40)</f>
        <v>97</v>
      </c>
      <c r="F41" s="462">
        <f>IF(C41&gt;0,(E41-C41)/C41,(IF(E41=0,"N/A",100%)))</f>
        <v>0.16867469879518071</v>
      </c>
      <c r="G41" s="1296">
        <f>SUM(G39:G40)</f>
        <v>100</v>
      </c>
      <c r="H41" s="1362">
        <f>IF(E41&gt;0,(G41-E41)/E41,(IF(G41=0,"N/A",100%)))</f>
        <v>3.0927835051546393E-2</v>
      </c>
      <c r="I41" s="1296">
        <f>SUM(I39:I40)</f>
        <v>107</v>
      </c>
      <c r="J41" s="462">
        <f>IF(G41&gt;0,(I41-G41)/G41,(IF(I41=0,"N/A",100%)))</f>
        <v>7.0000000000000007E-2</v>
      </c>
      <c r="K41" s="1296">
        <f>SUM(K39:K40)</f>
        <v>93</v>
      </c>
      <c r="L41" s="462">
        <f>IF(I41&gt;0,(K41-I41)/I41,(IF(K41=0,"N/A",100%)))</f>
        <v>-0.13084112149532709</v>
      </c>
      <c r="M41" s="1296">
        <f>SUM(M39:M40)</f>
        <v>99</v>
      </c>
      <c r="N41" s="462">
        <f>IF(K41&gt;0,(M41-K41)/K41,(IF(M41=0,"N/A",100%)))</f>
        <v>6.4516129032258063E-2</v>
      </c>
      <c r="O41" s="1296">
        <f>SUM(O39:O40)</f>
        <v>87</v>
      </c>
      <c r="P41" s="1362">
        <f>IF(M41&gt;0,(O41-M41)/M41,(IF(O41=0,"N/A",100%)))</f>
        <v>-0.12121212121212122</v>
      </c>
      <c r="Q41" s="1296">
        <f>SUM(Q39:Q40)</f>
        <v>86</v>
      </c>
      <c r="R41" s="1362">
        <f>IF(O41&gt;0,(Q41-O41)/O41,(IF(Q41=0,"N/A",100%)))</f>
        <v>-1.1494252873563218E-2</v>
      </c>
    </row>
    <row r="42" spans="1:18" ht="18" customHeight="1" x14ac:dyDescent="0.3">
      <c r="A42" s="551" t="s">
        <v>418</v>
      </c>
      <c r="B42" s="1360"/>
      <c r="C42" s="1360"/>
      <c r="D42" s="1361"/>
      <c r="E42" s="1360"/>
      <c r="F42" s="460"/>
      <c r="G42" s="1360"/>
      <c r="H42" s="1361"/>
      <c r="I42" s="1360"/>
      <c r="J42" s="460"/>
      <c r="K42" s="1360"/>
      <c r="L42" s="460"/>
      <c r="M42" s="1360"/>
      <c r="N42" s="460"/>
      <c r="O42" s="1360"/>
      <c r="P42" s="1361"/>
      <c r="Q42" s="1360"/>
      <c r="R42" s="1361"/>
    </row>
    <row r="43" spans="1:18" ht="18" customHeight="1" x14ac:dyDescent="0.3">
      <c r="A43" s="552" t="s">
        <v>1132</v>
      </c>
      <c r="B43" s="1296">
        <v>39</v>
      </c>
      <c r="C43" s="1296">
        <v>43</v>
      </c>
      <c r="D43" s="1362">
        <f>IF(B43&gt;0,(C43-B43)/B43,(IF(C43=0,"N/A",100%)))</f>
        <v>0.10256410256410256</v>
      </c>
      <c r="E43" s="1296">
        <f>31+24</f>
        <v>55</v>
      </c>
      <c r="F43" s="462">
        <f>IF(C43&gt;0,(E43-C43)/C43,(IF(E43=0,"N/A",100%)))</f>
        <v>0.27906976744186046</v>
      </c>
      <c r="G43" s="1296">
        <v>62</v>
      </c>
      <c r="H43" s="1362">
        <f>IF(E43&gt;0,(G43-E43)/E43,(IF(G43=0,"N/A",100%)))</f>
        <v>0.12727272727272726</v>
      </c>
      <c r="I43" s="1296">
        <v>50</v>
      </c>
      <c r="J43" s="462">
        <f>IF(G43&gt;0,(I43-G43)/G43,(IF(I43=0,"N/A",100%)))</f>
        <v>-0.19354838709677419</v>
      </c>
      <c r="K43" s="1296">
        <v>44</v>
      </c>
      <c r="L43" s="462">
        <f>IF(I43&gt;0,(K43-I43)/I43,(IF(K43=0,"N/A",100%)))</f>
        <v>-0.12</v>
      </c>
      <c r="M43" s="1296">
        <v>41</v>
      </c>
      <c r="N43" s="462">
        <f>IF(K43&gt;0,(M43-K43)/K43,(IF(M43=0,"N/A",100%)))</f>
        <v>-6.8181818181818177E-2</v>
      </c>
      <c r="O43" s="1296">
        <v>34</v>
      </c>
      <c r="P43" s="1362">
        <f>IF(M43&gt;0,(O43-M43)/M43,(IF(O43=0,"N/A",100%)))</f>
        <v>-0.17073170731707318</v>
      </c>
      <c r="Q43" s="1296">
        <v>41</v>
      </c>
      <c r="R43" s="1362">
        <f>IF(O43&gt;0,(Q43-O43)/O43,(IF(Q43=0,"N/A",100%)))</f>
        <v>0.20588235294117646</v>
      </c>
    </row>
    <row r="44" spans="1:18" ht="18" customHeight="1" x14ac:dyDescent="0.3">
      <c r="A44" s="552" t="s">
        <v>872</v>
      </c>
      <c r="B44" s="1296">
        <v>0</v>
      </c>
      <c r="C44" s="1296">
        <v>0</v>
      </c>
      <c r="D44" s="1362" t="str">
        <f>IF(B44&gt;0,(C44-B44)/B44,(IF(C44=0,"N/A",100%)))</f>
        <v>N/A</v>
      </c>
      <c r="E44" s="1296">
        <v>0</v>
      </c>
      <c r="F44" s="462" t="str">
        <f>IF(C44&gt;0,(E44-C44)/C44,(IF(E44=0,"N/A",100%)))</f>
        <v>N/A</v>
      </c>
      <c r="G44" s="1296">
        <v>0</v>
      </c>
      <c r="H44" s="1362" t="str">
        <f>IF(E44&gt;0,(G44-E44)/E44,(IF(G44=0,"N/A",100%)))</f>
        <v>N/A</v>
      </c>
      <c r="I44" s="1296">
        <v>0</v>
      </c>
      <c r="J44" s="462" t="str">
        <f>IF(G44&gt;0,(I44-G44)/G44,(IF(I44=0,"N/A",100%)))</f>
        <v>N/A</v>
      </c>
      <c r="K44" s="1296">
        <v>18</v>
      </c>
      <c r="L44" s="462">
        <f>IF(I44&gt;0,(K44-I44)/I44,(IF(K44=0,"N/A",100%)))</f>
        <v>1</v>
      </c>
      <c r="M44" s="1296">
        <v>11</v>
      </c>
      <c r="N44" s="462">
        <f>IF(K44&gt;0,(M44-K44)/K44,(IF(M44=0,"N/A",100%)))</f>
        <v>-0.3888888888888889</v>
      </c>
      <c r="O44" s="1296">
        <v>10</v>
      </c>
      <c r="P44" s="1362">
        <f>IF(M44&gt;0,(O44-M44)/M44,(IF(O44=0,"N/A",100%)))</f>
        <v>-9.0909090909090912E-2</v>
      </c>
      <c r="Q44" s="1296">
        <v>14</v>
      </c>
      <c r="R44" s="1362">
        <f>IF(O44&gt;0,(Q44-O44)/O44,(IF(Q44=0,"N/A",100%)))</f>
        <v>0.4</v>
      </c>
    </row>
    <row r="45" spans="1:18" ht="18" customHeight="1" x14ac:dyDescent="0.3">
      <c r="A45" s="552" t="s">
        <v>1133</v>
      </c>
      <c r="B45" s="1296">
        <v>12</v>
      </c>
      <c r="C45" s="1296">
        <v>10</v>
      </c>
      <c r="D45" s="1362">
        <f>IF(B45&gt;0,(C45-B45)/B45,(IF(C45=0,"N/A",100%)))</f>
        <v>-0.16666666666666666</v>
      </c>
      <c r="E45" s="1296">
        <v>8</v>
      </c>
      <c r="F45" s="462">
        <f>IF(C45&gt;0,(E45-C45)/C45,(IF(E45=0,"N/A",100%)))</f>
        <v>-0.2</v>
      </c>
      <c r="G45" s="1296">
        <v>11</v>
      </c>
      <c r="H45" s="1362">
        <f>IF(E45&gt;0,(G45-E45)/E45,(IF(G45=0,"N/A",100%)))</f>
        <v>0.375</v>
      </c>
      <c r="I45" s="1296">
        <v>15</v>
      </c>
      <c r="J45" s="462">
        <f>IF(G45&gt;0,(I45-G45)/G45,(IF(I45=0,"N/A",100%)))</f>
        <v>0.36363636363636365</v>
      </c>
      <c r="K45" s="1296">
        <v>14</v>
      </c>
      <c r="L45" s="462">
        <f>IF(I45&gt;0,(K45-I45)/I45,(IF(K45=0,"N/A",100%)))</f>
        <v>-6.6666666666666666E-2</v>
      </c>
      <c r="M45" s="1296">
        <v>11</v>
      </c>
      <c r="N45" s="462">
        <f>IF(K45&gt;0,(M45-K45)/K45,(IF(M45=0,"N/A",100%)))</f>
        <v>-0.21428571428571427</v>
      </c>
      <c r="O45" s="1296">
        <v>11</v>
      </c>
      <c r="P45" s="1362">
        <f>IF(M45&gt;0,(O45-M45)/M45,(IF(O45=0,"N/A",100%)))</f>
        <v>0</v>
      </c>
      <c r="Q45" s="1296">
        <v>10</v>
      </c>
      <c r="R45" s="1362">
        <f>IF(O45&gt;0,(Q45-O45)/O45,(IF(Q45=0,"N/A",100%)))</f>
        <v>-9.0909090909090912E-2</v>
      </c>
    </row>
    <row r="46" spans="1:18" ht="18" customHeight="1" x14ac:dyDescent="0.3">
      <c r="A46" s="553" t="s">
        <v>1015</v>
      </c>
      <c r="B46" s="1296">
        <f>+B45+B44+B43</f>
        <v>51</v>
      </c>
      <c r="C46" s="1296">
        <f>+C45+C44+C43</f>
        <v>53</v>
      </c>
      <c r="D46" s="1362">
        <f>IF(B46&gt;0,(C46-B46)/B46,(IF(C46=0,"N/A",100%)))</f>
        <v>3.9215686274509803E-2</v>
      </c>
      <c r="E46" s="1296">
        <f>+E45+E44+E43</f>
        <v>63</v>
      </c>
      <c r="F46" s="462">
        <f>IF(C46&gt;0,(E46-C46)/C46,(IF(E46=0,"N/A",100%)))</f>
        <v>0.18867924528301888</v>
      </c>
      <c r="G46" s="1296">
        <f>+G45+G44+G43</f>
        <v>73</v>
      </c>
      <c r="H46" s="1362">
        <f>IF(E46&gt;0,(G46-E46)/E46,(IF(G46=0,"N/A",100%)))</f>
        <v>0.15873015873015872</v>
      </c>
      <c r="I46" s="1296">
        <f>+I45+I44+I43</f>
        <v>65</v>
      </c>
      <c r="J46" s="462">
        <f>IF(G46&gt;0,(I46-G46)/G46,(IF(I46=0,"N/A",100%)))</f>
        <v>-0.1095890410958904</v>
      </c>
      <c r="K46" s="1296">
        <f>+K45+K44+K43</f>
        <v>76</v>
      </c>
      <c r="L46" s="462">
        <f>IF(I46&gt;0,(K46-I46)/I46,(IF(K46=0,"N/A",100%)))</f>
        <v>0.16923076923076924</v>
      </c>
      <c r="M46" s="1296">
        <f>+M45+M44+M43</f>
        <v>63</v>
      </c>
      <c r="N46" s="462">
        <f>IF(K46&gt;0,(M46-K46)/K46,(IF(M46=0,"N/A",100%)))</f>
        <v>-0.17105263157894737</v>
      </c>
      <c r="O46" s="1296">
        <f>+O45+O44+O43</f>
        <v>55</v>
      </c>
      <c r="P46" s="1362">
        <f>IF(M46&gt;0,(O46-M46)/M46,(IF(O46=0,"N/A",100%)))</f>
        <v>-0.12698412698412698</v>
      </c>
      <c r="Q46" s="1296">
        <f>+Q45+Q44+Q43</f>
        <v>65</v>
      </c>
      <c r="R46" s="1362">
        <f>IF(O46&gt;0,(Q46-O46)/O46,(IF(Q46=0,"N/A",100%)))</f>
        <v>0.18181818181818182</v>
      </c>
    </row>
    <row r="47" spans="1:18" ht="18" customHeight="1" x14ac:dyDescent="0.3">
      <c r="A47" s="551" t="s">
        <v>419</v>
      </c>
      <c r="B47" s="1360"/>
      <c r="C47" s="1360"/>
      <c r="D47" s="1361"/>
      <c r="E47" s="1360"/>
      <c r="F47" s="460"/>
      <c r="G47" s="1360"/>
      <c r="H47" s="1361"/>
      <c r="I47" s="1360"/>
      <c r="J47" s="460"/>
      <c r="K47" s="1360"/>
      <c r="L47" s="460"/>
      <c r="M47" s="1360"/>
      <c r="N47" s="460"/>
      <c r="O47" s="1360"/>
      <c r="P47" s="1361"/>
      <c r="Q47" s="1360"/>
      <c r="R47" s="1361"/>
    </row>
    <row r="48" spans="1:18" ht="18" customHeight="1" x14ac:dyDescent="0.3">
      <c r="A48" s="552" t="s">
        <v>1129</v>
      </c>
      <c r="B48" s="1296">
        <f>34+22</f>
        <v>56</v>
      </c>
      <c r="C48" s="1296">
        <v>68</v>
      </c>
      <c r="D48" s="1362">
        <f>IF(B48&gt;0,(C48-B48)/B48,(IF(C48=0,"N/A",100%)))</f>
        <v>0.21428571428571427</v>
      </c>
      <c r="E48" s="1296">
        <v>83</v>
      </c>
      <c r="F48" s="462">
        <f>IF(C48&gt;0,(E48-C48)/C48,(IF(E48=0,"N/A",100%)))</f>
        <v>0.22058823529411764</v>
      </c>
      <c r="G48" s="1296">
        <v>74</v>
      </c>
      <c r="H48" s="1362">
        <f>IF(E48&gt;0,(G48-E48)/E48,(IF(G48=0,"N/A",100%)))</f>
        <v>-0.10843373493975904</v>
      </c>
      <c r="I48" s="1296">
        <v>75</v>
      </c>
      <c r="J48" s="462">
        <f>IF(G48&gt;0,(I48-G48)/G48,(IF(I48=0,"N/A",100%)))</f>
        <v>1.3513513513513514E-2</v>
      </c>
      <c r="K48" s="1296">
        <v>88</v>
      </c>
      <c r="L48" s="462">
        <f>IF(I48&gt;0,(K48-I48)/I48,(IF(K48=0,"N/A",100%)))</f>
        <v>0.17333333333333334</v>
      </c>
      <c r="M48" s="1296">
        <v>69</v>
      </c>
      <c r="N48" s="462">
        <f>IF(K48&gt;0,(M48-K48)/K48,(IF(M48=0,"N/A",100%)))</f>
        <v>-0.21590909090909091</v>
      </c>
      <c r="O48" s="1296">
        <v>74</v>
      </c>
      <c r="P48" s="1362">
        <f>IF(M48&gt;0,(O48-M48)/M48,(IF(O48=0,"N/A",100%)))</f>
        <v>7.2463768115942032E-2</v>
      </c>
      <c r="Q48" s="1296">
        <v>68</v>
      </c>
      <c r="R48" s="1362">
        <f>IF(O48&gt;0,(Q48-O48)/O48,(IF(Q48=0,"N/A",100%)))</f>
        <v>-8.1081081081081086E-2</v>
      </c>
    </row>
    <row r="49" spans="1:18" ht="18" customHeight="1" x14ac:dyDescent="0.3">
      <c r="A49" s="552" t="s">
        <v>775</v>
      </c>
      <c r="B49" s="1296">
        <v>4</v>
      </c>
      <c r="C49" s="1296">
        <v>0</v>
      </c>
      <c r="D49" s="1362">
        <f>IF(B49&gt;0,(C49-B49)/B49,(IF(C49=0,"N/A",100%)))</f>
        <v>-1</v>
      </c>
      <c r="E49" s="1296">
        <v>0</v>
      </c>
      <c r="F49" s="462" t="str">
        <f>IF(C49&gt;0,(E49-C49)/C49,(IF(E49=0,"N/A",100%)))</f>
        <v>N/A</v>
      </c>
      <c r="G49" s="1296">
        <v>1</v>
      </c>
      <c r="H49" s="1362">
        <f>IF(E49&gt;0,(G49-E49)/E49,(IF(G49=0,"N/A",100%)))</f>
        <v>1</v>
      </c>
      <c r="I49" s="1296">
        <v>0</v>
      </c>
      <c r="J49" s="462">
        <f>IF(G49&gt;0,(I49-G49)/G49,(IF(I49=0,"N/A",100%)))</f>
        <v>-1</v>
      </c>
      <c r="K49" s="1296">
        <v>0</v>
      </c>
      <c r="L49" s="462" t="str">
        <f>IF(I49&gt;0,(K49-I49)/I49,(IF(K49=0,"N/A",100%)))</f>
        <v>N/A</v>
      </c>
      <c r="M49" s="1296">
        <v>0</v>
      </c>
      <c r="N49" s="462" t="str">
        <f>IF(K49&gt;0,(M49-K49)/K49,(IF(M49=0,"N/A",100%)))</f>
        <v>N/A</v>
      </c>
      <c r="O49" s="1296">
        <v>0</v>
      </c>
      <c r="P49" s="1362" t="str">
        <f>IF(M49&gt;0,(O49-M49)/M49,(IF(O49=0,"N/A",100%)))</f>
        <v>N/A</v>
      </c>
      <c r="Q49" s="1296">
        <v>0</v>
      </c>
      <c r="R49" s="1362" t="str">
        <f>IF(O49&gt;0,(Q49-O49)/O49,(IF(Q49=0,"N/A",100%)))</f>
        <v>N/A</v>
      </c>
    </row>
    <row r="50" spans="1:18" ht="18" customHeight="1" x14ac:dyDescent="0.3">
      <c r="A50" s="553" t="s">
        <v>1015</v>
      </c>
      <c r="B50" s="1296">
        <f>+B49+B48</f>
        <v>60</v>
      </c>
      <c r="C50" s="1296">
        <f>+C49+C48</f>
        <v>68</v>
      </c>
      <c r="D50" s="1362">
        <f>IF(B50&gt;0,(C50-B50)/B50,(IF(C50=0,"N/A",100%)))</f>
        <v>0.13333333333333333</v>
      </c>
      <c r="E50" s="1296">
        <f>+E49+E48</f>
        <v>83</v>
      </c>
      <c r="F50" s="462">
        <f>IF(C50&gt;0,(E50-C50)/C50,(IF(E50=0,"N/A",100%)))</f>
        <v>0.22058823529411764</v>
      </c>
      <c r="G50" s="1296">
        <f>+G49+G48</f>
        <v>75</v>
      </c>
      <c r="H50" s="1362">
        <f>IF(E50&gt;0,(G50-E50)/E50,(IF(G50=0,"N/A",100%)))</f>
        <v>-9.6385542168674704E-2</v>
      </c>
      <c r="I50" s="1296">
        <f>+I49+I48</f>
        <v>75</v>
      </c>
      <c r="J50" s="462">
        <f>IF(G50&gt;0,(I50-G50)/G50,(IF(I50=0,"N/A",100%)))</f>
        <v>0</v>
      </c>
      <c r="K50" s="1296">
        <f>+K49+K48</f>
        <v>88</v>
      </c>
      <c r="L50" s="462">
        <f>IF(I50&gt;0,(K50-I50)/I50,(IF(K50=0,"N/A",100%)))</f>
        <v>0.17333333333333334</v>
      </c>
      <c r="M50" s="1296">
        <f>+M49+M48</f>
        <v>69</v>
      </c>
      <c r="N50" s="462">
        <f>IF(K50&gt;0,(M50-K50)/K50,(IF(M50=0,"N/A",100%)))</f>
        <v>-0.21590909090909091</v>
      </c>
      <c r="O50" s="1296">
        <f>+O49+O48</f>
        <v>74</v>
      </c>
      <c r="P50" s="1362">
        <f>IF(M50&gt;0,(O50-M50)/M50,(IF(O50=0,"N/A",100%)))</f>
        <v>7.2463768115942032E-2</v>
      </c>
      <c r="Q50" s="1296">
        <f>+Q49+Q48</f>
        <v>68</v>
      </c>
      <c r="R50" s="1362">
        <f>IF(O50&gt;0,(Q50-O50)/O50,(IF(Q50=0,"N/A",100%)))</f>
        <v>-8.1081081081081086E-2</v>
      </c>
    </row>
    <row r="51" spans="1:18" ht="18" customHeight="1" x14ac:dyDescent="0.3">
      <c r="A51" s="551" t="s">
        <v>420</v>
      </c>
      <c r="B51" s="1360"/>
      <c r="C51" s="1360"/>
      <c r="D51" s="1361"/>
      <c r="E51" s="1360"/>
      <c r="F51" s="460"/>
      <c r="G51" s="1360"/>
      <c r="H51" s="1361"/>
      <c r="I51" s="1360"/>
      <c r="J51" s="460"/>
      <c r="K51" s="1360"/>
      <c r="L51" s="460"/>
      <c r="M51" s="1360"/>
      <c r="N51" s="460"/>
      <c r="O51" s="1360"/>
      <c r="P51" s="1361"/>
      <c r="Q51" s="1360"/>
      <c r="R51" s="1361"/>
    </row>
    <row r="52" spans="1:18" ht="18" customHeight="1" x14ac:dyDescent="0.3">
      <c r="A52" s="552" t="s">
        <v>1123</v>
      </c>
      <c r="B52" s="1296">
        <f>89+7</f>
        <v>96</v>
      </c>
      <c r="C52" s="1296">
        <v>107</v>
      </c>
      <c r="D52" s="1362">
        <f>IF(B52&gt;0,(C52-B52)/B52,(IF(C52=0,"N/A",100%)))</f>
        <v>0.11458333333333333</v>
      </c>
      <c r="E52" s="1296">
        <v>132</v>
      </c>
      <c r="F52" s="462">
        <f>IF(C52&gt;0,(E52-C52)/C52,(IF(E52=0,"N/A",100%)))</f>
        <v>0.23364485981308411</v>
      </c>
      <c r="G52" s="1296">
        <v>147</v>
      </c>
      <c r="H52" s="1362">
        <f>IF(E52&gt;0,(G52-E52)/E52,(IF(G52=0,"N/A",100%)))</f>
        <v>0.11363636363636363</v>
      </c>
      <c r="I52" s="1296">
        <v>143</v>
      </c>
      <c r="J52" s="462">
        <f>IF(G52&gt;0,(I52-G52)/G52,(IF(I52=0,"N/A",100%)))</f>
        <v>-2.7210884353741496E-2</v>
      </c>
      <c r="K52" s="1296">
        <v>152</v>
      </c>
      <c r="L52" s="462">
        <f>IF(I52&gt;0,(K52-I52)/I52,(IF(K52=0,"N/A",100%)))</f>
        <v>6.2937062937062943E-2</v>
      </c>
      <c r="M52" s="1296">
        <v>133</v>
      </c>
      <c r="N52" s="462">
        <f>IF(K52&gt;0,(M52-K52)/K52,(IF(M52=0,"N/A",100%)))</f>
        <v>-0.125</v>
      </c>
      <c r="O52" s="1296">
        <v>115</v>
      </c>
      <c r="P52" s="1362">
        <f>IF(M52&gt;0,(O52-M52)/M52,(IF(O52=0,"N/A",100%)))</f>
        <v>-0.13533834586466165</v>
      </c>
      <c r="Q52" s="1296">
        <v>118</v>
      </c>
      <c r="R52" s="1362">
        <f>IF(O52&gt;0,(Q52-O52)/O52,(IF(Q52=0,"N/A",100%)))</f>
        <v>2.6086956521739129E-2</v>
      </c>
    </row>
    <row r="53" spans="1:18" ht="18" customHeight="1" x14ac:dyDescent="0.3">
      <c r="A53" s="552" t="s">
        <v>1367</v>
      </c>
      <c r="B53" s="1296">
        <v>0</v>
      </c>
      <c r="C53" s="1296">
        <v>0</v>
      </c>
      <c r="D53" s="1362" t="str">
        <f>IF(B53&gt;0,(C53-B53)/B53,(IF(C53=0,"N/A",100%)))</f>
        <v>N/A</v>
      </c>
      <c r="E53" s="1296">
        <v>0</v>
      </c>
      <c r="F53" s="462" t="str">
        <f>IF(C53&gt;0,(E53-C53)/C53,(IF(E53=0,"N/A",100%)))</f>
        <v>N/A</v>
      </c>
      <c r="G53" s="1296">
        <v>0</v>
      </c>
      <c r="H53" s="1362" t="str">
        <f>IF(E53&gt;0,(G53-E53)/E53,(IF(G53=0,"N/A",100%)))</f>
        <v>N/A</v>
      </c>
      <c r="I53" s="1296">
        <v>0</v>
      </c>
      <c r="J53" s="462" t="str">
        <f>IF(G53&gt;0,(I53-G53)/G53,(IF(I53=0,"N/A",100%)))</f>
        <v>N/A</v>
      </c>
      <c r="K53" s="1296">
        <v>0</v>
      </c>
      <c r="L53" s="462" t="str">
        <f>IF(I53&gt;0,(K53-I53)/I53,(IF(K53=0,"N/A",100%)))</f>
        <v>N/A</v>
      </c>
      <c r="M53" s="1296">
        <v>0</v>
      </c>
      <c r="N53" s="462" t="str">
        <f>IF(K53&gt;0,(M53-K53)/K53,(IF(M53=0,"N/A",100%)))</f>
        <v>N/A</v>
      </c>
      <c r="O53" s="1296">
        <v>0</v>
      </c>
      <c r="P53" s="1362" t="str">
        <f>IF(M53&gt;0,(O53-M53)/M53,(IF(O53=0,"N/A",100%)))</f>
        <v>N/A</v>
      </c>
      <c r="Q53" s="1296">
        <v>0</v>
      </c>
      <c r="R53" s="1362" t="str">
        <f>IF(O53&gt;0,(Q53-O53)/O53,(IF(Q53=0,"N/A",100%)))</f>
        <v>N/A</v>
      </c>
    </row>
    <row r="54" spans="1:18" ht="18" customHeight="1" x14ac:dyDescent="0.3">
      <c r="A54" s="552" t="s">
        <v>1124</v>
      </c>
      <c r="B54" s="1296">
        <v>18</v>
      </c>
      <c r="C54" s="1296">
        <v>17</v>
      </c>
      <c r="D54" s="1362">
        <f>IF(B54&gt;0,(C54-B54)/B54,(IF(C54=0,"N/A",100%)))</f>
        <v>-5.5555555555555552E-2</v>
      </c>
      <c r="E54" s="1296">
        <v>22</v>
      </c>
      <c r="F54" s="462">
        <f>IF(C54&gt;0,(E54-C54)/C54,(IF(E54=0,"N/A",100%)))</f>
        <v>0.29411764705882354</v>
      </c>
      <c r="G54" s="1296">
        <v>24</v>
      </c>
      <c r="H54" s="1362">
        <f>IF(E54&gt;0,(G54-E54)/E54,(IF(G54=0,"N/A",100%)))</f>
        <v>9.0909090909090912E-2</v>
      </c>
      <c r="I54" s="1296">
        <v>17</v>
      </c>
      <c r="J54" s="462">
        <f>IF(G54&gt;0,(I54-G54)/G54,(IF(I54=0,"N/A",100%)))</f>
        <v>-0.29166666666666669</v>
      </c>
      <c r="K54" s="1296">
        <v>21</v>
      </c>
      <c r="L54" s="462">
        <f>IF(I54&gt;0,(K54-I54)/I54,(IF(K54=0,"N/A",100%)))</f>
        <v>0.23529411764705882</v>
      </c>
      <c r="M54" s="1296">
        <v>23</v>
      </c>
      <c r="N54" s="462">
        <f>IF(K54&gt;0,(M54-K54)/K54,(IF(M54=0,"N/A",100%)))</f>
        <v>9.5238095238095233E-2</v>
      </c>
      <c r="O54" s="1296">
        <v>16</v>
      </c>
      <c r="P54" s="1362">
        <f>IF(M54&gt;0,(O54-M54)/M54,(IF(O54=0,"N/A",100%)))</f>
        <v>-0.30434782608695654</v>
      </c>
      <c r="Q54" s="1296">
        <v>9</v>
      </c>
      <c r="R54" s="1362">
        <f>IF(O54&gt;0,(Q54-O54)/O54,(IF(Q54=0,"N/A",100%)))</f>
        <v>-0.4375</v>
      </c>
    </row>
    <row r="55" spans="1:18" ht="18" customHeight="1" x14ac:dyDescent="0.3">
      <c r="A55" s="553" t="s">
        <v>1015</v>
      </c>
      <c r="B55" s="1296">
        <f>SUM(B52:B54)</f>
        <v>114</v>
      </c>
      <c r="C55" s="1296">
        <f>SUM(C52:C54)</f>
        <v>124</v>
      </c>
      <c r="D55" s="1362">
        <f>IF(B55&gt;0,(C55-B55)/B55,(IF(C55=0,"N/A",100%)))</f>
        <v>8.771929824561403E-2</v>
      </c>
      <c r="E55" s="1296">
        <f>SUM(E52:E54)</f>
        <v>154</v>
      </c>
      <c r="F55" s="462">
        <f>IF(C55&gt;0,(E55-C55)/C55,(IF(E55=0,"N/A",100%)))</f>
        <v>0.24193548387096775</v>
      </c>
      <c r="G55" s="1296">
        <f>SUM(G52:G54)</f>
        <v>171</v>
      </c>
      <c r="H55" s="1362">
        <f>IF(E55&gt;0,(G55-E55)/E55,(IF(G55=0,"N/A",100%)))</f>
        <v>0.11038961038961038</v>
      </c>
      <c r="I55" s="1296">
        <f>SUM(I52:I54)</f>
        <v>160</v>
      </c>
      <c r="J55" s="462">
        <f>IF(G55&gt;0,(I55-G55)/G55,(IF(I55=0,"N/A",100%)))</f>
        <v>-6.4327485380116955E-2</v>
      </c>
      <c r="K55" s="1296">
        <f>SUM(K52:K54)</f>
        <v>173</v>
      </c>
      <c r="L55" s="462">
        <f>IF(I55&gt;0,(K55-I55)/I55,(IF(K55=0,"N/A",100%)))</f>
        <v>8.1250000000000003E-2</v>
      </c>
      <c r="M55" s="1296">
        <f>SUM(M52:M54)</f>
        <v>156</v>
      </c>
      <c r="N55" s="462">
        <f>IF(K55&gt;0,(M55-K55)/K55,(IF(M55=0,"N/A",100%)))</f>
        <v>-9.8265895953757232E-2</v>
      </c>
      <c r="O55" s="1296">
        <f>SUM(O52:O54)</f>
        <v>131</v>
      </c>
      <c r="P55" s="1362">
        <f>IF(M55&gt;0,(O55-M55)/M55,(IF(O55=0,"N/A",100%)))</f>
        <v>-0.16025641025641027</v>
      </c>
      <c r="Q55" s="1296">
        <f>SUM(Q52:Q54)</f>
        <v>127</v>
      </c>
      <c r="R55" s="1362">
        <f>IF(O55&gt;0,(Q55-O55)/O55,(IF(Q55=0,"N/A",100%)))</f>
        <v>-3.0534351145038167E-2</v>
      </c>
    </row>
    <row r="56" spans="1:18" ht="18" customHeight="1" x14ac:dyDescent="0.3">
      <c r="A56" s="551" t="s">
        <v>422</v>
      </c>
      <c r="B56" s="1360"/>
      <c r="C56" s="1360"/>
      <c r="D56" s="1361"/>
      <c r="E56" s="1360"/>
      <c r="F56" s="460"/>
      <c r="G56" s="1360"/>
      <c r="H56" s="1361"/>
      <c r="I56" s="1360"/>
      <c r="J56" s="460"/>
      <c r="K56" s="1360"/>
      <c r="L56" s="460"/>
      <c r="M56" s="1360"/>
      <c r="N56" s="460"/>
      <c r="O56" s="1360"/>
      <c r="P56" s="1361"/>
      <c r="Q56" s="1360"/>
      <c r="R56" s="1361"/>
    </row>
    <row r="57" spans="1:18" ht="18" customHeight="1" x14ac:dyDescent="0.3">
      <c r="A57" s="552" t="s">
        <v>1125</v>
      </c>
      <c r="B57" s="1296">
        <f>19+25</f>
        <v>44</v>
      </c>
      <c r="C57" s="1296">
        <v>49</v>
      </c>
      <c r="D57" s="1362">
        <f t="shared" ref="D57:D68" si="24">IF(B57&gt;0,(C57-B57)/B57,(IF(C57=0,"N/A",100%)))</f>
        <v>0.11363636363636363</v>
      </c>
      <c r="E57" s="1296">
        <v>14</v>
      </c>
      <c r="F57" s="462">
        <f t="shared" ref="F57:F68" si="25">IF(C57&gt;0,(E57-C57)/C57,(IF(E57=0,"N/A",100%)))</f>
        <v>-0.7142857142857143</v>
      </c>
      <c r="G57" s="1296">
        <v>19</v>
      </c>
      <c r="H57" s="1362">
        <f t="shared" ref="H57:H68" si="26">IF(E57&gt;0,(G57-E57)/E57,(IF(G57=0,"N/A",100%)))</f>
        <v>0.35714285714285715</v>
      </c>
      <c r="I57" s="1296">
        <v>19</v>
      </c>
      <c r="J57" s="462">
        <f t="shared" ref="J57:J68" si="27">IF(G57&gt;0,(I57-G57)/G57,(IF(I57=0,"N/A",100%)))</f>
        <v>0</v>
      </c>
      <c r="K57" s="1296">
        <v>21</v>
      </c>
      <c r="L57" s="462">
        <f t="shared" ref="L57:L68" si="28">IF(I57&gt;0,(K57-I57)/I57,(IF(K57=0,"N/A",100%)))</f>
        <v>0.10526315789473684</v>
      </c>
      <c r="M57" s="1296">
        <v>0</v>
      </c>
      <c r="N57" s="462">
        <f t="shared" ref="N57:N68" si="29">IF(K57&gt;0,(M57-K57)/K57,(IF(M57=0,"N/A",100%)))</f>
        <v>-1</v>
      </c>
      <c r="O57" s="1296">
        <v>0</v>
      </c>
      <c r="P57" s="1362" t="str">
        <f t="shared" ref="P57:P68" si="30">IF(M57&gt;0,(O57-M57)/M57,(IF(O57=0,"N/A",100%)))</f>
        <v>N/A</v>
      </c>
      <c r="Q57" s="1296">
        <v>0</v>
      </c>
      <c r="R57" s="1362" t="str">
        <f t="shared" ref="R57:R68" si="31">IF(O57&gt;0,(Q57-O57)/O57,(IF(Q57=0,"N/A",100%)))</f>
        <v>N/A</v>
      </c>
    </row>
    <row r="58" spans="1:18" ht="18" customHeight="1" x14ac:dyDescent="0.3">
      <c r="A58" s="552" t="s">
        <v>1629</v>
      </c>
      <c r="B58" s="1296">
        <v>0</v>
      </c>
      <c r="C58" s="1296">
        <v>0</v>
      </c>
      <c r="D58" s="1362" t="str">
        <f t="shared" si="24"/>
        <v>N/A</v>
      </c>
      <c r="E58" s="1296">
        <v>0</v>
      </c>
      <c r="F58" s="462" t="str">
        <f t="shared" si="25"/>
        <v>N/A</v>
      </c>
      <c r="G58" s="1296">
        <v>0</v>
      </c>
      <c r="H58" s="1362" t="str">
        <f t="shared" si="26"/>
        <v>N/A</v>
      </c>
      <c r="I58" s="1296">
        <v>0</v>
      </c>
      <c r="J58" s="462" t="str">
        <f t="shared" si="27"/>
        <v>N/A</v>
      </c>
      <c r="K58" s="1296">
        <v>0</v>
      </c>
      <c r="L58" s="462" t="str">
        <f t="shared" si="28"/>
        <v>N/A</v>
      </c>
      <c r="M58" s="1296">
        <v>0</v>
      </c>
      <c r="N58" s="462" t="str">
        <f t="shared" si="29"/>
        <v>N/A</v>
      </c>
      <c r="O58" s="1296">
        <v>0</v>
      </c>
      <c r="P58" s="1362" t="str">
        <f t="shared" si="30"/>
        <v>N/A</v>
      </c>
      <c r="Q58" s="1296">
        <v>0</v>
      </c>
      <c r="R58" s="1362" t="str">
        <f t="shared" si="31"/>
        <v>N/A</v>
      </c>
    </row>
    <row r="59" spans="1:18" ht="18" customHeight="1" x14ac:dyDescent="0.3">
      <c r="A59" s="552" t="s">
        <v>1565</v>
      </c>
      <c r="B59" s="1296">
        <v>0</v>
      </c>
      <c r="C59" s="1296">
        <v>0</v>
      </c>
      <c r="D59" s="1362" t="str">
        <f>IF(B59&gt;0,(C59-B59)/B59,(IF(C59=0,"N/A",100%)))</f>
        <v>N/A</v>
      </c>
      <c r="E59" s="1296">
        <v>0</v>
      </c>
      <c r="F59" s="462" t="str">
        <f>IF(C59&gt;0,(E59-C59)/C59,(IF(E59=0,"N/A",100%)))</f>
        <v>N/A</v>
      </c>
      <c r="G59" s="1296">
        <v>0</v>
      </c>
      <c r="H59" s="1362" t="str">
        <f>IF(E59&gt;0,(G59-E59)/E59,(IF(G59=0,"N/A",100%)))</f>
        <v>N/A</v>
      </c>
      <c r="I59" s="1296">
        <v>0</v>
      </c>
      <c r="J59" s="462" t="str">
        <f>IF(G59&gt;0,(I59-G59)/G59,(IF(I59=0,"N/A",100%)))</f>
        <v>N/A</v>
      </c>
      <c r="K59" s="1296">
        <v>2</v>
      </c>
      <c r="L59" s="462">
        <f>IF(I59&gt;0,(K59-I59)/I59,(IF(K59=0,"N/A",100%)))</f>
        <v>1</v>
      </c>
      <c r="M59" s="1296">
        <v>10</v>
      </c>
      <c r="N59" s="462">
        <f>IF(K59&gt;0,(M59-K59)/K59,(IF(M59=0,"N/A",100%)))</f>
        <v>4</v>
      </c>
      <c r="O59" s="1296">
        <v>7</v>
      </c>
      <c r="P59" s="1362">
        <f t="shared" si="30"/>
        <v>-0.3</v>
      </c>
      <c r="Q59" s="1296">
        <v>11</v>
      </c>
      <c r="R59" s="1362">
        <f t="shared" si="31"/>
        <v>0.5714285714285714</v>
      </c>
    </row>
    <row r="60" spans="1:18" ht="18" customHeight="1" x14ac:dyDescent="0.3">
      <c r="A60" s="552" t="s">
        <v>1573</v>
      </c>
      <c r="B60" s="1296">
        <v>0</v>
      </c>
      <c r="C60" s="1296">
        <v>0</v>
      </c>
      <c r="D60" s="1362" t="str">
        <f t="shared" si="24"/>
        <v>N/A</v>
      </c>
      <c r="E60" s="1296">
        <v>0</v>
      </c>
      <c r="F60" s="462" t="str">
        <f t="shared" si="25"/>
        <v>N/A</v>
      </c>
      <c r="G60" s="1296">
        <v>0</v>
      </c>
      <c r="H60" s="1362" t="str">
        <f t="shared" si="26"/>
        <v>N/A</v>
      </c>
      <c r="I60" s="1296">
        <v>0</v>
      </c>
      <c r="J60" s="462" t="str">
        <f t="shared" si="27"/>
        <v>N/A</v>
      </c>
      <c r="K60" s="1296">
        <v>0</v>
      </c>
      <c r="L60" s="462" t="str">
        <f t="shared" si="28"/>
        <v>N/A</v>
      </c>
      <c r="M60" s="1296">
        <v>6</v>
      </c>
      <c r="N60" s="462">
        <f t="shared" si="29"/>
        <v>1</v>
      </c>
      <c r="O60" s="1296">
        <v>6</v>
      </c>
      <c r="P60" s="1362">
        <f t="shared" si="30"/>
        <v>0</v>
      </c>
      <c r="Q60" s="1296">
        <v>4</v>
      </c>
      <c r="R60" s="1362">
        <f t="shared" si="31"/>
        <v>-0.33333333333333331</v>
      </c>
    </row>
    <row r="61" spans="1:18" ht="18" customHeight="1" x14ac:dyDescent="0.3">
      <c r="A61" s="552" t="s">
        <v>1574</v>
      </c>
      <c r="B61" s="1296">
        <v>0</v>
      </c>
      <c r="C61" s="1296">
        <v>0</v>
      </c>
      <c r="D61" s="1362" t="str">
        <f>IF(B61&gt;0,(C61-B61)/B61,(IF(C61=0,"N/A",100%)))</f>
        <v>N/A</v>
      </c>
      <c r="E61" s="1296">
        <v>0</v>
      </c>
      <c r="F61" s="462" t="str">
        <f>IF(C61&gt;0,(E61-C61)/C61,(IF(E61=0,"N/A",100%)))</f>
        <v>N/A</v>
      </c>
      <c r="G61" s="1296">
        <v>0</v>
      </c>
      <c r="H61" s="1362" t="str">
        <f>IF(E61&gt;0,(G61-E61)/E61,(IF(G61=0,"N/A",100%)))</f>
        <v>N/A</v>
      </c>
      <c r="I61" s="1296">
        <v>0</v>
      </c>
      <c r="J61" s="462" t="str">
        <f>IF(G61&gt;0,(I61-G61)/G61,(IF(I61=0,"N/A",100%)))</f>
        <v>N/A</v>
      </c>
      <c r="K61" s="1296">
        <v>0</v>
      </c>
      <c r="L61" s="462" t="str">
        <f>IF(I61&gt;0,(K61-I61)/I61,(IF(K61=0,"N/A",100%)))</f>
        <v>N/A</v>
      </c>
      <c r="M61" s="1296">
        <v>4</v>
      </c>
      <c r="N61" s="462">
        <f>IF(K61&gt;0,(M61-K61)/K61,(IF(M61=0,"N/A",100%)))</f>
        <v>1</v>
      </c>
      <c r="O61" s="1296">
        <v>5</v>
      </c>
      <c r="P61" s="1362">
        <f t="shared" si="30"/>
        <v>0.25</v>
      </c>
      <c r="Q61" s="1296">
        <v>9</v>
      </c>
      <c r="R61" s="1362">
        <f t="shared" si="31"/>
        <v>0.8</v>
      </c>
    </row>
    <row r="62" spans="1:18" ht="18" customHeight="1" x14ac:dyDescent="0.3">
      <c r="A62" s="552" t="s">
        <v>1126</v>
      </c>
      <c r="B62" s="1296">
        <v>0</v>
      </c>
      <c r="C62" s="1296">
        <v>0</v>
      </c>
      <c r="D62" s="1362" t="str">
        <f t="shared" si="24"/>
        <v>N/A</v>
      </c>
      <c r="E62" s="1296">
        <v>0</v>
      </c>
      <c r="F62" s="462" t="str">
        <f t="shared" si="25"/>
        <v>N/A</v>
      </c>
      <c r="G62" s="1296">
        <v>0</v>
      </c>
      <c r="H62" s="1362" t="str">
        <f t="shared" si="26"/>
        <v>N/A</v>
      </c>
      <c r="I62" s="1296">
        <v>0</v>
      </c>
      <c r="J62" s="462" t="str">
        <f t="shared" si="27"/>
        <v>N/A</v>
      </c>
      <c r="K62" s="1296">
        <v>16</v>
      </c>
      <c r="L62" s="462">
        <f t="shared" si="28"/>
        <v>1</v>
      </c>
      <c r="M62" s="1296">
        <v>0</v>
      </c>
      <c r="N62" s="462">
        <f t="shared" si="29"/>
        <v>-1</v>
      </c>
      <c r="O62" s="1296">
        <v>0</v>
      </c>
      <c r="P62" s="1362" t="str">
        <f t="shared" si="30"/>
        <v>N/A</v>
      </c>
      <c r="Q62" s="1296">
        <v>0</v>
      </c>
      <c r="R62" s="1362" t="str">
        <f t="shared" si="31"/>
        <v>N/A</v>
      </c>
    </row>
    <row r="63" spans="1:18" ht="18" customHeight="1" x14ac:dyDescent="0.3">
      <c r="A63" s="552" t="s">
        <v>1562</v>
      </c>
      <c r="B63" s="1296">
        <v>0</v>
      </c>
      <c r="C63" s="1296">
        <v>0</v>
      </c>
      <c r="D63" s="1362" t="str">
        <f t="shared" si="24"/>
        <v>N/A</v>
      </c>
      <c r="E63" s="1296">
        <v>0</v>
      </c>
      <c r="F63" s="462" t="str">
        <f t="shared" si="25"/>
        <v>N/A</v>
      </c>
      <c r="G63" s="1296">
        <v>0</v>
      </c>
      <c r="H63" s="1362" t="str">
        <f t="shared" si="26"/>
        <v>N/A</v>
      </c>
      <c r="I63" s="1296">
        <v>0</v>
      </c>
      <c r="J63" s="462" t="str">
        <f t="shared" si="27"/>
        <v>N/A</v>
      </c>
      <c r="K63" s="1296">
        <v>1</v>
      </c>
      <c r="L63" s="462">
        <f t="shared" si="28"/>
        <v>1</v>
      </c>
      <c r="M63" s="1296">
        <v>10</v>
      </c>
      <c r="N63" s="462">
        <f t="shared" si="29"/>
        <v>9</v>
      </c>
      <c r="O63" s="1296">
        <v>10</v>
      </c>
      <c r="P63" s="1362">
        <f t="shared" si="30"/>
        <v>0</v>
      </c>
      <c r="Q63" s="1296">
        <v>10</v>
      </c>
      <c r="R63" s="1362">
        <f t="shared" si="31"/>
        <v>0</v>
      </c>
    </row>
    <row r="64" spans="1:18" ht="18" customHeight="1" x14ac:dyDescent="0.3">
      <c r="A64" s="552" t="s">
        <v>1563</v>
      </c>
      <c r="B64" s="1296">
        <v>0</v>
      </c>
      <c r="C64" s="1296">
        <v>0</v>
      </c>
      <c r="D64" s="1362" t="str">
        <f t="shared" si="24"/>
        <v>N/A</v>
      </c>
      <c r="E64" s="1296">
        <v>0</v>
      </c>
      <c r="F64" s="462" t="str">
        <f t="shared" si="25"/>
        <v>N/A</v>
      </c>
      <c r="G64" s="1296">
        <v>0</v>
      </c>
      <c r="H64" s="1362" t="str">
        <f t="shared" si="26"/>
        <v>N/A</v>
      </c>
      <c r="I64" s="1296">
        <v>0</v>
      </c>
      <c r="J64" s="462" t="str">
        <f t="shared" si="27"/>
        <v>N/A</v>
      </c>
      <c r="K64" s="1296">
        <v>4</v>
      </c>
      <c r="L64" s="462">
        <f t="shared" si="28"/>
        <v>1</v>
      </c>
      <c r="M64" s="1296">
        <v>13</v>
      </c>
      <c r="N64" s="462">
        <f t="shared" si="29"/>
        <v>2.25</v>
      </c>
      <c r="O64" s="1296">
        <v>15</v>
      </c>
      <c r="P64" s="1362">
        <f t="shared" si="30"/>
        <v>0.15384615384615385</v>
      </c>
      <c r="Q64" s="1296">
        <v>15</v>
      </c>
      <c r="R64" s="1362">
        <f t="shared" si="31"/>
        <v>0</v>
      </c>
    </row>
    <row r="65" spans="1:18" ht="18" customHeight="1" x14ac:dyDescent="0.3">
      <c r="A65" s="552" t="s">
        <v>1564</v>
      </c>
      <c r="B65" s="1296">
        <v>0</v>
      </c>
      <c r="C65" s="1296">
        <v>0</v>
      </c>
      <c r="D65" s="1362" t="str">
        <f t="shared" si="24"/>
        <v>N/A</v>
      </c>
      <c r="E65" s="1296">
        <v>30</v>
      </c>
      <c r="F65" s="462">
        <f t="shared" si="25"/>
        <v>1</v>
      </c>
      <c r="G65" s="1296">
        <v>24</v>
      </c>
      <c r="H65" s="1362">
        <f t="shared" si="26"/>
        <v>-0.2</v>
      </c>
      <c r="I65" s="1296">
        <v>20</v>
      </c>
      <c r="J65" s="462">
        <f t="shared" si="27"/>
        <v>-0.16666666666666666</v>
      </c>
      <c r="K65" s="1296">
        <v>1</v>
      </c>
      <c r="L65" s="462">
        <f t="shared" si="28"/>
        <v>-0.95</v>
      </c>
      <c r="M65" s="1296">
        <v>3</v>
      </c>
      <c r="N65" s="462">
        <f t="shared" si="29"/>
        <v>2</v>
      </c>
      <c r="O65" s="1296">
        <v>1</v>
      </c>
      <c r="P65" s="1362">
        <f t="shared" si="30"/>
        <v>-0.66666666666666663</v>
      </c>
      <c r="Q65" s="1296">
        <v>1</v>
      </c>
      <c r="R65" s="1362">
        <f t="shared" si="31"/>
        <v>0</v>
      </c>
    </row>
    <row r="66" spans="1:18" ht="18" customHeight="1" x14ac:dyDescent="0.3">
      <c r="A66" s="552" t="s">
        <v>1630</v>
      </c>
      <c r="B66" s="1296">
        <v>0</v>
      </c>
      <c r="C66" s="1296">
        <v>0</v>
      </c>
      <c r="D66" s="1362" t="str">
        <f>IF(B66&gt;0,(C66-B66)/B66,(IF(C66=0,"N/A",100%)))</f>
        <v>N/A</v>
      </c>
      <c r="E66" s="1296">
        <v>0</v>
      </c>
      <c r="F66" s="462" t="str">
        <f>IF(C66&gt;0,(E66-C66)/C66,(IF(E66=0,"N/A",100%)))</f>
        <v>N/A</v>
      </c>
      <c r="G66" s="1296">
        <v>0</v>
      </c>
      <c r="H66" s="1362" t="str">
        <f>IF(E66&gt;0,(G66-E66)/E66,(IF(G66=0,"N/A",100%)))</f>
        <v>N/A</v>
      </c>
      <c r="I66" s="1296">
        <v>0</v>
      </c>
      <c r="J66" s="462" t="str">
        <f>IF(G66&gt;0,(I66-G66)/G66,(IF(I66=0,"N/A",100%)))</f>
        <v>N/A</v>
      </c>
      <c r="K66" s="1296">
        <v>0</v>
      </c>
      <c r="L66" s="462" t="str">
        <f>IF(I66&gt;0,(K66-I66)/I66,(IF(K66=0,"N/A",100%)))</f>
        <v>N/A</v>
      </c>
      <c r="M66" s="1296">
        <v>0</v>
      </c>
      <c r="N66" s="462" t="str">
        <f>IF(K66&gt;0,(M66-K66)/K66,(IF(M66=0,"N/A",100%)))</f>
        <v>N/A</v>
      </c>
      <c r="O66" s="1296">
        <v>0</v>
      </c>
      <c r="P66" s="1362" t="str">
        <f t="shared" si="30"/>
        <v>N/A</v>
      </c>
      <c r="Q66" s="1296">
        <v>0</v>
      </c>
      <c r="R66" s="1362" t="str">
        <f t="shared" si="31"/>
        <v>N/A</v>
      </c>
    </row>
    <row r="67" spans="1:18" ht="18" customHeight="1" x14ac:dyDescent="0.3">
      <c r="A67" s="553" t="s">
        <v>1015</v>
      </c>
      <c r="B67" s="1296">
        <f>SUM(B57:B65)</f>
        <v>44</v>
      </c>
      <c r="C67" s="1296">
        <f>SUM(C57:C65)</f>
        <v>49</v>
      </c>
      <c r="D67" s="1362">
        <f t="shared" si="24"/>
        <v>0.11363636363636363</v>
      </c>
      <c r="E67" s="1296">
        <f>SUM(E57:E65)</f>
        <v>44</v>
      </c>
      <c r="F67" s="462">
        <f t="shared" si="25"/>
        <v>-0.10204081632653061</v>
      </c>
      <c r="G67" s="1296">
        <f>SUM(G57:G65)</f>
        <v>43</v>
      </c>
      <c r="H67" s="1362">
        <f t="shared" si="26"/>
        <v>-2.2727272727272728E-2</v>
      </c>
      <c r="I67" s="1296">
        <f>SUM(I57:I65)</f>
        <v>39</v>
      </c>
      <c r="J67" s="462">
        <f t="shared" si="27"/>
        <v>-9.3023255813953487E-2</v>
      </c>
      <c r="K67" s="1296">
        <f>SUM(K57:K65)</f>
        <v>45</v>
      </c>
      <c r="L67" s="462">
        <f t="shared" si="28"/>
        <v>0.15384615384615385</v>
      </c>
      <c r="M67" s="1296">
        <f>SUM(M57:M66)</f>
        <v>46</v>
      </c>
      <c r="N67" s="462">
        <f t="shared" si="29"/>
        <v>2.2222222222222223E-2</v>
      </c>
      <c r="O67" s="1296">
        <f>SUM(O57:O66)</f>
        <v>44</v>
      </c>
      <c r="P67" s="1362">
        <f t="shared" si="30"/>
        <v>-4.3478260869565216E-2</v>
      </c>
      <c r="Q67" s="1296">
        <f>SUM(Q57:Q66)</f>
        <v>50</v>
      </c>
      <c r="R67" s="1362">
        <f t="shared" si="31"/>
        <v>0.13636363636363635</v>
      </c>
    </row>
    <row r="68" spans="1:18" ht="18" customHeight="1" thickBot="1" x14ac:dyDescent="0.35">
      <c r="A68" s="556" t="s">
        <v>423</v>
      </c>
      <c r="B68" s="545">
        <f>+B67+B55+B50+B46+B41</f>
        <v>334</v>
      </c>
      <c r="C68" s="545">
        <f>+C67+C55+C50+C46+C41</f>
        <v>377</v>
      </c>
      <c r="D68" s="1155">
        <f t="shared" si="24"/>
        <v>0.12874251497005987</v>
      </c>
      <c r="E68" s="545">
        <f>+E67+E55+E50+E46+E41</f>
        <v>441</v>
      </c>
      <c r="F68" s="1155">
        <f t="shared" si="25"/>
        <v>0.16976127320954906</v>
      </c>
      <c r="G68" s="545">
        <f>+G67+G55+G50+G46+G41</f>
        <v>462</v>
      </c>
      <c r="H68" s="1155">
        <f t="shared" si="26"/>
        <v>4.7619047619047616E-2</v>
      </c>
      <c r="I68" s="545">
        <f>+I67+I55+I50+I46+I41</f>
        <v>446</v>
      </c>
      <c r="J68" s="1155">
        <f t="shared" si="27"/>
        <v>-3.4632034632034632E-2</v>
      </c>
      <c r="K68" s="545">
        <f>+K67+K55+K50+K46+K41</f>
        <v>475</v>
      </c>
      <c r="L68" s="1155">
        <f t="shared" si="28"/>
        <v>6.5022421524663671E-2</v>
      </c>
      <c r="M68" s="545">
        <f>+M67+M55+M50+M46+M41</f>
        <v>433</v>
      </c>
      <c r="N68" s="1484">
        <f t="shared" si="29"/>
        <v>-8.8421052631578942E-2</v>
      </c>
      <c r="O68" s="545">
        <f>+O67+O55+O50+O46+O41</f>
        <v>391</v>
      </c>
      <c r="P68" s="1155">
        <f t="shared" si="30"/>
        <v>-9.6997690531177835E-2</v>
      </c>
      <c r="Q68" s="545">
        <f>+Q67+Q55+Q50+Q46+Q41</f>
        <v>396</v>
      </c>
      <c r="R68" s="1155">
        <f t="shared" si="31"/>
        <v>1.278772378516624E-2</v>
      </c>
    </row>
    <row r="69" spans="1:18" ht="20.25" customHeight="1" thickBot="1" x14ac:dyDescent="0.35">
      <c r="A69" s="2134" t="s">
        <v>424</v>
      </c>
      <c r="B69" s="2135"/>
      <c r="C69" s="2135"/>
      <c r="D69" s="2135"/>
      <c r="E69" s="2135"/>
      <c r="F69" s="2135"/>
      <c r="G69" s="2135"/>
      <c r="H69" s="2135"/>
      <c r="I69" s="2135"/>
      <c r="J69" s="2135"/>
      <c r="K69" s="2135"/>
      <c r="L69" s="2135"/>
      <c r="M69" s="2135"/>
      <c r="N69" s="2135"/>
      <c r="O69" s="2135"/>
      <c r="P69" s="2135"/>
      <c r="Q69" s="2135"/>
      <c r="R69" s="2136"/>
    </row>
    <row r="70" spans="1:18" ht="20.25" customHeight="1" x14ac:dyDescent="0.3">
      <c r="A70" s="549" t="s">
        <v>410</v>
      </c>
      <c r="B70" s="1358">
        <v>2007</v>
      </c>
      <c r="C70" s="1358">
        <f>B70+1</f>
        <v>2008</v>
      </c>
      <c r="D70" s="1359" t="s">
        <v>1100</v>
      </c>
      <c r="E70" s="1358">
        <f>C70+1</f>
        <v>2009</v>
      </c>
      <c r="F70" s="667" t="s">
        <v>1100</v>
      </c>
      <c r="G70" s="1358">
        <f>E70+1</f>
        <v>2010</v>
      </c>
      <c r="H70" s="1359" t="s">
        <v>1100</v>
      </c>
      <c r="I70" s="1358">
        <f>G70+1</f>
        <v>2011</v>
      </c>
      <c r="J70" s="667" t="s">
        <v>1100</v>
      </c>
      <c r="K70" s="1358">
        <f>I70+1</f>
        <v>2012</v>
      </c>
      <c r="L70" s="667" t="s">
        <v>1100</v>
      </c>
      <c r="M70" s="1358">
        <f>K70+1</f>
        <v>2013</v>
      </c>
      <c r="N70" s="667" t="s">
        <v>1100</v>
      </c>
      <c r="O70" s="1358">
        <f>M70+1</f>
        <v>2014</v>
      </c>
      <c r="P70" s="1359" t="s">
        <v>1100</v>
      </c>
      <c r="Q70" s="1358">
        <f>O70+1</f>
        <v>2015</v>
      </c>
      <c r="R70" s="1359" t="s">
        <v>1100</v>
      </c>
    </row>
    <row r="71" spans="1:18" ht="18" customHeight="1" x14ac:dyDescent="0.3">
      <c r="A71" s="551" t="s">
        <v>1024</v>
      </c>
      <c r="B71" s="1360"/>
      <c r="C71" s="1360"/>
      <c r="D71" s="1361"/>
      <c r="E71" s="1360"/>
      <c r="F71" s="460"/>
      <c r="G71" s="1360"/>
      <c r="H71" s="1361"/>
      <c r="I71" s="1360"/>
      <c r="J71" s="460"/>
      <c r="K71" s="1360"/>
      <c r="L71" s="460"/>
      <c r="M71" s="1360"/>
      <c r="N71" s="460"/>
      <c r="O71" s="1360"/>
      <c r="P71" s="1361"/>
      <c r="Q71" s="1360"/>
      <c r="R71" s="1361"/>
    </row>
    <row r="72" spans="1:18" ht="18" customHeight="1" x14ac:dyDescent="0.3">
      <c r="A72" s="552" t="s">
        <v>1165</v>
      </c>
      <c r="B72" s="1296">
        <v>10</v>
      </c>
      <c r="C72" s="1296">
        <v>17</v>
      </c>
      <c r="D72" s="1362">
        <f t="shared" ref="D72:D86" si="32">IF(B72&gt;0,(C72-B72)/B72,(IF(C72=0,"N/A",100%)))</f>
        <v>0.7</v>
      </c>
      <c r="E72" s="1296">
        <v>5</v>
      </c>
      <c r="F72" s="462">
        <f t="shared" ref="F72:F86" si="33">IF(C72&gt;0,(E72-C72)/C72,(IF(E72=0,"N/A",100%)))</f>
        <v>-0.70588235294117652</v>
      </c>
      <c r="G72" s="1296">
        <v>13</v>
      </c>
      <c r="H72" s="1362">
        <f t="shared" ref="H72:H86" si="34">IF(E72&gt;0,(G72-E72)/E72,(IF(G72=0,"N/A",100%)))</f>
        <v>1.6</v>
      </c>
      <c r="I72" s="1296">
        <v>5</v>
      </c>
      <c r="J72" s="462">
        <f t="shared" ref="J72:J86" si="35">IF(G72&gt;0,(I72-G72)/G72,(IF(I72=0,"N/A",100%)))</f>
        <v>-0.61538461538461542</v>
      </c>
      <c r="K72" s="1296">
        <v>7</v>
      </c>
      <c r="L72" s="462">
        <f t="shared" ref="L72:L86" si="36">IF(I72&gt;0,(K72-I72)/I72,(IF(K72=0,"N/A",100%)))</f>
        <v>0.4</v>
      </c>
      <c r="M72" s="1296">
        <v>5</v>
      </c>
      <c r="N72" s="462">
        <f t="shared" ref="N72:N86" si="37">IF(K72&gt;0,(M72-K72)/K72,(IF(M72=0,"N/A",100%)))</f>
        <v>-0.2857142857142857</v>
      </c>
      <c r="O72" s="1296">
        <v>4</v>
      </c>
      <c r="P72" s="1362">
        <f t="shared" ref="P72:P86" si="38">IF(M72&gt;0,(O72-M72)/M72,(IF(O72=0,"N/A",100%)))</f>
        <v>-0.2</v>
      </c>
      <c r="Q72" s="1296">
        <v>0</v>
      </c>
      <c r="R72" s="1362">
        <f t="shared" ref="R72:R86" si="39">IF(O72&gt;0,(Q72-O72)/O72,(IF(Q72=0,"N/A",100%)))</f>
        <v>-1</v>
      </c>
    </row>
    <row r="73" spans="1:18" ht="18" customHeight="1" x14ac:dyDescent="0.3">
      <c r="A73" s="552" t="s">
        <v>1166</v>
      </c>
      <c r="B73" s="1296">
        <v>145</v>
      </c>
      <c r="C73" s="1296">
        <v>142</v>
      </c>
      <c r="D73" s="1362">
        <f t="shared" si="32"/>
        <v>-2.0689655172413793E-2</v>
      </c>
      <c r="E73" s="1296">
        <v>162</v>
      </c>
      <c r="F73" s="462">
        <f t="shared" si="33"/>
        <v>0.14084507042253522</v>
      </c>
      <c r="G73" s="1296">
        <v>160</v>
      </c>
      <c r="H73" s="1362">
        <f t="shared" si="34"/>
        <v>-1.2345679012345678E-2</v>
      </c>
      <c r="I73" s="1296">
        <v>157</v>
      </c>
      <c r="J73" s="462">
        <f t="shared" si="35"/>
        <v>-1.8749999999999999E-2</v>
      </c>
      <c r="K73" s="1296">
        <v>142</v>
      </c>
      <c r="L73" s="462">
        <f t="shared" si="36"/>
        <v>-9.5541401273885357E-2</v>
      </c>
      <c r="M73" s="1296">
        <v>146</v>
      </c>
      <c r="N73" s="462">
        <f t="shared" si="37"/>
        <v>2.8169014084507043E-2</v>
      </c>
      <c r="O73" s="1296">
        <v>131</v>
      </c>
      <c r="P73" s="1362">
        <f t="shared" si="38"/>
        <v>-0.10273972602739725</v>
      </c>
      <c r="Q73" s="1296">
        <v>142</v>
      </c>
      <c r="R73" s="1362">
        <f t="shared" si="39"/>
        <v>8.3969465648854963E-2</v>
      </c>
    </row>
    <row r="74" spans="1:18" ht="18" customHeight="1" x14ac:dyDescent="0.3">
      <c r="A74" s="552" t="s">
        <v>523</v>
      </c>
      <c r="B74" s="1296">
        <v>5</v>
      </c>
      <c r="C74" s="1296">
        <v>6</v>
      </c>
      <c r="D74" s="1362">
        <f t="shared" si="32"/>
        <v>0.2</v>
      </c>
      <c r="E74" s="1296">
        <v>5</v>
      </c>
      <c r="F74" s="462">
        <f t="shared" si="33"/>
        <v>-0.16666666666666666</v>
      </c>
      <c r="G74" s="1296">
        <v>2</v>
      </c>
      <c r="H74" s="1362">
        <f t="shared" si="34"/>
        <v>-0.6</v>
      </c>
      <c r="I74" s="1296">
        <v>5</v>
      </c>
      <c r="J74" s="462">
        <f t="shared" si="35"/>
        <v>1.5</v>
      </c>
      <c r="K74" s="1296">
        <v>7</v>
      </c>
      <c r="L74" s="462">
        <f t="shared" si="36"/>
        <v>0.4</v>
      </c>
      <c r="M74" s="1296">
        <v>7</v>
      </c>
      <c r="N74" s="462">
        <f t="shared" si="37"/>
        <v>0</v>
      </c>
      <c r="O74" s="1296">
        <v>10</v>
      </c>
      <c r="P74" s="1362">
        <f t="shared" si="38"/>
        <v>0.42857142857142855</v>
      </c>
      <c r="Q74" s="1296">
        <v>9</v>
      </c>
      <c r="R74" s="1362">
        <f t="shared" si="39"/>
        <v>-0.1</v>
      </c>
    </row>
    <row r="75" spans="1:18" ht="18" customHeight="1" x14ac:dyDescent="0.3">
      <c r="A75" s="552" t="s">
        <v>1167</v>
      </c>
      <c r="B75" s="1296">
        <v>138</v>
      </c>
      <c r="C75" s="1296">
        <v>142</v>
      </c>
      <c r="D75" s="1362">
        <f t="shared" si="32"/>
        <v>2.8985507246376812E-2</v>
      </c>
      <c r="E75" s="1296">
        <v>180</v>
      </c>
      <c r="F75" s="462">
        <f t="shared" si="33"/>
        <v>0.26760563380281688</v>
      </c>
      <c r="G75" s="1296">
        <v>135</v>
      </c>
      <c r="H75" s="1362">
        <f t="shared" si="34"/>
        <v>-0.25</v>
      </c>
      <c r="I75" s="1296">
        <v>112</v>
      </c>
      <c r="J75" s="462">
        <f t="shared" si="35"/>
        <v>-0.17037037037037037</v>
      </c>
      <c r="K75" s="1296">
        <v>107</v>
      </c>
      <c r="L75" s="462">
        <f t="shared" si="36"/>
        <v>-4.4642857142857144E-2</v>
      </c>
      <c r="M75" s="1296">
        <v>89</v>
      </c>
      <c r="N75" s="462">
        <f t="shared" si="37"/>
        <v>-0.16822429906542055</v>
      </c>
      <c r="O75" s="1296">
        <v>87</v>
      </c>
      <c r="P75" s="1362">
        <f t="shared" si="38"/>
        <v>-2.247191011235955E-2</v>
      </c>
      <c r="Q75" s="1296">
        <v>101</v>
      </c>
      <c r="R75" s="1362">
        <f t="shared" si="39"/>
        <v>0.16091954022988506</v>
      </c>
    </row>
    <row r="76" spans="1:18" ht="18" customHeight="1" x14ac:dyDescent="0.3">
      <c r="A76" s="552" t="s">
        <v>1168</v>
      </c>
      <c r="B76" s="1296">
        <v>17</v>
      </c>
      <c r="C76" s="1296">
        <v>17</v>
      </c>
      <c r="D76" s="1362">
        <f t="shared" si="32"/>
        <v>0</v>
      </c>
      <c r="E76" s="1296">
        <v>2</v>
      </c>
      <c r="F76" s="462">
        <f t="shared" si="33"/>
        <v>-0.88235294117647056</v>
      </c>
      <c r="G76" s="1296">
        <v>1</v>
      </c>
      <c r="H76" s="1362">
        <f t="shared" si="34"/>
        <v>-0.5</v>
      </c>
      <c r="I76" s="1296">
        <v>2</v>
      </c>
      <c r="J76" s="462">
        <f t="shared" si="35"/>
        <v>1</v>
      </c>
      <c r="K76" s="1296">
        <v>0</v>
      </c>
      <c r="L76" s="462">
        <f t="shared" si="36"/>
        <v>-1</v>
      </c>
      <c r="M76" s="1296">
        <v>0</v>
      </c>
      <c r="N76" s="462" t="str">
        <f t="shared" si="37"/>
        <v>N/A</v>
      </c>
      <c r="O76" s="1296">
        <v>0</v>
      </c>
      <c r="P76" s="1362" t="str">
        <f t="shared" si="38"/>
        <v>N/A</v>
      </c>
      <c r="Q76" s="1296">
        <v>0</v>
      </c>
      <c r="R76" s="1362" t="str">
        <f t="shared" si="39"/>
        <v>N/A</v>
      </c>
    </row>
    <row r="77" spans="1:18" ht="18" customHeight="1" x14ac:dyDescent="0.3">
      <c r="A77" s="552" t="s">
        <v>873</v>
      </c>
      <c r="B77" s="1296">
        <v>0</v>
      </c>
      <c r="C77" s="1296">
        <v>7</v>
      </c>
      <c r="D77" s="1362">
        <f t="shared" si="32"/>
        <v>1</v>
      </c>
      <c r="E77" s="1296">
        <v>10</v>
      </c>
      <c r="F77" s="462">
        <f t="shared" si="33"/>
        <v>0.42857142857142855</v>
      </c>
      <c r="G77" s="1296">
        <v>8</v>
      </c>
      <c r="H77" s="1362">
        <f t="shared" si="34"/>
        <v>-0.2</v>
      </c>
      <c r="I77" s="1296">
        <v>8</v>
      </c>
      <c r="J77" s="462">
        <f t="shared" si="35"/>
        <v>0</v>
      </c>
      <c r="K77" s="1296">
        <v>1</v>
      </c>
      <c r="L77" s="462">
        <f t="shared" si="36"/>
        <v>-0.875</v>
      </c>
      <c r="M77" s="1296">
        <v>0</v>
      </c>
      <c r="N77" s="462">
        <f t="shared" si="37"/>
        <v>-1</v>
      </c>
      <c r="O77" s="1296">
        <v>0</v>
      </c>
      <c r="P77" s="1362" t="str">
        <f t="shared" si="38"/>
        <v>N/A</v>
      </c>
      <c r="Q77" s="1296">
        <v>0</v>
      </c>
      <c r="R77" s="1362" t="str">
        <f t="shared" si="39"/>
        <v>N/A</v>
      </c>
    </row>
    <row r="78" spans="1:18" ht="18" customHeight="1" x14ac:dyDescent="0.3">
      <c r="A78" s="552" t="s">
        <v>1557</v>
      </c>
      <c r="B78" s="1296">
        <v>0</v>
      </c>
      <c r="C78" s="1296">
        <v>0</v>
      </c>
      <c r="D78" s="1362" t="str">
        <f t="shared" si="32"/>
        <v>N/A</v>
      </c>
      <c r="E78" s="1296">
        <v>0</v>
      </c>
      <c r="F78" s="462" t="str">
        <f t="shared" si="33"/>
        <v>N/A</v>
      </c>
      <c r="G78" s="1296">
        <v>0</v>
      </c>
      <c r="H78" s="1362" t="str">
        <f t="shared" si="34"/>
        <v>N/A</v>
      </c>
      <c r="I78" s="1296">
        <v>0</v>
      </c>
      <c r="J78" s="462" t="str">
        <f t="shared" si="35"/>
        <v>N/A</v>
      </c>
      <c r="K78" s="1296">
        <v>7</v>
      </c>
      <c r="L78" s="462">
        <f t="shared" si="36"/>
        <v>1</v>
      </c>
      <c r="M78" s="1296">
        <v>6</v>
      </c>
      <c r="N78" s="462">
        <f t="shared" si="37"/>
        <v>-0.14285714285714285</v>
      </c>
      <c r="O78" s="1296">
        <v>4</v>
      </c>
      <c r="P78" s="1362">
        <f t="shared" si="38"/>
        <v>-0.33333333333333331</v>
      </c>
      <c r="Q78" s="1296">
        <v>10</v>
      </c>
      <c r="R78" s="1362">
        <f t="shared" si="39"/>
        <v>1.5</v>
      </c>
    </row>
    <row r="79" spans="1:18" ht="18" customHeight="1" x14ac:dyDescent="0.3">
      <c r="A79" s="552" t="s">
        <v>1558</v>
      </c>
      <c r="B79" s="1296">
        <v>0</v>
      </c>
      <c r="C79" s="1296">
        <v>0</v>
      </c>
      <c r="D79" s="1362" t="str">
        <f t="shared" si="32"/>
        <v>N/A</v>
      </c>
      <c r="E79" s="1296">
        <v>0</v>
      </c>
      <c r="F79" s="462" t="str">
        <f t="shared" si="33"/>
        <v>N/A</v>
      </c>
      <c r="G79" s="1296">
        <v>0</v>
      </c>
      <c r="H79" s="1362" t="str">
        <f t="shared" si="34"/>
        <v>N/A</v>
      </c>
      <c r="I79" s="1296">
        <v>0</v>
      </c>
      <c r="J79" s="462" t="str">
        <f t="shared" si="35"/>
        <v>N/A</v>
      </c>
      <c r="K79" s="1296">
        <v>9</v>
      </c>
      <c r="L79" s="462">
        <f t="shared" si="36"/>
        <v>1</v>
      </c>
      <c r="M79" s="1296">
        <v>18</v>
      </c>
      <c r="N79" s="462">
        <f t="shared" si="37"/>
        <v>1</v>
      </c>
      <c r="O79" s="1296">
        <v>7</v>
      </c>
      <c r="P79" s="1362">
        <f t="shared" si="38"/>
        <v>-0.61111111111111116</v>
      </c>
      <c r="Q79" s="1296">
        <v>2</v>
      </c>
      <c r="R79" s="1362">
        <f t="shared" si="39"/>
        <v>-0.7142857142857143</v>
      </c>
    </row>
    <row r="80" spans="1:18" ht="18" customHeight="1" x14ac:dyDescent="0.3">
      <c r="A80" s="552" t="s">
        <v>1559</v>
      </c>
      <c r="B80" s="1296">
        <v>0</v>
      </c>
      <c r="C80" s="1296">
        <v>0</v>
      </c>
      <c r="D80" s="1362" t="str">
        <f t="shared" si="32"/>
        <v>N/A</v>
      </c>
      <c r="E80" s="1296">
        <v>0</v>
      </c>
      <c r="F80" s="462" t="str">
        <f t="shared" si="33"/>
        <v>N/A</v>
      </c>
      <c r="G80" s="1296">
        <v>0</v>
      </c>
      <c r="H80" s="1362" t="str">
        <f t="shared" si="34"/>
        <v>N/A</v>
      </c>
      <c r="I80" s="1296">
        <v>0</v>
      </c>
      <c r="J80" s="462" t="str">
        <f t="shared" si="35"/>
        <v>N/A</v>
      </c>
      <c r="K80" s="1296">
        <v>6</v>
      </c>
      <c r="L80" s="462">
        <f t="shared" si="36"/>
        <v>1</v>
      </c>
      <c r="M80" s="1296">
        <v>7</v>
      </c>
      <c r="N80" s="462">
        <f t="shared" si="37"/>
        <v>0.16666666666666666</v>
      </c>
      <c r="O80" s="1296">
        <v>6</v>
      </c>
      <c r="P80" s="1362">
        <f t="shared" si="38"/>
        <v>-0.14285714285714285</v>
      </c>
      <c r="Q80" s="1296">
        <v>6</v>
      </c>
      <c r="R80" s="1362">
        <f t="shared" si="39"/>
        <v>0</v>
      </c>
    </row>
    <row r="81" spans="1:18" ht="18" customHeight="1" x14ac:dyDescent="0.3">
      <c r="A81" s="552" t="s">
        <v>1560</v>
      </c>
      <c r="B81" s="1296">
        <v>0</v>
      </c>
      <c r="C81" s="1296">
        <v>0</v>
      </c>
      <c r="D81" s="1362" t="str">
        <f t="shared" si="32"/>
        <v>N/A</v>
      </c>
      <c r="E81" s="1296">
        <v>0</v>
      </c>
      <c r="F81" s="462" t="str">
        <f t="shared" si="33"/>
        <v>N/A</v>
      </c>
      <c r="G81" s="1296">
        <v>0</v>
      </c>
      <c r="H81" s="1362" t="str">
        <f t="shared" si="34"/>
        <v>N/A</v>
      </c>
      <c r="I81" s="1296">
        <v>0</v>
      </c>
      <c r="J81" s="462" t="str">
        <f t="shared" si="35"/>
        <v>N/A</v>
      </c>
      <c r="K81" s="1296">
        <v>2</v>
      </c>
      <c r="L81" s="462">
        <f t="shared" si="36"/>
        <v>1</v>
      </c>
      <c r="M81" s="1296">
        <v>2</v>
      </c>
      <c r="N81" s="462">
        <f t="shared" si="37"/>
        <v>0</v>
      </c>
      <c r="O81" s="1296">
        <v>0</v>
      </c>
      <c r="P81" s="1362">
        <f t="shared" si="38"/>
        <v>-1</v>
      </c>
      <c r="Q81" s="1296">
        <v>1</v>
      </c>
      <c r="R81" s="1362">
        <f t="shared" si="39"/>
        <v>1</v>
      </c>
    </row>
    <row r="82" spans="1:18" ht="18" customHeight="1" x14ac:dyDescent="0.3">
      <c r="A82" s="552" t="s">
        <v>1561</v>
      </c>
      <c r="B82" s="1296">
        <v>0</v>
      </c>
      <c r="C82" s="1296">
        <v>0</v>
      </c>
      <c r="D82" s="1362" t="str">
        <f t="shared" si="32"/>
        <v>N/A</v>
      </c>
      <c r="E82" s="1296">
        <v>0</v>
      </c>
      <c r="F82" s="462" t="str">
        <f t="shared" si="33"/>
        <v>N/A</v>
      </c>
      <c r="G82" s="1296">
        <v>0</v>
      </c>
      <c r="H82" s="1362" t="str">
        <f t="shared" si="34"/>
        <v>N/A</v>
      </c>
      <c r="I82" s="1296">
        <v>0</v>
      </c>
      <c r="J82" s="462" t="str">
        <f t="shared" si="35"/>
        <v>N/A</v>
      </c>
      <c r="K82" s="1296">
        <v>6</v>
      </c>
      <c r="L82" s="462">
        <f t="shared" si="36"/>
        <v>1</v>
      </c>
      <c r="M82" s="1296">
        <v>7</v>
      </c>
      <c r="N82" s="462">
        <f t="shared" si="37"/>
        <v>0.16666666666666666</v>
      </c>
      <c r="O82" s="1296">
        <v>9</v>
      </c>
      <c r="P82" s="1362">
        <f t="shared" si="38"/>
        <v>0.2857142857142857</v>
      </c>
      <c r="Q82" s="1296">
        <v>6</v>
      </c>
      <c r="R82" s="1362">
        <f t="shared" si="39"/>
        <v>-0.33333333333333331</v>
      </c>
    </row>
    <row r="83" spans="1:18" ht="18" customHeight="1" x14ac:dyDescent="0.3">
      <c r="A83" s="552" t="s">
        <v>922</v>
      </c>
      <c r="B83" s="1296">
        <v>0</v>
      </c>
      <c r="C83" s="1296">
        <v>0</v>
      </c>
      <c r="D83" s="1362" t="str">
        <f t="shared" si="32"/>
        <v>N/A</v>
      </c>
      <c r="E83" s="1296">
        <v>0</v>
      </c>
      <c r="F83" s="462" t="str">
        <f t="shared" si="33"/>
        <v>N/A</v>
      </c>
      <c r="G83" s="1296">
        <v>0</v>
      </c>
      <c r="H83" s="1362" t="str">
        <f t="shared" si="34"/>
        <v>N/A</v>
      </c>
      <c r="I83" s="1296">
        <v>0</v>
      </c>
      <c r="J83" s="462" t="str">
        <f t="shared" si="35"/>
        <v>N/A</v>
      </c>
      <c r="K83" s="1296">
        <v>0</v>
      </c>
      <c r="L83" s="462" t="str">
        <f t="shared" si="36"/>
        <v>N/A</v>
      </c>
      <c r="M83" s="1296">
        <v>0</v>
      </c>
      <c r="N83" s="462" t="str">
        <f t="shared" si="37"/>
        <v>N/A</v>
      </c>
      <c r="O83" s="1296">
        <v>0</v>
      </c>
      <c r="P83" s="1362" t="str">
        <f t="shared" si="38"/>
        <v>N/A</v>
      </c>
      <c r="Q83" s="1296">
        <v>0</v>
      </c>
      <c r="R83" s="1362" t="str">
        <f t="shared" si="39"/>
        <v>N/A</v>
      </c>
    </row>
    <row r="84" spans="1:18" ht="18" customHeight="1" x14ac:dyDescent="0.3">
      <c r="A84" s="552" t="s">
        <v>1169</v>
      </c>
      <c r="B84" s="1296">
        <v>45</v>
      </c>
      <c r="C84" s="1296">
        <v>48</v>
      </c>
      <c r="D84" s="1362">
        <f t="shared" si="32"/>
        <v>6.6666666666666666E-2</v>
      </c>
      <c r="E84" s="1296">
        <v>45</v>
      </c>
      <c r="F84" s="462">
        <f t="shared" si="33"/>
        <v>-6.25E-2</v>
      </c>
      <c r="G84" s="1296">
        <v>52</v>
      </c>
      <c r="H84" s="1362">
        <f t="shared" si="34"/>
        <v>0.15555555555555556</v>
      </c>
      <c r="I84" s="1296">
        <v>64</v>
      </c>
      <c r="J84" s="462">
        <f t="shared" si="35"/>
        <v>0.23076923076923078</v>
      </c>
      <c r="K84" s="1296">
        <v>62</v>
      </c>
      <c r="L84" s="462">
        <f t="shared" si="36"/>
        <v>-3.125E-2</v>
      </c>
      <c r="M84" s="1296">
        <v>60</v>
      </c>
      <c r="N84" s="462">
        <f t="shared" si="37"/>
        <v>-3.2258064516129031E-2</v>
      </c>
      <c r="O84" s="1296">
        <v>68</v>
      </c>
      <c r="P84" s="1362">
        <f t="shared" si="38"/>
        <v>0.13333333333333333</v>
      </c>
      <c r="Q84" s="1296">
        <v>69</v>
      </c>
      <c r="R84" s="1362">
        <f t="shared" si="39"/>
        <v>1.4705882352941176E-2</v>
      </c>
    </row>
    <row r="85" spans="1:18" ht="18" customHeight="1" x14ac:dyDescent="0.3">
      <c r="A85" s="552" t="s">
        <v>1760</v>
      </c>
      <c r="B85" s="1296">
        <v>21</v>
      </c>
      <c r="C85" s="1296">
        <v>33</v>
      </c>
      <c r="D85" s="1362">
        <f t="shared" si="32"/>
        <v>0.5714285714285714</v>
      </c>
      <c r="E85" s="1296">
        <v>32</v>
      </c>
      <c r="F85" s="462">
        <f t="shared" si="33"/>
        <v>-3.0303030303030304E-2</v>
      </c>
      <c r="G85" s="1296">
        <v>42</v>
      </c>
      <c r="H85" s="1362">
        <f t="shared" si="34"/>
        <v>0.3125</v>
      </c>
      <c r="I85" s="1296">
        <v>16</v>
      </c>
      <c r="J85" s="462">
        <f t="shared" si="35"/>
        <v>-0.61904761904761907</v>
      </c>
      <c r="K85" s="1296">
        <v>42</v>
      </c>
      <c r="L85" s="462">
        <f t="shared" si="36"/>
        <v>1.625</v>
      </c>
      <c r="M85" s="1296">
        <v>40</v>
      </c>
      <c r="N85" s="462">
        <f t="shared" si="37"/>
        <v>-4.7619047619047616E-2</v>
      </c>
      <c r="O85" s="1296">
        <v>30</v>
      </c>
      <c r="P85" s="1362">
        <f t="shared" si="38"/>
        <v>-0.25</v>
      </c>
      <c r="Q85" s="1296">
        <v>7</v>
      </c>
      <c r="R85" s="1362">
        <f t="shared" si="39"/>
        <v>-0.76666666666666672</v>
      </c>
    </row>
    <row r="86" spans="1:18" ht="18" customHeight="1" x14ac:dyDescent="0.3">
      <c r="A86" s="553" t="s">
        <v>1015</v>
      </c>
      <c r="B86" s="1296">
        <f>SUM(B72:B85)</f>
        <v>381</v>
      </c>
      <c r="C86" s="1296">
        <f>SUM(C72:C85)</f>
        <v>412</v>
      </c>
      <c r="D86" s="1362">
        <f t="shared" si="32"/>
        <v>8.1364829396325458E-2</v>
      </c>
      <c r="E86" s="1296">
        <f>SUM(E72:E85)</f>
        <v>441</v>
      </c>
      <c r="F86" s="462">
        <f t="shared" si="33"/>
        <v>7.0388349514563103E-2</v>
      </c>
      <c r="G86" s="1296">
        <f>SUM(G72:G85)</f>
        <v>413</v>
      </c>
      <c r="H86" s="1362">
        <f t="shared" si="34"/>
        <v>-6.3492063492063489E-2</v>
      </c>
      <c r="I86" s="1296">
        <f>SUM(I72:I85)</f>
        <v>369</v>
      </c>
      <c r="J86" s="462">
        <f t="shared" si="35"/>
        <v>-0.10653753026634383</v>
      </c>
      <c r="K86" s="1296">
        <f>SUM(K72:K85)</f>
        <v>398</v>
      </c>
      <c r="L86" s="462">
        <f t="shared" si="36"/>
        <v>7.8590785907859076E-2</v>
      </c>
      <c r="M86" s="1296">
        <f>SUM(M72:M85)</f>
        <v>387</v>
      </c>
      <c r="N86" s="462">
        <f t="shared" si="37"/>
        <v>-2.7638190954773871E-2</v>
      </c>
      <c r="O86" s="1296">
        <f>SUM(O72:O85)</f>
        <v>356</v>
      </c>
      <c r="P86" s="1362">
        <f t="shared" si="38"/>
        <v>-8.0103359173126609E-2</v>
      </c>
      <c r="Q86" s="1296">
        <f>SUM(Q72:Q85)</f>
        <v>353</v>
      </c>
      <c r="R86" s="1362">
        <f t="shared" si="39"/>
        <v>-8.4269662921348312E-3</v>
      </c>
    </row>
    <row r="87" spans="1:18" ht="18" customHeight="1" x14ac:dyDescent="0.3">
      <c r="A87" s="551" t="s">
        <v>425</v>
      </c>
      <c r="B87" s="1360"/>
      <c r="C87" s="1360"/>
      <c r="D87" s="1361"/>
      <c r="E87" s="1360"/>
      <c r="F87" s="460"/>
      <c r="G87" s="1360"/>
      <c r="H87" s="1361"/>
      <c r="I87" s="1360"/>
      <c r="J87" s="460"/>
      <c r="K87" s="1360"/>
      <c r="L87" s="460"/>
      <c r="M87" s="1360"/>
      <c r="N87" s="460"/>
      <c r="O87" s="1360"/>
      <c r="P87" s="1361"/>
      <c r="Q87" s="1360"/>
      <c r="R87" s="1361"/>
    </row>
    <row r="88" spans="1:18" ht="18" customHeight="1" x14ac:dyDescent="0.3">
      <c r="A88" s="552" t="s">
        <v>611</v>
      </c>
      <c r="B88" s="1296">
        <f>39+1</f>
        <v>40</v>
      </c>
      <c r="C88" s="1296">
        <v>42</v>
      </c>
      <c r="D88" s="1362">
        <f t="shared" ref="D88:D94" si="40">IF(B88&gt;0,(C88-B88)/B88,(IF(C88=0,"N/A",100%)))</f>
        <v>0.05</v>
      </c>
      <c r="E88" s="1296">
        <v>46</v>
      </c>
      <c r="F88" s="462">
        <f t="shared" ref="F88:F94" si="41">IF(C88&gt;0,(E88-C88)/C88,(IF(E88=0,"N/A",100%)))</f>
        <v>9.5238095238095233E-2</v>
      </c>
      <c r="G88" s="1296">
        <v>49</v>
      </c>
      <c r="H88" s="1362">
        <f t="shared" ref="H88:H94" si="42">IF(E88&gt;0,(G88-E88)/E88,(IF(G88=0,"N/A",100%)))</f>
        <v>6.5217391304347824E-2</v>
      </c>
      <c r="I88" s="1296">
        <v>53</v>
      </c>
      <c r="J88" s="462">
        <f t="shared" ref="J88:J94" si="43">IF(G88&gt;0,(I88-G88)/G88,(IF(I88=0,"N/A",100%)))</f>
        <v>8.1632653061224483E-2</v>
      </c>
      <c r="K88" s="1296">
        <v>46</v>
      </c>
      <c r="L88" s="462">
        <f t="shared" ref="L88:L94" si="44">IF(I88&gt;0,(K88-I88)/I88,(IF(K88=0,"N/A",100%)))</f>
        <v>-0.13207547169811321</v>
      </c>
      <c r="M88" s="1296">
        <v>14</v>
      </c>
      <c r="N88" s="462">
        <f t="shared" ref="N88:N94" si="45">IF(K88&gt;0,(M88-K88)/K88,(IF(M88=0,"N/A",100%)))</f>
        <v>-0.69565217391304346</v>
      </c>
      <c r="O88" s="1296">
        <v>7</v>
      </c>
      <c r="P88" s="1362">
        <f t="shared" ref="P88:P94" si="46">IF(M88&gt;0,(O88-M88)/M88,(IF(O88=0,"N/A",100%)))</f>
        <v>-0.5</v>
      </c>
      <c r="Q88" s="1296">
        <v>1</v>
      </c>
      <c r="R88" s="1362">
        <f t="shared" ref="R88:R94" si="47">IF(O88&gt;0,(Q88-O88)/O88,(IF(Q88=0,"N/A",100%)))</f>
        <v>-0.8571428571428571</v>
      </c>
    </row>
    <row r="89" spans="1:18" ht="18" customHeight="1" x14ac:dyDescent="0.3">
      <c r="A89" s="552" t="s">
        <v>1196</v>
      </c>
      <c r="B89" s="1296">
        <v>102</v>
      </c>
      <c r="C89" s="1296">
        <v>127</v>
      </c>
      <c r="D89" s="1362">
        <f t="shared" si="40"/>
        <v>0.24509803921568626</v>
      </c>
      <c r="E89" s="1296">
        <v>143</v>
      </c>
      <c r="F89" s="462">
        <f t="shared" si="41"/>
        <v>0.12598425196850394</v>
      </c>
      <c r="G89" s="1296">
        <v>192</v>
      </c>
      <c r="H89" s="1362">
        <f t="shared" si="42"/>
        <v>0.34265734265734266</v>
      </c>
      <c r="I89" s="1296">
        <v>182</v>
      </c>
      <c r="J89" s="462">
        <f t="shared" si="43"/>
        <v>-5.2083333333333336E-2</v>
      </c>
      <c r="K89" s="1296">
        <v>198</v>
      </c>
      <c r="L89" s="462">
        <f t="shared" si="44"/>
        <v>8.7912087912087919E-2</v>
      </c>
      <c r="M89" s="1296">
        <v>238</v>
      </c>
      <c r="N89" s="462">
        <f t="shared" si="45"/>
        <v>0.20202020202020202</v>
      </c>
      <c r="O89" s="1296">
        <v>223</v>
      </c>
      <c r="P89" s="1362">
        <f t="shared" si="46"/>
        <v>-6.3025210084033612E-2</v>
      </c>
      <c r="Q89" s="1296">
        <v>215</v>
      </c>
      <c r="R89" s="1362">
        <f t="shared" si="47"/>
        <v>-3.5874439461883408E-2</v>
      </c>
    </row>
    <row r="90" spans="1:18" ht="18" customHeight="1" x14ac:dyDescent="0.3">
      <c r="A90" s="552" t="s">
        <v>1147</v>
      </c>
      <c r="B90" s="1296">
        <v>0</v>
      </c>
      <c r="C90" s="1296">
        <v>0</v>
      </c>
      <c r="D90" s="1362" t="str">
        <f t="shared" si="40"/>
        <v>N/A</v>
      </c>
      <c r="E90" s="1296">
        <v>0</v>
      </c>
      <c r="F90" s="462" t="str">
        <f t="shared" si="41"/>
        <v>N/A</v>
      </c>
      <c r="G90" s="1296">
        <v>0</v>
      </c>
      <c r="H90" s="1362" t="str">
        <f t="shared" si="42"/>
        <v>N/A</v>
      </c>
      <c r="I90" s="1296">
        <v>0</v>
      </c>
      <c r="J90" s="462" t="str">
        <f t="shared" si="43"/>
        <v>N/A</v>
      </c>
      <c r="K90" s="1296">
        <v>0</v>
      </c>
      <c r="L90" s="462" t="str">
        <f t="shared" si="44"/>
        <v>N/A</v>
      </c>
      <c r="M90" s="1296">
        <v>0</v>
      </c>
      <c r="N90" s="462" t="str">
        <f t="shared" si="45"/>
        <v>N/A</v>
      </c>
      <c r="O90" s="1296">
        <v>0</v>
      </c>
      <c r="P90" s="1362" t="str">
        <f t="shared" si="46"/>
        <v>N/A</v>
      </c>
      <c r="Q90" s="1296">
        <v>0</v>
      </c>
      <c r="R90" s="1362" t="str">
        <f t="shared" si="47"/>
        <v>N/A</v>
      </c>
    </row>
    <row r="91" spans="1:18" ht="18" customHeight="1" x14ac:dyDescent="0.3">
      <c r="A91" s="552" t="s">
        <v>1148</v>
      </c>
      <c r="B91" s="1296">
        <v>0</v>
      </c>
      <c r="C91" s="1296">
        <v>0</v>
      </c>
      <c r="D91" s="1362" t="str">
        <f t="shared" si="40"/>
        <v>N/A</v>
      </c>
      <c r="E91" s="1296">
        <v>1</v>
      </c>
      <c r="F91" s="462">
        <f t="shared" si="41"/>
        <v>1</v>
      </c>
      <c r="G91" s="1296">
        <v>1</v>
      </c>
      <c r="H91" s="1362">
        <f t="shared" si="42"/>
        <v>0</v>
      </c>
      <c r="I91" s="1296">
        <v>0</v>
      </c>
      <c r="J91" s="462">
        <f t="shared" si="43"/>
        <v>-1</v>
      </c>
      <c r="K91" s="1296">
        <v>0</v>
      </c>
      <c r="L91" s="462" t="str">
        <f t="shared" si="44"/>
        <v>N/A</v>
      </c>
      <c r="M91" s="1296">
        <v>0</v>
      </c>
      <c r="N91" s="462" t="str">
        <f t="shared" si="45"/>
        <v>N/A</v>
      </c>
      <c r="O91" s="1296">
        <v>0</v>
      </c>
      <c r="P91" s="1362" t="str">
        <f t="shared" si="46"/>
        <v>N/A</v>
      </c>
      <c r="Q91" s="1296">
        <v>0</v>
      </c>
      <c r="R91" s="1362" t="str">
        <f t="shared" si="47"/>
        <v>N/A</v>
      </c>
    </row>
    <row r="92" spans="1:18" ht="18" customHeight="1" x14ac:dyDescent="0.3">
      <c r="A92" s="552" t="s">
        <v>1150</v>
      </c>
      <c r="B92" s="1296">
        <v>52</v>
      </c>
      <c r="C92" s="1296">
        <v>56</v>
      </c>
      <c r="D92" s="1362">
        <f t="shared" si="40"/>
        <v>7.6923076923076927E-2</v>
      </c>
      <c r="E92" s="1296">
        <v>65</v>
      </c>
      <c r="F92" s="462">
        <f t="shared" si="41"/>
        <v>0.16071428571428573</v>
      </c>
      <c r="G92" s="1296">
        <v>60</v>
      </c>
      <c r="H92" s="1362">
        <f t="shared" si="42"/>
        <v>-7.6923076923076927E-2</v>
      </c>
      <c r="I92" s="1296">
        <v>57</v>
      </c>
      <c r="J92" s="462">
        <f t="shared" si="43"/>
        <v>-0.05</v>
      </c>
      <c r="K92" s="1296">
        <v>40</v>
      </c>
      <c r="L92" s="462">
        <f t="shared" si="44"/>
        <v>-0.2982456140350877</v>
      </c>
      <c r="M92" s="1296">
        <v>42</v>
      </c>
      <c r="N92" s="462">
        <f t="shared" si="45"/>
        <v>0.05</v>
      </c>
      <c r="O92" s="1296">
        <v>50</v>
      </c>
      <c r="P92" s="1362">
        <f t="shared" si="46"/>
        <v>0.19047619047619047</v>
      </c>
      <c r="Q92" s="1296">
        <v>36</v>
      </c>
      <c r="R92" s="1362">
        <f t="shared" si="47"/>
        <v>-0.28000000000000003</v>
      </c>
    </row>
    <row r="93" spans="1:18" ht="18" customHeight="1" x14ac:dyDescent="0.3">
      <c r="A93" s="552" t="s">
        <v>25</v>
      </c>
      <c r="B93" s="1296">
        <v>0</v>
      </c>
      <c r="C93" s="1296">
        <v>0</v>
      </c>
      <c r="D93" s="1362" t="str">
        <f t="shared" si="40"/>
        <v>N/A</v>
      </c>
      <c r="E93" s="1296">
        <v>0</v>
      </c>
      <c r="F93" s="462" t="str">
        <f t="shared" si="41"/>
        <v>N/A</v>
      </c>
      <c r="G93" s="1296">
        <v>0</v>
      </c>
      <c r="H93" s="1362" t="str">
        <f t="shared" si="42"/>
        <v>N/A</v>
      </c>
      <c r="I93" s="1296">
        <v>0</v>
      </c>
      <c r="J93" s="462" t="str">
        <f t="shared" si="43"/>
        <v>N/A</v>
      </c>
      <c r="K93" s="1296">
        <v>0</v>
      </c>
      <c r="L93" s="462" t="str">
        <f t="shared" si="44"/>
        <v>N/A</v>
      </c>
      <c r="M93" s="1296">
        <v>0</v>
      </c>
      <c r="N93" s="462" t="str">
        <f t="shared" si="45"/>
        <v>N/A</v>
      </c>
      <c r="O93" s="1296">
        <v>0</v>
      </c>
      <c r="P93" s="1362" t="str">
        <f t="shared" si="46"/>
        <v>N/A</v>
      </c>
      <c r="Q93" s="1296">
        <v>0</v>
      </c>
      <c r="R93" s="1362" t="str">
        <f t="shared" si="47"/>
        <v>N/A</v>
      </c>
    </row>
    <row r="94" spans="1:18" ht="18" customHeight="1" x14ac:dyDescent="0.3">
      <c r="A94" s="553" t="s">
        <v>1015</v>
      </c>
      <c r="B94" s="1296">
        <f>SUM(B88:B93)</f>
        <v>194</v>
      </c>
      <c r="C94" s="1296">
        <f>SUM(C88:C93)</f>
        <v>225</v>
      </c>
      <c r="D94" s="1362">
        <f t="shared" si="40"/>
        <v>0.15979381443298968</v>
      </c>
      <c r="E94" s="1296">
        <f>SUM(E88:E93)</f>
        <v>255</v>
      </c>
      <c r="F94" s="462">
        <f t="shared" si="41"/>
        <v>0.13333333333333333</v>
      </c>
      <c r="G94" s="1296">
        <f>SUM(G88:G93)</f>
        <v>302</v>
      </c>
      <c r="H94" s="1362">
        <f t="shared" si="42"/>
        <v>0.18431372549019609</v>
      </c>
      <c r="I94" s="1296">
        <f>SUM(I88:I93)</f>
        <v>292</v>
      </c>
      <c r="J94" s="462">
        <f t="shared" si="43"/>
        <v>-3.3112582781456956E-2</v>
      </c>
      <c r="K94" s="1296">
        <f>SUM(K88:K93)</f>
        <v>284</v>
      </c>
      <c r="L94" s="462">
        <f t="shared" si="44"/>
        <v>-2.7397260273972601E-2</v>
      </c>
      <c r="M94" s="1296">
        <f>SUM(M88:M93)</f>
        <v>294</v>
      </c>
      <c r="N94" s="462">
        <f t="shared" si="45"/>
        <v>3.5211267605633804E-2</v>
      </c>
      <c r="O94" s="1296">
        <f>SUM(O88:O93)</f>
        <v>280</v>
      </c>
      <c r="P94" s="1362">
        <f t="shared" si="46"/>
        <v>-4.7619047619047616E-2</v>
      </c>
      <c r="Q94" s="1296">
        <f>SUM(Q88:Q93)</f>
        <v>252</v>
      </c>
      <c r="R94" s="1362">
        <f t="shared" si="47"/>
        <v>-0.1</v>
      </c>
    </row>
    <row r="95" spans="1:18" ht="18" customHeight="1" x14ac:dyDescent="0.3">
      <c r="A95" s="551" t="s">
        <v>426</v>
      </c>
      <c r="B95" s="1360"/>
      <c r="C95" s="1360"/>
      <c r="D95" s="1361"/>
      <c r="E95" s="1360"/>
      <c r="F95" s="460"/>
      <c r="G95" s="1360"/>
      <c r="H95" s="1361"/>
      <c r="I95" s="1360"/>
      <c r="J95" s="460"/>
      <c r="K95" s="1360"/>
      <c r="L95" s="460"/>
      <c r="M95" s="1360"/>
      <c r="N95" s="460"/>
      <c r="O95" s="1360"/>
      <c r="P95" s="1361"/>
      <c r="Q95" s="1360"/>
      <c r="R95" s="1361"/>
    </row>
    <row r="96" spans="1:18" ht="18" customHeight="1" x14ac:dyDescent="0.3">
      <c r="A96" s="552" t="s">
        <v>1101</v>
      </c>
      <c r="B96" s="1296">
        <v>67</v>
      </c>
      <c r="C96" s="1296">
        <v>55</v>
      </c>
      <c r="D96" s="1362">
        <f t="shared" ref="D96:D102" si="48">IF(B96&gt;0,(C96-B96)/B96,(IF(C96=0,"N/A",100%)))</f>
        <v>-0.17910447761194029</v>
      </c>
      <c r="E96" s="1296">
        <v>74</v>
      </c>
      <c r="F96" s="462">
        <f t="shared" ref="F96:F102" si="49">IF(C96&gt;0,(E96-C96)/C96,(IF(E96=0,"N/A",100%)))</f>
        <v>0.34545454545454546</v>
      </c>
      <c r="G96" s="1296">
        <v>71</v>
      </c>
      <c r="H96" s="1362">
        <f t="shared" ref="H96:H102" si="50">IF(E96&gt;0,(G96-E96)/E96,(IF(G96=0,"N/A",100%)))</f>
        <v>-4.0540540540540543E-2</v>
      </c>
      <c r="I96" s="1296">
        <v>125</v>
      </c>
      <c r="J96" s="462">
        <f t="shared" ref="J96:J102" si="51">IF(G96&gt;0,(I96-G96)/G96,(IF(I96=0,"N/A",100%)))</f>
        <v>0.76056338028169013</v>
      </c>
      <c r="K96" s="1296">
        <v>141</v>
      </c>
      <c r="L96" s="462">
        <f t="shared" ref="L96:L102" si="52">IF(I96&gt;0,(K96-I96)/I96,(IF(K96=0,"N/A",100%)))</f>
        <v>0.128</v>
      </c>
      <c r="M96" s="1296">
        <v>141</v>
      </c>
      <c r="N96" s="462">
        <f t="shared" ref="N96:N102" si="53">IF(K96&gt;0,(M96-K96)/K96,(IF(M96=0,"N/A",100%)))</f>
        <v>0</v>
      </c>
      <c r="O96" s="1296">
        <v>145</v>
      </c>
      <c r="P96" s="1362">
        <f t="shared" ref="P96:P102" si="54">IF(M96&gt;0,(O96-M96)/M96,(IF(O96=0,"N/A",100%)))</f>
        <v>2.8368794326241134E-2</v>
      </c>
      <c r="Q96" s="1296">
        <v>140</v>
      </c>
      <c r="R96" s="1362">
        <f t="shared" ref="R96:R102" si="55">IF(O96&gt;0,(Q96-O96)/O96,(IF(Q96=0,"N/A",100%)))</f>
        <v>-3.4482758620689655E-2</v>
      </c>
    </row>
    <row r="97" spans="1:18" ht="18" customHeight="1" x14ac:dyDescent="0.3">
      <c r="A97" s="552" t="s">
        <v>1134</v>
      </c>
      <c r="B97" s="1296">
        <v>5</v>
      </c>
      <c r="C97" s="1296">
        <v>8</v>
      </c>
      <c r="D97" s="1362">
        <f t="shared" si="48"/>
        <v>0.6</v>
      </c>
      <c r="E97" s="1296">
        <v>7</v>
      </c>
      <c r="F97" s="462">
        <f t="shared" si="49"/>
        <v>-0.125</v>
      </c>
      <c r="G97" s="1296">
        <v>12</v>
      </c>
      <c r="H97" s="1362">
        <f t="shared" si="50"/>
        <v>0.7142857142857143</v>
      </c>
      <c r="I97" s="1296">
        <v>8</v>
      </c>
      <c r="J97" s="462">
        <f t="shared" si="51"/>
        <v>-0.33333333333333331</v>
      </c>
      <c r="K97" s="1296">
        <v>2</v>
      </c>
      <c r="L97" s="462">
        <f t="shared" si="52"/>
        <v>-0.75</v>
      </c>
      <c r="M97" s="1296">
        <v>1</v>
      </c>
      <c r="N97" s="462">
        <f t="shared" si="53"/>
        <v>-0.5</v>
      </c>
      <c r="O97" s="1296">
        <v>0</v>
      </c>
      <c r="P97" s="1362">
        <f t="shared" si="54"/>
        <v>-1</v>
      </c>
      <c r="Q97" s="1296">
        <v>0</v>
      </c>
      <c r="R97" s="1362" t="str">
        <f t="shared" si="55"/>
        <v>N/A</v>
      </c>
    </row>
    <row r="98" spans="1:18" ht="18" customHeight="1" x14ac:dyDescent="0.3">
      <c r="A98" s="552" t="s">
        <v>393</v>
      </c>
      <c r="B98" s="1296">
        <v>0</v>
      </c>
      <c r="C98" s="1296">
        <v>3</v>
      </c>
      <c r="D98" s="1362">
        <f t="shared" si="48"/>
        <v>1</v>
      </c>
      <c r="E98" s="1296">
        <v>0</v>
      </c>
      <c r="F98" s="462">
        <f t="shared" si="49"/>
        <v>-1</v>
      </c>
      <c r="G98" s="1296">
        <v>0</v>
      </c>
      <c r="H98" s="1362" t="str">
        <f t="shared" si="50"/>
        <v>N/A</v>
      </c>
      <c r="I98" s="1296">
        <v>1</v>
      </c>
      <c r="J98" s="462">
        <f t="shared" si="51"/>
        <v>1</v>
      </c>
      <c r="K98" s="1296">
        <v>0</v>
      </c>
      <c r="L98" s="462">
        <f t="shared" si="52"/>
        <v>-1</v>
      </c>
      <c r="M98" s="1296">
        <v>0</v>
      </c>
      <c r="N98" s="462" t="str">
        <f t="shared" si="53"/>
        <v>N/A</v>
      </c>
      <c r="O98" s="1296">
        <v>0</v>
      </c>
      <c r="P98" s="1362" t="str">
        <f t="shared" si="54"/>
        <v>N/A</v>
      </c>
      <c r="Q98" s="1296">
        <v>0</v>
      </c>
      <c r="R98" s="1362" t="str">
        <f t="shared" si="55"/>
        <v>N/A</v>
      </c>
    </row>
    <row r="99" spans="1:18" ht="18" customHeight="1" x14ac:dyDescent="0.3">
      <c r="A99" s="552" t="s">
        <v>1103</v>
      </c>
      <c r="B99" s="1296">
        <v>52</v>
      </c>
      <c r="C99" s="1296">
        <v>60</v>
      </c>
      <c r="D99" s="1362">
        <f t="shared" si="48"/>
        <v>0.15384615384615385</v>
      </c>
      <c r="E99" s="1296">
        <v>62</v>
      </c>
      <c r="F99" s="462">
        <f t="shared" si="49"/>
        <v>3.3333333333333333E-2</v>
      </c>
      <c r="G99" s="1296">
        <v>95</v>
      </c>
      <c r="H99" s="1362">
        <f t="shared" si="50"/>
        <v>0.532258064516129</v>
      </c>
      <c r="I99" s="1296">
        <v>51</v>
      </c>
      <c r="J99" s="462">
        <f t="shared" si="51"/>
        <v>-0.4631578947368421</v>
      </c>
      <c r="K99" s="1296">
        <v>20</v>
      </c>
      <c r="L99" s="462">
        <f t="shared" si="52"/>
        <v>-0.60784313725490191</v>
      </c>
      <c r="M99" s="1296">
        <v>7</v>
      </c>
      <c r="N99" s="1154">
        <f t="shared" si="53"/>
        <v>-0.65</v>
      </c>
      <c r="O99" s="1296">
        <v>0</v>
      </c>
      <c r="P99" s="1362">
        <f t="shared" si="54"/>
        <v>-1</v>
      </c>
      <c r="Q99" s="1296">
        <v>1</v>
      </c>
      <c r="R99" s="1362">
        <f t="shared" si="55"/>
        <v>1</v>
      </c>
    </row>
    <row r="100" spans="1:18" ht="18" customHeight="1" x14ac:dyDescent="0.3">
      <c r="A100" s="552" t="s">
        <v>394</v>
      </c>
      <c r="B100" s="1296">
        <v>21</v>
      </c>
      <c r="C100" s="1296">
        <v>13</v>
      </c>
      <c r="D100" s="1362">
        <f t="shared" si="48"/>
        <v>-0.38095238095238093</v>
      </c>
      <c r="E100" s="1296">
        <v>8</v>
      </c>
      <c r="F100" s="462">
        <f t="shared" si="49"/>
        <v>-0.38461538461538464</v>
      </c>
      <c r="G100" s="1296">
        <v>0</v>
      </c>
      <c r="H100" s="1362">
        <f t="shared" si="50"/>
        <v>-1</v>
      </c>
      <c r="I100" s="1296">
        <v>0</v>
      </c>
      <c r="J100" s="462" t="str">
        <f t="shared" si="51"/>
        <v>N/A</v>
      </c>
      <c r="K100" s="1296">
        <v>0</v>
      </c>
      <c r="L100" s="462" t="str">
        <f t="shared" si="52"/>
        <v>N/A</v>
      </c>
      <c r="M100" s="1296">
        <v>0</v>
      </c>
      <c r="N100" s="463" t="str">
        <f t="shared" si="53"/>
        <v>N/A</v>
      </c>
      <c r="O100" s="1296">
        <v>0</v>
      </c>
      <c r="P100" s="1362" t="str">
        <f t="shared" si="54"/>
        <v>N/A</v>
      </c>
      <c r="Q100" s="1296">
        <v>0</v>
      </c>
      <c r="R100" s="1362" t="str">
        <f t="shared" si="55"/>
        <v>N/A</v>
      </c>
    </row>
    <row r="101" spans="1:18" ht="18" customHeight="1" x14ac:dyDescent="0.3">
      <c r="A101" s="553" t="s">
        <v>1015</v>
      </c>
      <c r="B101" s="1296">
        <f>SUM(B96:B100)</f>
        <v>145</v>
      </c>
      <c r="C101" s="1296">
        <f>SUM(C96:C100)</f>
        <v>139</v>
      </c>
      <c r="D101" s="1362">
        <f t="shared" si="48"/>
        <v>-4.1379310344827586E-2</v>
      </c>
      <c r="E101" s="1296">
        <f>SUM(E96:E100)</f>
        <v>151</v>
      </c>
      <c r="F101" s="462">
        <f t="shared" si="49"/>
        <v>8.6330935251798566E-2</v>
      </c>
      <c r="G101" s="1296">
        <f>SUM(G96:G100)</f>
        <v>178</v>
      </c>
      <c r="H101" s="1362">
        <f t="shared" si="50"/>
        <v>0.17880794701986755</v>
      </c>
      <c r="I101" s="1296">
        <f>SUM(I96:I100)</f>
        <v>185</v>
      </c>
      <c r="J101" s="462">
        <f t="shared" si="51"/>
        <v>3.9325842696629212E-2</v>
      </c>
      <c r="K101" s="1296">
        <f>SUM(K96:K100)</f>
        <v>163</v>
      </c>
      <c r="L101" s="462">
        <f t="shared" si="52"/>
        <v>-0.11891891891891893</v>
      </c>
      <c r="M101" s="1296">
        <f>SUM(M96:M100)</f>
        <v>149</v>
      </c>
      <c r="N101" s="462">
        <f t="shared" si="53"/>
        <v>-8.5889570552147243E-2</v>
      </c>
      <c r="O101" s="1296">
        <f>SUM(O96:O100)</f>
        <v>145</v>
      </c>
      <c r="P101" s="1362">
        <f t="shared" si="54"/>
        <v>-2.6845637583892617E-2</v>
      </c>
      <c r="Q101" s="1296">
        <f>SUM(Q96:Q100)</f>
        <v>141</v>
      </c>
      <c r="R101" s="1362">
        <f t="shared" si="55"/>
        <v>-2.7586206896551724E-2</v>
      </c>
    </row>
    <row r="102" spans="1:18" ht="18" customHeight="1" thickBot="1" x14ac:dyDescent="0.35">
      <c r="A102" s="556" t="s">
        <v>427</v>
      </c>
      <c r="B102" s="545">
        <f>+B101+B94+B86</f>
        <v>720</v>
      </c>
      <c r="C102" s="1153">
        <f>+C101+C94+C86</f>
        <v>776</v>
      </c>
      <c r="D102" s="705">
        <f t="shared" si="48"/>
        <v>7.7777777777777779E-2</v>
      </c>
      <c r="E102" s="857">
        <f>+E101+E94+E86</f>
        <v>847</v>
      </c>
      <c r="F102" s="1154">
        <f t="shared" si="49"/>
        <v>9.1494845360824736E-2</v>
      </c>
      <c r="G102" s="857">
        <f>+G101+G94+G86</f>
        <v>893</v>
      </c>
      <c r="H102" s="705">
        <f t="shared" si="50"/>
        <v>5.4309327036599762E-2</v>
      </c>
      <c r="I102" s="857">
        <f>+I101+I94+I86</f>
        <v>846</v>
      </c>
      <c r="J102" s="1154">
        <f t="shared" si="51"/>
        <v>-5.2631578947368418E-2</v>
      </c>
      <c r="K102" s="857">
        <f>+K101+K94+K86</f>
        <v>845</v>
      </c>
      <c r="L102" s="1154">
        <f t="shared" si="52"/>
        <v>-1.1820330969267139E-3</v>
      </c>
      <c r="M102" s="857">
        <f>+M101+M94+M86</f>
        <v>830</v>
      </c>
      <c r="N102" s="1260">
        <f t="shared" si="53"/>
        <v>-1.7751479289940829E-2</v>
      </c>
      <c r="O102" s="857">
        <f>+O101+O94+O86</f>
        <v>781</v>
      </c>
      <c r="P102" s="705">
        <f t="shared" si="54"/>
        <v>-5.903614457831325E-2</v>
      </c>
      <c r="Q102" s="857">
        <f>+Q101+Q94+Q86</f>
        <v>746</v>
      </c>
      <c r="R102" s="705">
        <f t="shared" si="55"/>
        <v>-4.4814340588988477E-2</v>
      </c>
    </row>
    <row r="103" spans="1:18" ht="20.25" customHeight="1" thickBot="1" x14ac:dyDescent="0.35">
      <c r="A103" s="2134" t="s">
        <v>428</v>
      </c>
      <c r="B103" s="2135"/>
      <c r="C103" s="2135"/>
      <c r="D103" s="2135"/>
      <c r="E103" s="2135"/>
      <c r="F103" s="2135"/>
      <c r="G103" s="2135"/>
      <c r="H103" s="2135"/>
      <c r="I103" s="2135"/>
      <c r="J103" s="2135"/>
      <c r="K103" s="2135"/>
      <c r="L103" s="2135"/>
      <c r="M103" s="2135"/>
      <c r="N103" s="2135"/>
      <c r="O103" s="2135"/>
      <c r="P103" s="2135"/>
      <c r="Q103" s="2135"/>
      <c r="R103" s="2136"/>
    </row>
    <row r="104" spans="1:18" ht="20.25" customHeight="1" x14ac:dyDescent="0.3">
      <c r="A104" s="549" t="s">
        <v>410</v>
      </c>
      <c r="B104" s="1358">
        <v>2007</v>
      </c>
      <c r="C104" s="1358">
        <f>B104+1</f>
        <v>2008</v>
      </c>
      <c r="D104" s="1359" t="s">
        <v>1100</v>
      </c>
      <c r="E104" s="1358">
        <f>C104+1</f>
        <v>2009</v>
      </c>
      <c r="F104" s="667" t="s">
        <v>1100</v>
      </c>
      <c r="G104" s="1358">
        <f>E104+1</f>
        <v>2010</v>
      </c>
      <c r="H104" s="1359" t="s">
        <v>1100</v>
      </c>
      <c r="I104" s="1358">
        <f>G104+1</f>
        <v>2011</v>
      </c>
      <c r="J104" s="667" t="s">
        <v>1100</v>
      </c>
      <c r="K104" s="1358">
        <f>I104+1</f>
        <v>2012</v>
      </c>
      <c r="L104" s="667" t="s">
        <v>1100</v>
      </c>
      <c r="M104" s="1358">
        <f>K104+1</f>
        <v>2013</v>
      </c>
      <c r="N104" s="667" t="s">
        <v>1100</v>
      </c>
      <c r="O104" s="1358">
        <f>M104+1</f>
        <v>2014</v>
      </c>
      <c r="P104" s="1359" t="s">
        <v>1100</v>
      </c>
      <c r="Q104" s="1358">
        <f>O104+1</f>
        <v>2015</v>
      </c>
      <c r="R104" s="1359" t="s">
        <v>1100</v>
      </c>
    </row>
    <row r="105" spans="1:18" ht="18" customHeight="1" x14ac:dyDescent="0.3">
      <c r="A105" s="1491" t="s">
        <v>1638</v>
      </c>
      <c r="B105" s="471"/>
      <c r="C105" s="471"/>
      <c r="D105" s="470"/>
      <c r="E105" s="471"/>
      <c r="F105" s="470"/>
      <c r="G105" s="471"/>
      <c r="H105" s="470"/>
      <c r="I105" s="471"/>
      <c r="J105" s="470"/>
      <c r="K105" s="471"/>
      <c r="L105" s="470"/>
      <c r="M105" s="471"/>
      <c r="N105" s="470"/>
      <c r="O105" s="471"/>
      <c r="P105" s="470"/>
      <c r="Q105" s="471"/>
      <c r="R105" s="470"/>
    </row>
    <row r="106" spans="1:18" ht="18" customHeight="1" x14ac:dyDescent="0.3">
      <c r="A106" s="552" t="s">
        <v>1151</v>
      </c>
      <c r="B106" s="1296">
        <v>65</v>
      </c>
      <c r="C106" s="1296">
        <v>97</v>
      </c>
      <c r="D106" s="1362">
        <f t="shared" ref="D106:D113" si="56">IF(B106&gt;0,(C106-B106)/B106,(IF(C106=0,"N/A",100%)))</f>
        <v>0.49230769230769234</v>
      </c>
      <c r="E106" s="1296">
        <v>96</v>
      </c>
      <c r="F106" s="462">
        <f t="shared" ref="F106:F113" si="57">IF(C106&gt;0,(E106-C106)/C106,(IF(E106=0,"N/A",100%)))</f>
        <v>-1.0309278350515464E-2</v>
      </c>
      <c r="G106" s="1296">
        <v>92</v>
      </c>
      <c r="H106" s="1362">
        <f t="shared" ref="H106:H113" si="58">IF(E106&gt;0,(G106-E106)/E106,(IF(G106=0,"N/A",100%)))</f>
        <v>-4.1666666666666664E-2</v>
      </c>
      <c r="I106" s="1296">
        <v>84</v>
      </c>
      <c r="J106" s="462">
        <f t="shared" ref="J106:J113" si="59">IF(G106&gt;0,(I106-G106)/G106,(IF(I106=0,"N/A",100%)))</f>
        <v>-8.6956521739130432E-2</v>
      </c>
      <c r="K106" s="1296">
        <v>101</v>
      </c>
      <c r="L106" s="462">
        <f t="shared" ref="L106:L113" si="60">IF(I106&gt;0,(K106-I106)/I106,(IF(K106=0,"N/A",100%)))</f>
        <v>0.20238095238095238</v>
      </c>
      <c r="M106" s="1296">
        <v>89</v>
      </c>
      <c r="N106" s="462">
        <f t="shared" ref="N106:N113" si="61">IF(K106&gt;0,(M106-K106)/K106,(IF(M106=0,"N/A",100%)))</f>
        <v>-0.11881188118811881</v>
      </c>
      <c r="O106" s="1296">
        <v>78</v>
      </c>
      <c r="P106" s="1362">
        <f t="shared" ref="P106:P113" si="62">IF(M106&gt;0,(O106-M106)/M106,(IF(O106=0,"N/A",100%)))</f>
        <v>-0.12359550561797752</v>
      </c>
      <c r="Q106" s="1296">
        <v>84</v>
      </c>
      <c r="R106" s="1362">
        <f t="shared" ref="R106:R113" si="63">IF(O106&gt;0,(Q106-O106)/O106,(IF(Q106=0,"N/A",100%)))</f>
        <v>7.6923076923076927E-2</v>
      </c>
    </row>
    <row r="107" spans="1:18" ht="18" customHeight="1" x14ac:dyDescent="0.3">
      <c r="A107" s="552" t="s">
        <v>1156</v>
      </c>
      <c r="B107" s="1296">
        <v>26</v>
      </c>
      <c r="C107" s="1296">
        <v>38</v>
      </c>
      <c r="D107" s="1362">
        <f t="shared" si="56"/>
        <v>0.46153846153846156</v>
      </c>
      <c r="E107" s="1296">
        <v>35</v>
      </c>
      <c r="F107" s="462">
        <f t="shared" si="57"/>
        <v>-7.8947368421052627E-2</v>
      </c>
      <c r="G107" s="1296">
        <v>39</v>
      </c>
      <c r="H107" s="1362">
        <f t="shared" si="58"/>
        <v>0.11428571428571428</v>
      </c>
      <c r="I107" s="1296">
        <v>32</v>
      </c>
      <c r="J107" s="462">
        <f t="shared" si="59"/>
        <v>-0.17948717948717949</v>
      </c>
      <c r="K107" s="1296">
        <v>32</v>
      </c>
      <c r="L107" s="462">
        <f t="shared" si="60"/>
        <v>0</v>
      </c>
      <c r="M107" s="1296">
        <v>39</v>
      </c>
      <c r="N107" s="462">
        <f t="shared" si="61"/>
        <v>0.21875</v>
      </c>
      <c r="O107" s="1296">
        <v>34</v>
      </c>
      <c r="P107" s="1362">
        <f t="shared" si="62"/>
        <v>-0.12820512820512819</v>
      </c>
      <c r="Q107" s="1296">
        <v>24</v>
      </c>
      <c r="R107" s="1362">
        <f t="shared" si="63"/>
        <v>-0.29411764705882354</v>
      </c>
    </row>
    <row r="108" spans="1:18" ht="18" customHeight="1" x14ac:dyDescent="0.3">
      <c r="A108" s="552" t="s">
        <v>1740</v>
      </c>
      <c r="B108" s="1629">
        <v>0</v>
      </c>
      <c r="C108" s="1629">
        <v>0</v>
      </c>
      <c r="D108" s="1362" t="str">
        <f t="shared" si="56"/>
        <v>N/A</v>
      </c>
      <c r="E108" s="1629">
        <v>0</v>
      </c>
      <c r="F108" s="462" t="str">
        <f t="shared" si="57"/>
        <v>N/A</v>
      </c>
      <c r="G108" s="1629">
        <v>0</v>
      </c>
      <c r="H108" s="1362" t="str">
        <f t="shared" si="58"/>
        <v>N/A</v>
      </c>
      <c r="I108" s="1629">
        <v>0</v>
      </c>
      <c r="J108" s="1362" t="str">
        <f t="shared" si="59"/>
        <v>N/A</v>
      </c>
      <c r="K108" s="1629">
        <v>0</v>
      </c>
      <c r="L108" s="1362" t="str">
        <f t="shared" si="60"/>
        <v>N/A</v>
      </c>
      <c r="M108" s="1629">
        <v>0</v>
      </c>
      <c r="N108" s="1362" t="str">
        <f t="shared" si="61"/>
        <v>N/A</v>
      </c>
      <c r="O108" s="1629">
        <v>0</v>
      </c>
      <c r="P108" s="1362" t="str">
        <f t="shared" si="62"/>
        <v>N/A</v>
      </c>
      <c r="Q108" s="1629">
        <v>20</v>
      </c>
      <c r="R108" s="1362">
        <f t="shared" si="63"/>
        <v>1</v>
      </c>
    </row>
    <row r="109" spans="1:18" ht="18" customHeight="1" x14ac:dyDescent="0.3">
      <c r="A109" s="552" t="s">
        <v>1157</v>
      </c>
      <c r="B109" s="1296">
        <v>14</v>
      </c>
      <c r="C109" s="1296">
        <v>0</v>
      </c>
      <c r="D109" s="1362">
        <f t="shared" si="56"/>
        <v>-1</v>
      </c>
      <c r="E109" s="1296">
        <v>1</v>
      </c>
      <c r="F109" s="462">
        <f t="shared" si="57"/>
        <v>1</v>
      </c>
      <c r="G109" s="1296">
        <v>0</v>
      </c>
      <c r="H109" s="1362">
        <f t="shared" si="58"/>
        <v>-1</v>
      </c>
      <c r="I109" s="1296">
        <v>0</v>
      </c>
      <c r="J109" s="462" t="str">
        <f t="shared" si="59"/>
        <v>N/A</v>
      </c>
      <c r="K109" s="1296">
        <v>0</v>
      </c>
      <c r="L109" s="462" t="str">
        <f t="shared" si="60"/>
        <v>N/A</v>
      </c>
      <c r="M109" s="1296">
        <v>0</v>
      </c>
      <c r="N109" s="462" t="str">
        <f t="shared" si="61"/>
        <v>N/A</v>
      </c>
      <c r="O109" s="1296">
        <v>0</v>
      </c>
      <c r="P109" s="1362" t="str">
        <f t="shared" si="62"/>
        <v>N/A</v>
      </c>
      <c r="Q109" s="1296">
        <v>0</v>
      </c>
      <c r="R109" s="1362" t="str">
        <f t="shared" si="63"/>
        <v>N/A</v>
      </c>
    </row>
    <row r="110" spans="1:18" ht="18" customHeight="1" x14ac:dyDescent="0.3">
      <c r="A110" s="552" t="s">
        <v>1158</v>
      </c>
      <c r="B110" s="1296">
        <v>76</v>
      </c>
      <c r="C110" s="1296">
        <v>90</v>
      </c>
      <c r="D110" s="1362">
        <f t="shared" si="56"/>
        <v>0.18421052631578946</v>
      </c>
      <c r="E110" s="1296">
        <v>115</v>
      </c>
      <c r="F110" s="462">
        <f t="shared" si="57"/>
        <v>0.27777777777777779</v>
      </c>
      <c r="G110" s="1296">
        <v>116</v>
      </c>
      <c r="H110" s="1362">
        <f t="shared" si="58"/>
        <v>8.6956521739130436E-3</v>
      </c>
      <c r="I110" s="1296">
        <v>137</v>
      </c>
      <c r="J110" s="462">
        <f t="shared" si="59"/>
        <v>0.18103448275862069</v>
      </c>
      <c r="K110" s="1296">
        <v>139</v>
      </c>
      <c r="L110" s="462">
        <f t="shared" si="60"/>
        <v>1.4598540145985401E-2</v>
      </c>
      <c r="M110" s="1296">
        <v>124</v>
      </c>
      <c r="N110" s="462">
        <f t="shared" si="61"/>
        <v>-0.1079136690647482</v>
      </c>
      <c r="O110" s="1296">
        <v>112</v>
      </c>
      <c r="P110" s="1362">
        <f t="shared" si="62"/>
        <v>-9.6774193548387094E-2</v>
      </c>
      <c r="Q110" s="1296">
        <v>118</v>
      </c>
      <c r="R110" s="1362">
        <f t="shared" si="63"/>
        <v>5.3571428571428568E-2</v>
      </c>
    </row>
    <row r="111" spans="1:18" ht="18" customHeight="1" x14ac:dyDescent="0.3">
      <c r="A111" s="552" t="s">
        <v>1159</v>
      </c>
      <c r="B111" s="1296">
        <v>225</v>
      </c>
      <c r="C111" s="1296">
        <v>236</v>
      </c>
      <c r="D111" s="1362">
        <f t="shared" si="56"/>
        <v>4.8888888888888891E-2</v>
      </c>
      <c r="E111" s="1296">
        <v>261</v>
      </c>
      <c r="F111" s="462">
        <f t="shared" si="57"/>
        <v>0.1059322033898305</v>
      </c>
      <c r="G111" s="1296">
        <v>237</v>
      </c>
      <c r="H111" s="1362">
        <f t="shared" si="58"/>
        <v>-9.1954022988505746E-2</v>
      </c>
      <c r="I111" s="1296">
        <v>211</v>
      </c>
      <c r="J111" s="462">
        <f t="shared" si="59"/>
        <v>-0.10970464135021098</v>
      </c>
      <c r="K111" s="1296">
        <v>192</v>
      </c>
      <c r="L111" s="462">
        <f t="shared" si="60"/>
        <v>-9.004739336492891E-2</v>
      </c>
      <c r="M111" s="1296">
        <v>189</v>
      </c>
      <c r="N111" s="462">
        <f t="shared" si="61"/>
        <v>-1.5625E-2</v>
      </c>
      <c r="O111" s="1296">
        <v>195</v>
      </c>
      <c r="P111" s="1362">
        <f t="shared" si="62"/>
        <v>3.1746031746031744E-2</v>
      </c>
      <c r="Q111" s="1296">
        <v>192</v>
      </c>
      <c r="R111" s="1362">
        <f t="shared" si="63"/>
        <v>-1.5384615384615385E-2</v>
      </c>
    </row>
    <row r="112" spans="1:18" ht="18" customHeight="1" x14ac:dyDescent="0.3">
      <c r="A112" s="552" t="s">
        <v>1139</v>
      </c>
      <c r="B112" s="1296">
        <v>1</v>
      </c>
      <c r="C112" s="1296">
        <v>4</v>
      </c>
      <c r="D112" s="1362">
        <f t="shared" si="56"/>
        <v>3</v>
      </c>
      <c r="E112" s="1296">
        <v>1</v>
      </c>
      <c r="F112" s="462">
        <f t="shared" si="57"/>
        <v>-0.75</v>
      </c>
      <c r="G112" s="1296">
        <v>0</v>
      </c>
      <c r="H112" s="1362">
        <f t="shared" si="58"/>
        <v>-1</v>
      </c>
      <c r="I112" s="1296">
        <v>0</v>
      </c>
      <c r="J112" s="462" t="str">
        <f t="shared" si="59"/>
        <v>N/A</v>
      </c>
      <c r="K112" s="1296">
        <v>0</v>
      </c>
      <c r="L112" s="462" t="str">
        <f t="shared" si="60"/>
        <v>N/A</v>
      </c>
      <c r="M112" s="1296">
        <v>0</v>
      </c>
      <c r="N112" s="462" t="str">
        <f t="shared" si="61"/>
        <v>N/A</v>
      </c>
      <c r="O112" s="1296">
        <v>0</v>
      </c>
      <c r="P112" s="1362" t="str">
        <f t="shared" si="62"/>
        <v>N/A</v>
      </c>
      <c r="Q112" s="1296">
        <v>0</v>
      </c>
      <c r="R112" s="1362" t="str">
        <f t="shared" si="63"/>
        <v>N/A</v>
      </c>
    </row>
    <row r="113" spans="1:18" ht="18" customHeight="1" x14ac:dyDescent="0.3">
      <c r="A113" s="553" t="s">
        <v>1015</v>
      </c>
      <c r="B113" s="1296">
        <f>SUM(B106:B112)</f>
        <v>407</v>
      </c>
      <c r="C113" s="1296">
        <f>SUM(C106:C112)</f>
        <v>465</v>
      </c>
      <c r="D113" s="1362">
        <f t="shared" si="56"/>
        <v>0.14250614250614252</v>
      </c>
      <c r="E113" s="1296">
        <f>SUM(E106:E112)</f>
        <v>509</v>
      </c>
      <c r="F113" s="462">
        <f t="shared" si="57"/>
        <v>9.4623655913978491E-2</v>
      </c>
      <c r="G113" s="1296">
        <f>SUM(G106:G112)</f>
        <v>484</v>
      </c>
      <c r="H113" s="1362">
        <f t="shared" si="58"/>
        <v>-4.9115913555992138E-2</v>
      </c>
      <c r="I113" s="1296">
        <f>SUM(I106:I112)</f>
        <v>464</v>
      </c>
      <c r="J113" s="462">
        <f t="shared" si="59"/>
        <v>-4.1322314049586778E-2</v>
      </c>
      <c r="K113" s="1296">
        <f>SUM(K106:K112)</f>
        <v>464</v>
      </c>
      <c r="L113" s="462">
        <f t="shared" si="60"/>
        <v>0</v>
      </c>
      <c r="M113" s="1296">
        <f>SUM(M106:M112)</f>
        <v>441</v>
      </c>
      <c r="N113" s="462">
        <f t="shared" si="61"/>
        <v>-4.9568965517241381E-2</v>
      </c>
      <c r="O113" s="1296">
        <f>SUM(O106:O112)</f>
        <v>419</v>
      </c>
      <c r="P113" s="1362">
        <f t="shared" si="62"/>
        <v>-4.9886621315192746E-2</v>
      </c>
      <c r="Q113" s="1296">
        <f>SUM(Q106:Q112)</f>
        <v>438</v>
      </c>
      <c r="R113" s="1362">
        <f t="shared" si="63"/>
        <v>4.5346062052505964E-2</v>
      </c>
    </row>
    <row r="114" spans="1:18" ht="18" customHeight="1" x14ac:dyDescent="0.3">
      <c r="A114" s="551" t="s">
        <v>429</v>
      </c>
      <c r="B114" s="1360"/>
      <c r="C114" s="1360"/>
      <c r="D114" s="1361"/>
      <c r="E114" s="1360"/>
      <c r="F114" s="460"/>
      <c r="G114" s="1360"/>
      <c r="H114" s="1361"/>
      <c r="I114" s="1360"/>
      <c r="J114" s="460"/>
      <c r="K114" s="1360"/>
      <c r="L114" s="460"/>
      <c r="M114" s="1360"/>
      <c r="N114" s="460"/>
      <c r="O114" s="1360"/>
      <c r="P114" s="1361"/>
      <c r="Q114" s="1360"/>
      <c r="R114" s="1361"/>
    </row>
    <row r="115" spans="1:18" s="688" customFormat="1" ht="18" customHeight="1" x14ac:dyDescent="0.3">
      <c r="A115" s="1492" t="s">
        <v>513</v>
      </c>
      <c r="B115" s="1488">
        <v>9</v>
      </c>
      <c r="C115" s="1488">
        <v>14</v>
      </c>
      <c r="D115" s="1362">
        <f t="shared" ref="D115:D129" si="64">IF(B115&gt;0,(C115-B115)/B115,(IF(C115=0,"N/A",100%)))</f>
        <v>0.55555555555555558</v>
      </c>
      <c r="E115" s="1488">
        <v>14</v>
      </c>
      <c r="F115" s="462">
        <f t="shared" ref="F115:F129" si="65">IF(C115&gt;0,(E115-C115)/C115,(IF(E115=0,"N/A",100%)))</f>
        <v>0</v>
      </c>
      <c r="G115" s="1488">
        <v>10</v>
      </c>
      <c r="H115" s="1362">
        <f t="shared" ref="H115:H129" si="66">IF(E115&gt;0,(G115-E115)/E115,(IF(G115=0,"N/A",100%)))</f>
        <v>-0.2857142857142857</v>
      </c>
      <c r="I115" s="1488">
        <v>9</v>
      </c>
      <c r="J115" s="462">
        <f t="shared" ref="J115:J129" si="67">IF(G115&gt;0,(I115-G115)/G115,(IF(I115=0,"N/A",100%)))</f>
        <v>-0.1</v>
      </c>
      <c r="K115" s="1488">
        <v>5</v>
      </c>
      <c r="L115" s="462">
        <f>IF(I115&gt;0,(K115-I115)/I115,(IF(K115=0,"N/A",100%)))</f>
        <v>-0.44444444444444442</v>
      </c>
      <c r="M115" s="1488">
        <v>5</v>
      </c>
      <c r="N115" s="462">
        <f>IF(K115&gt;0,(M115-K115)/K115,(IF(M115=0,"N/A",100%)))</f>
        <v>0</v>
      </c>
      <c r="O115" s="1488">
        <v>2</v>
      </c>
      <c r="P115" s="1362">
        <f>IF(M115&gt;0,(O115-M115)/M115,(IF(O115=0,"N/A",100%)))</f>
        <v>-0.6</v>
      </c>
      <c r="Q115" s="1488">
        <v>3</v>
      </c>
      <c r="R115" s="1362">
        <f>IF(O115&gt;0,(Q115-O115)/O115,(IF(Q115=0,"N/A",100%)))</f>
        <v>0.5</v>
      </c>
    </row>
    <row r="116" spans="1:18" s="688" customFormat="1" ht="18" customHeight="1" x14ac:dyDescent="0.3">
      <c r="A116" s="1492" t="s">
        <v>614</v>
      </c>
      <c r="B116" s="1488">
        <v>1</v>
      </c>
      <c r="C116" s="1488">
        <v>3</v>
      </c>
      <c r="D116" s="1362">
        <f t="shared" si="64"/>
        <v>2</v>
      </c>
      <c r="E116" s="1488">
        <v>0</v>
      </c>
      <c r="F116" s="462">
        <f t="shared" si="65"/>
        <v>-1</v>
      </c>
      <c r="G116" s="1488">
        <v>0</v>
      </c>
      <c r="H116" s="1362" t="str">
        <f t="shared" si="66"/>
        <v>N/A</v>
      </c>
      <c r="I116" s="1488">
        <v>0</v>
      </c>
      <c r="J116" s="462" t="str">
        <f t="shared" si="67"/>
        <v>N/A</v>
      </c>
      <c r="K116" s="1488">
        <v>0</v>
      </c>
      <c r="L116" s="462" t="str">
        <f>IF(I116&gt;0,(K116-I116)/I116,(IF(K116=0,"N/A",100%)))</f>
        <v>N/A</v>
      </c>
      <c r="M116" s="1488">
        <v>0</v>
      </c>
      <c r="N116" s="462" t="str">
        <f>IF(K116&gt;0,(M116-K116)/K116,(IF(M116=0,"N/A",100%)))</f>
        <v>N/A</v>
      </c>
      <c r="O116" s="1488">
        <v>0</v>
      </c>
      <c r="P116" s="1362" t="str">
        <f>IF(M116&gt;0,(O116-M116)/M116,(IF(O116=0,"N/A",100%)))</f>
        <v>N/A</v>
      </c>
      <c r="Q116" s="1488">
        <v>0</v>
      </c>
      <c r="R116" s="1362" t="str">
        <f>IF(O116&gt;0,(Q116-O116)/O116,(IF(Q116=0,"N/A",100%)))</f>
        <v>N/A</v>
      </c>
    </row>
    <row r="117" spans="1:18" ht="18" customHeight="1" x14ac:dyDescent="0.3">
      <c r="A117" s="552" t="s">
        <v>1130</v>
      </c>
      <c r="B117" s="1296">
        <v>62</v>
      </c>
      <c r="C117" s="1296">
        <v>57</v>
      </c>
      <c r="D117" s="1362">
        <f t="shared" si="64"/>
        <v>-8.0645161290322578E-2</v>
      </c>
      <c r="E117" s="1296">
        <v>47</v>
      </c>
      <c r="F117" s="462">
        <f t="shared" si="65"/>
        <v>-0.17543859649122806</v>
      </c>
      <c r="G117" s="1296">
        <v>41</v>
      </c>
      <c r="H117" s="1362">
        <f t="shared" si="66"/>
        <v>-0.1276595744680851</v>
      </c>
      <c r="I117" s="1296">
        <v>29</v>
      </c>
      <c r="J117" s="462">
        <f>IF(G117&gt;0,(I117-G117)/G117,(IF(I117=0,"N/A",100%)))</f>
        <v>-0.29268292682926828</v>
      </c>
      <c r="K117" s="1296">
        <v>27</v>
      </c>
      <c r="L117" s="462">
        <f>IF(I117&gt;0,(K117-I117)/I117,(IF(K117=0,"N/A",100%)))</f>
        <v>-6.8965517241379309E-2</v>
      </c>
      <c r="M117" s="1296">
        <v>27</v>
      </c>
      <c r="N117" s="462">
        <f>IF(K117&gt;0,(M117-K117)/K117,(IF(M117=0,"N/A",100%)))</f>
        <v>0</v>
      </c>
      <c r="O117" s="1296">
        <v>27</v>
      </c>
      <c r="P117" s="1362">
        <f>IF(M117&gt;0,(O117-M117)/M117,(IF(O117=0,"N/A",100%)))</f>
        <v>0</v>
      </c>
      <c r="Q117" s="1296">
        <v>43</v>
      </c>
      <c r="R117" s="1362">
        <f>IF(O117&gt;0,(Q117-O117)/O117,(IF(Q117=0,"N/A",100%)))</f>
        <v>0.59259259259259256</v>
      </c>
    </row>
    <row r="118" spans="1:18" ht="18" customHeight="1" x14ac:dyDescent="0.3">
      <c r="A118" s="552" t="s">
        <v>1504</v>
      </c>
      <c r="B118" s="1296"/>
      <c r="C118" s="1296"/>
      <c r="D118" s="1362" t="str">
        <f t="shared" si="64"/>
        <v>N/A</v>
      </c>
      <c r="E118" s="1296">
        <v>1</v>
      </c>
      <c r="F118" s="462">
        <f t="shared" si="65"/>
        <v>1</v>
      </c>
      <c r="G118" s="1296">
        <v>0</v>
      </c>
      <c r="H118" s="1362">
        <f t="shared" si="66"/>
        <v>-1</v>
      </c>
      <c r="I118" s="1296">
        <v>0</v>
      </c>
      <c r="J118" s="462" t="str">
        <f>IF(G118&gt;0,(I118-G118)/G118,(IF(I118=0,"N/A",100%)))</f>
        <v>N/A</v>
      </c>
      <c r="K118" s="1296">
        <v>0</v>
      </c>
      <c r="L118" s="462" t="str">
        <f>IF(I118&gt;0,(K118-I118)/I118,(IF(K118=0,"N/A",100%)))</f>
        <v>N/A</v>
      </c>
      <c r="M118" s="1296">
        <v>0</v>
      </c>
      <c r="N118" s="462" t="str">
        <f>IF(K118&gt;0,(M118-K118)/K118,(IF(M118=0,"N/A",100%)))</f>
        <v>N/A</v>
      </c>
      <c r="O118" s="1296">
        <v>0</v>
      </c>
      <c r="P118" s="1362" t="str">
        <f>IF(M118&gt;0,(O118-M118)/M118,(IF(O118=0,"N/A",100%)))</f>
        <v>N/A</v>
      </c>
      <c r="Q118" s="1296">
        <v>0</v>
      </c>
      <c r="R118" s="1362" t="str">
        <f>IF(O118&gt;0,(Q118-O118)/O118,(IF(Q118=0,"N/A",100%)))</f>
        <v>N/A</v>
      </c>
    </row>
    <row r="119" spans="1:18" ht="18" customHeight="1" x14ac:dyDescent="0.3">
      <c r="A119" s="552" t="s">
        <v>776</v>
      </c>
      <c r="B119" s="1296">
        <v>6</v>
      </c>
      <c r="C119" s="1296">
        <v>2</v>
      </c>
      <c r="D119" s="1362">
        <f t="shared" si="64"/>
        <v>-0.66666666666666663</v>
      </c>
      <c r="E119" s="1296">
        <v>1</v>
      </c>
      <c r="F119" s="462">
        <f t="shared" si="65"/>
        <v>-0.5</v>
      </c>
      <c r="G119" s="1296">
        <v>0</v>
      </c>
      <c r="H119" s="1362">
        <f t="shared" si="66"/>
        <v>-1</v>
      </c>
      <c r="I119" s="1296">
        <v>0</v>
      </c>
      <c r="J119" s="462" t="str">
        <f t="shared" si="67"/>
        <v>N/A</v>
      </c>
      <c r="K119" s="1296">
        <v>0</v>
      </c>
      <c r="L119" s="462" t="str">
        <f t="shared" ref="L119:L129" si="68">IF(I119&gt;0,(K119-I119)/I119,(IF(K119=0,"N/A",100%)))</f>
        <v>N/A</v>
      </c>
      <c r="M119" s="1296">
        <v>0</v>
      </c>
      <c r="N119" s="462" t="str">
        <f t="shared" ref="N119:N129" si="69">IF(K119&gt;0,(M119-K119)/K119,(IF(M119=0,"N/A",100%)))</f>
        <v>N/A</v>
      </c>
      <c r="O119" s="1296">
        <v>0</v>
      </c>
      <c r="P119" s="1362" t="str">
        <f t="shared" ref="P119:P129" si="70">IF(M119&gt;0,(O119-M119)/M119,(IF(O119=0,"N/A",100%)))</f>
        <v>N/A</v>
      </c>
      <c r="Q119" s="1296">
        <v>0</v>
      </c>
      <c r="R119" s="1362" t="str">
        <f t="shared" ref="R119:R129" si="71">IF(O119&gt;0,(Q119-O119)/O119,(IF(Q119=0,"N/A",100%)))</f>
        <v>N/A</v>
      </c>
    </row>
    <row r="120" spans="1:18" ht="18" customHeight="1" x14ac:dyDescent="0.3">
      <c r="A120" s="552" t="s">
        <v>395</v>
      </c>
      <c r="B120" s="1296">
        <v>7</v>
      </c>
      <c r="C120" s="1296">
        <v>8</v>
      </c>
      <c r="D120" s="1362">
        <f t="shared" si="64"/>
        <v>0.14285714285714285</v>
      </c>
      <c r="E120" s="1296">
        <v>0</v>
      </c>
      <c r="F120" s="462">
        <f t="shared" si="65"/>
        <v>-1</v>
      </c>
      <c r="G120" s="1296">
        <v>0</v>
      </c>
      <c r="H120" s="1362" t="str">
        <f t="shared" si="66"/>
        <v>N/A</v>
      </c>
      <c r="I120" s="1296">
        <v>0</v>
      </c>
      <c r="J120" s="462" t="str">
        <f t="shared" si="67"/>
        <v>N/A</v>
      </c>
      <c r="K120" s="1296">
        <v>0</v>
      </c>
      <c r="L120" s="462" t="str">
        <f t="shared" si="68"/>
        <v>N/A</v>
      </c>
      <c r="M120" s="1296">
        <v>0</v>
      </c>
      <c r="N120" s="462" t="str">
        <f t="shared" si="69"/>
        <v>N/A</v>
      </c>
      <c r="O120" s="1296">
        <v>0</v>
      </c>
      <c r="P120" s="1362" t="str">
        <f t="shared" si="70"/>
        <v>N/A</v>
      </c>
      <c r="Q120" s="1296">
        <v>0</v>
      </c>
      <c r="R120" s="1362" t="str">
        <f t="shared" si="71"/>
        <v>N/A</v>
      </c>
    </row>
    <row r="121" spans="1:18" ht="18" customHeight="1" x14ac:dyDescent="0.3">
      <c r="A121" s="552" t="s">
        <v>789</v>
      </c>
      <c r="B121" s="1296">
        <v>4</v>
      </c>
      <c r="C121" s="1296">
        <v>9</v>
      </c>
      <c r="D121" s="1362">
        <f t="shared" si="64"/>
        <v>1.25</v>
      </c>
      <c r="E121" s="1296">
        <v>9</v>
      </c>
      <c r="F121" s="462">
        <f t="shared" si="65"/>
        <v>0</v>
      </c>
      <c r="G121" s="1296">
        <v>9</v>
      </c>
      <c r="H121" s="1362">
        <f t="shared" si="66"/>
        <v>0</v>
      </c>
      <c r="I121" s="1296">
        <v>7</v>
      </c>
      <c r="J121" s="462">
        <f t="shared" si="67"/>
        <v>-0.22222222222222221</v>
      </c>
      <c r="K121" s="1296">
        <v>8</v>
      </c>
      <c r="L121" s="462">
        <f t="shared" si="68"/>
        <v>0.14285714285714285</v>
      </c>
      <c r="M121" s="1296">
        <v>10</v>
      </c>
      <c r="N121" s="462">
        <f t="shared" si="69"/>
        <v>0.25</v>
      </c>
      <c r="O121" s="1296">
        <v>7</v>
      </c>
      <c r="P121" s="1362">
        <f t="shared" si="70"/>
        <v>-0.3</v>
      </c>
      <c r="Q121" s="1296">
        <v>6</v>
      </c>
      <c r="R121" s="1362">
        <f t="shared" si="71"/>
        <v>-0.14285714285714285</v>
      </c>
    </row>
    <row r="122" spans="1:18" ht="18" customHeight="1" x14ac:dyDescent="0.3">
      <c r="A122" s="552" t="s">
        <v>396</v>
      </c>
      <c r="B122" s="1296">
        <v>7</v>
      </c>
      <c r="C122" s="1296">
        <v>2</v>
      </c>
      <c r="D122" s="1362">
        <f t="shared" si="64"/>
        <v>-0.7142857142857143</v>
      </c>
      <c r="E122" s="1296">
        <v>7</v>
      </c>
      <c r="F122" s="462">
        <f t="shared" si="65"/>
        <v>2.5</v>
      </c>
      <c r="G122" s="1296">
        <v>4</v>
      </c>
      <c r="H122" s="1362">
        <f t="shared" si="66"/>
        <v>-0.42857142857142855</v>
      </c>
      <c r="I122" s="1296">
        <v>0</v>
      </c>
      <c r="J122" s="462">
        <f t="shared" si="67"/>
        <v>-1</v>
      </c>
      <c r="K122" s="1296">
        <v>0</v>
      </c>
      <c r="L122" s="462" t="str">
        <f t="shared" si="68"/>
        <v>N/A</v>
      </c>
      <c r="M122" s="1296">
        <v>0</v>
      </c>
      <c r="N122" s="462" t="str">
        <f t="shared" si="69"/>
        <v>N/A</v>
      </c>
      <c r="O122" s="1296">
        <v>0</v>
      </c>
      <c r="P122" s="1362" t="str">
        <f t="shared" si="70"/>
        <v>N/A</v>
      </c>
      <c r="Q122" s="1296">
        <v>0</v>
      </c>
      <c r="R122" s="1362" t="str">
        <f t="shared" si="71"/>
        <v>N/A</v>
      </c>
    </row>
    <row r="123" spans="1:18" ht="18" customHeight="1" x14ac:dyDescent="0.3">
      <c r="A123" s="552" t="s">
        <v>1663</v>
      </c>
      <c r="B123" s="1296">
        <v>0</v>
      </c>
      <c r="C123" s="1296">
        <v>0</v>
      </c>
      <c r="D123" s="1362" t="str">
        <f t="shared" si="64"/>
        <v>N/A</v>
      </c>
      <c r="E123" s="1296">
        <v>0</v>
      </c>
      <c r="F123" s="462" t="str">
        <f t="shared" si="65"/>
        <v>N/A</v>
      </c>
      <c r="G123" s="1296">
        <v>0</v>
      </c>
      <c r="H123" s="1362" t="str">
        <f t="shared" si="66"/>
        <v>N/A</v>
      </c>
      <c r="I123" s="1296">
        <v>0</v>
      </c>
      <c r="J123" s="462" t="str">
        <f t="shared" si="67"/>
        <v>N/A</v>
      </c>
      <c r="K123" s="1296">
        <v>0</v>
      </c>
      <c r="L123" s="462" t="str">
        <f t="shared" si="68"/>
        <v>N/A</v>
      </c>
      <c r="M123" s="1296">
        <v>0</v>
      </c>
      <c r="N123" s="462" t="str">
        <f t="shared" si="69"/>
        <v>N/A</v>
      </c>
      <c r="O123" s="1296">
        <v>8</v>
      </c>
      <c r="P123" s="1362">
        <f t="shared" si="70"/>
        <v>1</v>
      </c>
      <c r="Q123" s="1296">
        <v>9</v>
      </c>
      <c r="R123" s="1362">
        <f t="shared" si="71"/>
        <v>0.125</v>
      </c>
    </row>
    <row r="124" spans="1:18" ht="18" customHeight="1" x14ac:dyDescent="0.3">
      <c r="A124" s="552" t="s">
        <v>1106</v>
      </c>
      <c r="B124" s="1296">
        <v>49</v>
      </c>
      <c r="C124" s="1296">
        <v>48</v>
      </c>
      <c r="D124" s="1362">
        <f t="shared" si="64"/>
        <v>-2.0408163265306121E-2</v>
      </c>
      <c r="E124" s="1296">
        <v>37</v>
      </c>
      <c r="F124" s="462">
        <f t="shared" si="65"/>
        <v>-0.22916666666666666</v>
      </c>
      <c r="G124" s="1296">
        <v>54</v>
      </c>
      <c r="H124" s="1362">
        <f t="shared" si="66"/>
        <v>0.45945945945945948</v>
      </c>
      <c r="I124" s="1296">
        <v>54</v>
      </c>
      <c r="J124" s="462">
        <f t="shared" si="67"/>
        <v>0</v>
      </c>
      <c r="K124" s="1296">
        <v>58</v>
      </c>
      <c r="L124" s="462">
        <f t="shared" si="68"/>
        <v>7.407407407407407E-2</v>
      </c>
      <c r="M124" s="1296">
        <v>60</v>
      </c>
      <c r="N124" s="462">
        <f t="shared" si="69"/>
        <v>3.4482758620689655E-2</v>
      </c>
      <c r="O124" s="1296">
        <v>63</v>
      </c>
      <c r="P124" s="1362">
        <f t="shared" si="70"/>
        <v>0.05</v>
      </c>
      <c r="Q124" s="1296">
        <v>51</v>
      </c>
      <c r="R124" s="1362">
        <f t="shared" si="71"/>
        <v>-0.19047619047619047</v>
      </c>
    </row>
    <row r="125" spans="1:18" ht="18" customHeight="1" x14ac:dyDescent="0.3">
      <c r="A125" s="552" t="s">
        <v>397</v>
      </c>
      <c r="B125" s="1296">
        <v>4</v>
      </c>
      <c r="C125" s="1296">
        <v>5</v>
      </c>
      <c r="D125" s="1362">
        <f t="shared" si="64"/>
        <v>0.25</v>
      </c>
      <c r="E125" s="1296">
        <v>4</v>
      </c>
      <c r="F125" s="462">
        <f t="shared" si="65"/>
        <v>-0.2</v>
      </c>
      <c r="G125" s="1296">
        <v>2</v>
      </c>
      <c r="H125" s="1362">
        <f t="shared" si="66"/>
        <v>-0.5</v>
      </c>
      <c r="I125" s="1296">
        <v>0</v>
      </c>
      <c r="J125" s="462">
        <f t="shared" si="67"/>
        <v>-1</v>
      </c>
      <c r="K125" s="1296">
        <v>0</v>
      </c>
      <c r="L125" s="462" t="str">
        <f t="shared" si="68"/>
        <v>N/A</v>
      </c>
      <c r="M125" s="1296">
        <v>0</v>
      </c>
      <c r="N125" s="462" t="str">
        <f t="shared" si="69"/>
        <v>N/A</v>
      </c>
      <c r="O125" s="1296">
        <v>0</v>
      </c>
      <c r="P125" s="1362" t="str">
        <f t="shared" si="70"/>
        <v>N/A</v>
      </c>
      <c r="Q125" s="1296">
        <v>0</v>
      </c>
      <c r="R125" s="1362" t="str">
        <f t="shared" si="71"/>
        <v>N/A</v>
      </c>
    </row>
    <row r="126" spans="1:18" ht="18" customHeight="1" x14ac:dyDescent="0.3">
      <c r="A126" s="552" t="s">
        <v>1108</v>
      </c>
      <c r="B126" s="1296">
        <v>49</v>
      </c>
      <c r="C126" s="1296">
        <v>63</v>
      </c>
      <c r="D126" s="1362">
        <f t="shared" si="64"/>
        <v>0.2857142857142857</v>
      </c>
      <c r="E126" s="1296">
        <v>59</v>
      </c>
      <c r="F126" s="462">
        <f t="shared" si="65"/>
        <v>-6.3492063492063489E-2</v>
      </c>
      <c r="G126" s="1296">
        <v>70</v>
      </c>
      <c r="H126" s="1362">
        <f t="shared" si="66"/>
        <v>0.1864406779661017</v>
      </c>
      <c r="I126" s="1296">
        <v>79</v>
      </c>
      <c r="J126" s="462">
        <f t="shared" si="67"/>
        <v>0.12857142857142856</v>
      </c>
      <c r="K126" s="1296">
        <v>86</v>
      </c>
      <c r="L126" s="462">
        <f t="shared" si="68"/>
        <v>8.8607594936708861E-2</v>
      </c>
      <c r="M126" s="1296">
        <v>76</v>
      </c>
      <c r="N126" s="462">
        <f t="shared" si="69"/>
        <v>-0.11627906976744186</v>
      </c>
      <c r="O126" s="1296">
        <v>84</v>
      </c>
      <c r="P126" s="1362">
        <f t="shared" si="70"/>
        <v>0.10526315789473684</v>
      </c>
      <c r="Q126" s="1296">
        <v>91</v>
      </c>
      <c r="R126" s="1362">
        <f t="shared" si="71"/>
        <v>8.3333333333333329E-2</v>
      </c>
    </row>
    <row r="127" spans="1:18" ht="18" customHeight="1" x14ac:dyDescent="0.3">
      <c r="A127" s="552" t="s">
        <v>399</v>
      </c>
      <c r="B127" s="1296">
        <v>6</v>
      </c>
      <c r="C127" s="1296">
        <v>5</v>
      </c>
      <c r="D127" s="1362">
        <f t="shared" si="64"/>
        <v>-0.16666666666666666</v>
      </c>
      <c r="E127" s="1296">
        <v>3</v>
      </c>
      <c r="F127" s="462">
        <f t="shared" si="65"/>
        <v>-0.4</v>
      </c>
      <c r="G127" s="1296">
        <v>2</v>
      </c>
      <c r="H127" s="1362">
        <f t="shared" si="66"/>
        <v>-0.33333333333333331</v>
      </c>
      <c r="I127" s="1296">
        <v>1</v>
      </c>
      <c r="J127" s="462">
        <f t="shared" si="67"/>
        <v>-0.5</v>
      </c>
      <c r="K127" s="1296">
        <v>0</v>
      </c>
      <c r="L127" s="462">
        <f t="shared" si="68"/>
        <v>-1</v>
      </c>
      <c r="M127" s="1296">
        <v>0</v>
      </c>
      <c r="N127" s="462" t="str">
        <f t="shared" si="69"/>
        <v>N/A</v>
      </c>
      <c r="O127" s="1296">
        <v>0</v>
      </c>
      <c r="P127" s="1362" t="str">
        <f t="shared" si="70"/>
        <v>N/A</v>
      </c>
      <c r="Q127" s="1296">
        <v>0</v>
      </c>
      <c r="R127" s="1362" t="str">
        <f t="shared" si="71"/>
        <v>N/A</v>
      </c>
    </row>
    <row r="128" spans="1:18" ht="18" customHeight="1" x14ac:dyDescent="0.3">
      <c r="A128" s="553" t="s">
        <v>1015</v>
      </c>
      <c r="B128" s="1296">
        <f>SUM(B115:B127)</f>
        <v>204</v>
      </c>
      <c r="C128" s="1489">
        <f>SUM(C115:C127)</f>
        <v>216</v>
      </c>
      <c r="D128" s="1362">
        <f t="shared" si="64"/>
        <v>5.8823529411764705E-2</v>
      </c>
      <c r="E128" s="1296">
        <f>SUM(E115:E127)</f>
        <v>182</v>
      </c>
      <c r="F128" s="462">
        <f t="shared" si="65"/>
        <v>-0.15740740740740741</v>
      </c>
      <c r="G128" s="1296">
        <f>SUM(G115:G127)</f>
        <v>192</v>
      </c>
      <c r="H128" s="1362">
        <f t="shared" si="66"/>
        <v>5.4945054945054944E-2</v>
      </c>
      <c r="I128" s="1296">
        <f>SUM(I115:I127)</f>
        <v>179</v>
      </c>
      <c r="J128" s="462">
        <f t="shared" si="67"/>
        <v>-6.7708333333333329E-2</v>
      </c>
      <c r="K128" s="1296">
        <f>SUM(K115:K127)</f>
        <v>184</v>
      </c>
      <c r="L128" s="462">
        <f t="shared" si="68"/>
        <v>2.7932960893854747E-2</v>
      </c>
      <c r="M128" s="1296">
        <f>SUM(M115:M127)</f>
        <v>178</v>
      </c>
      <c r="N128" s="462">
        <f t="shared" si="69"/>
        <v>-3.2608695652173912E-2</v>
      </c>
      <c r="O128" s="1296">
        <f>SUM(O115:O127)</f>
        <v>191</v>
      </c>
      <c r="P128" s="1362">
        <f t="shared" si="70"/>
        <v>7.3033707865168537E-2</v>
      </c>
      <c r="Q128" s="1296">
        <f>SUM(Q115:Q127)</f>
        <v>203</v>
      </c>
      <c r="R128" s="1362">
        <f t="shared" si="71"/>
        <v>6.2827225130890049E-2</v>
      </c>
    </row>
    <row r="129" spans="1:18" ht="18" customHeight="1" thickBot="1" x14ac:dyDescent="0.35">
      <c r="A129" s="556" t="s">
        <v>430</v>
      </c>
      <c r="B129" s="545">
        <f>+B128+B113</f>
        <v>611</v>
      </c>
      <c r="C129" s="545">
        <f>+C128+C113</f>
        <v>681</v>
      </c>
      <c r="D129" s="705">
        <f t="shared" si="64"/>
        <v>0.11456628477905073</v>
      </c>
      <c r="E129" s="545">
        <f>+E128+E113</f>
        <v>691</v>
      </c>
      <c r="F129" s="1154">
        <f t="shared" si="65"/>
        <v>1.4684287812041116E-2</v>
      </c>
      <c r="G129" s="545">
        <f>+G128+G113</f>
        <v>676</v>
      </c>
      <c r="H129" s="705">
        <f t="shared" si="66"/>
        <v>-2.1707670043415339E-2</v>
      </c>
      <c r="I129" s="545">
        <f>+I128+I113</f>
        <v>643</v>
      </c>
      <c r="J129" s="1154">
        <f t="shared" si="67"/>
        <v>-4.8816568047337278E-2</v>
      </c>
      <c r="K129" s="545">
        <f>+K128+K113</f>
        <v>648</v>
      </c>
      <c r="L129" s="1154">
        <f t="shared" si="68"/>
        <v>7.7760497667185074E-3</v>
      </c>
      <c r="M129" s="545">
        <f>+M128+M113</f>
        <v>619</v>
      </c>
      <c r="N129" s="1154">
        <f t="shared" si="69"/>
        <v>-4.4753086419753084E-2</v>
      </c>
      <c r="O129" s="545">
        <f>+O128+O113</f>
        <v>610</v>
      </c>
      <c r="P129" s="705">
        <f t="shared" si="70"/>
        <v>-1.4539579967689823E-2</v>
      </c>
      <c r="Q129" s="545">
        <f>+Q128+Q113</f>
        <v>641</v>
      </c>
      <c r="R129" s="705">
        <f t="shared" si="71"/>
        <v>5.0819672131147541E-2</v>
      </c>
    </row>
    <row r="130" spans="1:18" ht="18" customHeight="1" thickBot="1" x14ac:dyDescent="0.35">
      <c r="A130" s="1486" t="s">
        <v>984</v>
      </c>
      <c r="B130" s="1482"/>
      <c r="C130" s="1482"/>
      <c r="D130" s="1482"/>
      <c r="E130" s="1482"/>
      <c r="F130" s="1482"/>
      <c r="G130" s="1482"/>
      <c r="H130" s="1482"/>
      <c r="I130" s="1482"/>
      <c r="J130" s="1482"/>
      <c r="K130" s="1482"/>
      <c r="L130" s="1482"/>
      <c r="M130" s="1482"/>
      <c r="N130" s="1482"/>
      <c r="O130" s="1482"/>
      <c r="P130" s="1487"/>
      <c r="Q130" s="1482"/>
      <c r="R130" s="1487"/>
    </row>
    <row r="131" spans="1:18" ht="18" customHeight="1" x14ac:dyDescent="0.3">
      <c r="A131" s="552" t="s">
        <v>1144</v>
      </c>
      <c r="B131" s="1296">
        <f>127+83</f>
        <v>210</v>
      </c>
      <c r="C131" s="1296">
        <f>148+41</f>
        <v>189</v>
      </c>
      <c r="D131" s="1362">
        <f t="shared" ref="D131:D136" si="72">IF(B131&gt;0,(C131-B131)/B131,(IF(C131=0,"N/A",100%)))</f>
        <v>-0.1</v>
      </c>
      <c r="E131" s="1296">
        <f>166+46</f>
        <v>212</v>
      </c>
      <c r="F131" s="462">
        <f t="shared" ref="F131:F136" si="73">IF(C131&gt;0,(E131-C131)/C131,(IF(E131=0,"N/A",100%)))</f>
        <v>0.12169312169312169</v>
      </c>
      <c r="G131" s="1296">
        <v>120</v>
      </c>
      <c r="H131" s="1362">
        <f t="shared" ref="H131:H136" si="74">IF(E131&gt;0,(G131-E131)/E131,(IF(G131=0,"N/A",100%)))</f>
        <v>-0.43396226415094341</v>
      </c>
      <c r="I131" s="1296">
        <v>244</v>
      </c>
      <c r="J131" s="462">
        <f t="shared" ref="J131:J136" si="75">IF(G131&gt;0,(I131-G131)/G131,(IF(I131=0,"N/A",100%)))</f>
        <v>1.0333333333333334</v>
      </c>
      <c r="K131" s="1296">
        <f>226+125</f>
        <v>351</v>
      </c>
      <c r="L131" s="1483">
        <f t="shared" ref="L131:L136" si="76">IF(I131&gt;0,(K131-I131)/I131,(IF(K131=0,"N/A",100%)))</f>
        <v>0.43852459016393441</v>
      </c>
      <c r="M131" s="1296">
        <v>84</v>
      </c>
      <c r="N131" s="462">
        <f t="shared" ref="N131:N136" si="77">IF(K131&gt;0,(M131-K131)/K131,(IF(M131=0,"N/A",100%)))</f>
        <v>-0.76068376068376065</v>
      </c>
      <c r="O131" s="1296">
        <f>238+42</f>
        <v>280</v>
      </c>
      <c r="P131" s="1362">
        <f t="shared" ref="P131:P136" si="78">IF(M131&gt;0,(O131-M131)/M131,(IF(O131=0,"N/A",100%)))</f>
        <v>2.3333333333333335</v>
      </c>
      <c r="Q131" s="1296">
        <v>204</v>
      </c>
      <c r="R131" s="1362">
        <f t="shared" ref="R131:R136" si="79">IF(O131&gt;0,(Q131-O131)/O131,(IF(Q131=0,"N/A",100%)))</f>
        <v>-0.27142857142857141</v>
      </c>
    </row>
    <row r="132" spans="1:18" ht="18" customHeight="1" x14ac:dyDescent="0.3">
      <c r="A132" s="552" t="s">
        <v>1145</v>
      </c>
      <c r="B132" s="1296">
        <v>0</v>
      </c>
      <c r="C132" s="1296">
        <v>0</v>
      </c>
      <c r="D132" s="1362" t="str">
        <f t="shared" si="72"/>
        <v>N/A</v>
      </c>
      <c r="E132" s="1296">
        <v>0</v>
      </c>
      <c r="F132" s="462" t="str">
        <f t="shared" si="73"/>
        <v>N/A</v>
      </c>
      <c r="G132" s="1296">
        <v>0</v>
      </c>
      <c r="H132" s="1362" t="str">
        <f t="shared" si="74"/>
        <v>N/A</v>
      </c>
      <c r="I132" s="1296">
        <v>0</v>
      </c>
      <c r="J132" s="462" t="str">
        <f t="shared" si="75"/>
        <v>N/A</v>
      </c>
      <c r="K132" s="1296">
        <v>0</v>
      </c>
      <c r="L132" s="1483" t="str">
        <f t="shared" si="76"/>
        <v>N/A</v>
      </c>
      <c r="M132" s="1296">
        <v>0</v>
      </c>
      <c r="N132" s="462" t="str">
        <f t="shared" si="77"/>
        <v>N/A</v>
      </c>
      <c r="O132" s="1296">
        <v>8</v>
      </c>
      <c r="P132" s="1362">
        <f t="shared" si="78"/>
        <v>1</v>
      </c>
      <c r="Q132" s="1296">
        <v>24</v>
      </c>
      <c r="R132" s="1362">
        <f t="shared" si="79"/>
        <v>2</v>
      </c>
    </row>
    <row r="133" spans="1:18" ht="18" customHeight="1" x14ac:dyDescent="0.3">
      <c r="A133" s="552" t="s">
        <v>1146</v>
      </c>
      <c r="B133" s="1296">
        <v>0</v>
      </c>
      <c r="C133" s="1296">
        <v>0</v>
      </c>
      <c r="D133" s="1362" t="str">
        <f t="shared" si="72"/>
        <v>N/A</v>
      </c>
      <c r="E133" s="1296">
        <v>0</v>
      </c>
      <c r="F133" s="462" t="str">
        <f t="shared" si="73"/>
        <v>N/A</v>
      </c>
      <c r="G133" s="1296">
        <v>0</v>
      </c>
      <c r="H133" s="1362" t="str">
        <f t="shared" si="74"/>
        <v>N/A</v>
      </c>
      <c r="I133" s="1296">
        <v>0</v>
      </c>
      <c r="J133" s="462" t="str">
        <f t="shared" si="75"/>
        <v>N/A</v>
      </c>
      <c r="K133" s="1296">
        <v>0</v>
      </c>
      <c r="L133" s="1483" t="str">
        <f t="shared" si="76"/>
        <v>N/A</v>
      </c>
      <c r="M133" s="1296">
        <v>0</v>
      </c>
      <c r="N133" s="462" t="str">
        <f t="shared" si="77"/>
        <v>N/A</v>
      </c>
      <c r="O133" s="1296">
        <v>0</v>
      </c>
      <c r="P133" s="1362" t="str">
        <f t="shared" si="78"/>
        <v>N/A</v>
      </c>
      <c r="Q133" s="1296">
        <v>0</v>
      </c>
      <c r="R133" s="1362" t="str">
        <f t="shared" si="79"/>
        <v>N/A</v>
      </c>
    </row>
    <row r="134" spans="1:18" ht="18" customHeight="1" x14ac:dyDescent="0.3">
      <c r="A134" s="552" t="s">
        <v>1759</v>
      </c>
      <c r="B134" s="1296">
        <v>33</v>
      </c>
      <c r="C134" s="1296">
        <v>47</v>
      </c>
      <c r="D134" s="1362">
        <f t="shared" si="72"/>
        <v>0.42424242424242425</v>
      </c>
      <c r="E134" s="1296">
        <v>31</v>
      </c>
      <c r="F134" s="462">
        <f t="shared" si="73"/>
        <v>-0.34042553191489361</v>
      </c>
      <c r="G134" s="1296">
        <v>244</v>
      </c>
      <c r="H134" s="1362">
        <f t="shared" si="74"/>
        <v>6.870967741935484</v>
      </c>
      <c r="I134" s="1296">
        <v>227</v>
      </c>
      <c r="J134" s="462">
        <f t="shared" si="75"/>
        <v>-6.9672131147540978E-2</v>
      </c>
      <c r="K134" s="1296">
        <v>65</v>
      </c>
      <c r="L134" s="1483">
        <f t="shared" si="76"/>
        <v>-0.71365638766519823</v>
      </c>
      <c r="M134" s="1296">
        <f>195+40</f>
        <v>235</v>
      </c>
      <c r="N134" s="462">
        <f t="shared" si="77"/>
        <v>2.6153846153846154</v>
      </c>
      <c r="O134" s="1296">
        <v>41</v>
      </c>
      <c r="P134" s="1362">
        <f t="shared" si="78"/>
        <v>-0.82553191489361699</v>
      </c>
      <c r="Q134" s="1296">
        <v>49</v>
      </c>
      <c r="R134" s="1362">
        <f t="shared" si="79"/>
        <v>0.1951219512195122</v>
      </c>
    </row>
    <row r="135" spans="1:18" ht="18" customHeight="1" x14ac:dyDescent="0.3">
      <c r="A135" s="553" t="s">
        <v>1015</v>
      </c>
      <c r="B135" s="1490">
        <f>SUM(B131:B134)</f>
        <v>243</v>
      </c>
      <c r="C135" s="1490">
        <f>SUM(C131:C134)</f>
        <v>236</v>
      </c>
      <c r="D135" s="1362">
        <f t="shared" si="72"/>
        <v>-2.8806584362139918E-2</v>
      </c>
      <c r="E135" s="1490">
        <f>SUM(E131:E134)</f>
        <v>243</v>
      </c>
      <c r="F135" s="462">
        <f t="shared" si="73"/>
        <v>2.9661016949152543E-2</v>
      </c>
      <c r="G135" s="1490">
        <f>SUM(G131:G134)</f>
        <v>364</v>
      </c>
      <c r="H135" s="1362">
        <f t="shared" si="74"/>
        <v>0.49794238683127573</v>
      </c>
      <c r="I135" s="1490">
        <f>SUM(I131:I134)</f>
        <v>471</v>
      </c>
      <c r="J135" s="462">
        <f t="shared" si="75"/>
        <v>0.29395604395604397</v>
      </c>
      <c r="K135" s="1490">
        <f>SUM(K131:K134)</f>
        <v>416</v>
      </c>
      <c r="L135" s="1483">
        <f t="shared" si="76"/>
        <v>-0.11677282377919321</v>
      </c>
      <c r="M135" s="1490">
        <f>SUM(M131:M134)</f>
        <v>319</v>
      </c>
      <c r="N135" s="462">
        <f t="shared" si="77"/>
        <v>-0.23317307692307693</v>
      </c>
      <c r="O135" s="1490">
        <f>SUM(O131:O134)</f>
        <v>329</v>
      </c>
      <c r="P135" s="1362">
        <f t="shared" si="78"/>
        <v>3.1347962382445138E-2</v>
      </c>
      <c r="Q135" s="1490">
        <f>SUM(Q131:Q134)</f>
        <v>277</v>
      </c>
      <c r="R135" s="1362">
        <f t="shared" si="79"/>
        <v>-0.1580547112462006</v>
      </c>
    </row>
    <row r="136" spans="1:18" ht="18" customHeight="1" thickBot="1" x14ac:dyDescent="0.35">
      <c r="A136" s="559" t="s">
        <v>1003</v>
      </c>
      <c r="B136" s="560">
        <f>+B135+B129+B102+B68+B35</f>
        <v>2408</v>
      </c>
      <c r="C136" s="560">
        <f>+C135+C129+C102+C68+C35</f>
        <v>2614</v>
      </c>
      <c r="D136" s="1493">
        <f t="shared" si="72"/>
        <v>8.5548172757475088E-2</v>
      </c>
      <c r="E136" s="560">
        <f>+E135+E129+E102+E68+E35</f>
        <v>2838</v>
      </c>
      <c r="F136" s="1485">
        <f t="shared" si="73"/>
        <v>8.5692425401683245E-2</v>
      </c>
      <c r="G136" s="560">
        <f>+G135+G129+G102+G68+G35</f>
        <v>3060</v>
      </c>
      <c r="H136" s="1493">
        <f t="shared" si="74"/>
        <v>7.8224101479915431E-2</v>
      </c>
      <c r="I136" s="560">
        <f>+I135+I129+I102+I68+I35</f>
        <v>3069</v>
      </c>
      <c r="J136" s="1485">
        <f t="shared" si="75"/>
        <v>2.9411764705882353E-3</v>
      </c>
      <c r="K136" s="560">
        <f>+K135+K129+K102+K68+K35</f>
        <v>3049</v>
      </c>
      <c r="L136" s="1494">
        <f t="shared" si="76"/>
        <v>-6.5167807103290974E-3</v>
      </c>
      <c r="M136" s="560">
        <f>+M135+M129+M102+M68+M35</f>
        <v>2877</v>
      </c>
      <c r="N136" s="1485">
        <f t="shared" si="77"/>
        <v>-5.6411938340439491E-2</v>
      </c>
      <c r="O136" s="560">
        <f>+O135+O129+O102+O68+O35</f>
        <v>2787</v>
      </c>
      <c r="P136" s="1493">
        <f t="shared" si="78"/>
        <v>-3.1282586027111578E-2</v>
      </c>
      <c r="Q136" s="560">
        <f>+Q135+Q129+Q102+Q68+Q35</f>
        <v>2701</v>
      </c>
      <c r="R136" s="1493">
        <f t="shared" si="79"/>
        <v>-3.0857552924291352E-2</v>
      </c>
    </row>
    <row r="137" spans="1:18" ht="18" customHeight="1" x14ac:dyDescent="0.25">
      <c r="A137" s="474"/>
      <c r="B137" s="475"/>
      <c r="C137" s="475"/>
      <c r="D137" s="476"/>
      <c r="M137" s="1278"/>
    </row>
  </sheetData>
  <mergeCells count="5">
    <mergeCell ref="A103:R103"/>
    <mergeCell ref="A69:R69"/>
    <mergeCell ref="A36:R36"/>
    <mergeCell ref="A3:R3"/>
    <mergeCell ref="A1:R1"/>
  </mergeCells>
  <phoneticPr fontId="16" type="noConversion"/>
  <printOptions horizontalCentered="1" verticalCentered="1"/>
  <pageMargins left="0.2" right="0.2" top="0.3" bottom="0.4" header="0" footer="0.15"/>
  <pageSetup scale="47" orientation="landscape" r:id="rId1"/>
  <headerFooter alignWithMargins="0">
    <oddFooter>&amp;LSource: Office of Institutional Research</oddFooter>
  </headerFooter>
  <rowBreaks count="1" manualBreakCount="1">
    <brk id="68" max="16383" man="1"/>
  </rowBreaks>
  <legacyDrawing r:id="rId2"/>
  <webPublishItems count="1">
    <webPublishItem id="10078" divId="2004_2005 FACT BOOK WORKING COPY_10078" sourceType="sheet" destinationFile="C:\Documents and Settings\mkirkpatrick\My Documents\2005-2006 Fact Book\2005-2006 WEB PAGES\05-06fallheaccountbycollege.htm"/>
  </webPublishItem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30"/>
  <sheetViews>
    <sheetView workbookViewId="0"/>
  </sheetViews>
  <sheetFormatPr defaultColWidth="6.6640625" defaultRowHeight="13.2" x14ac:dyDescent="0.25"/>
  <cols>
    <col min="1" max="1" width="40" style="4" customWidth="1"/>
    <col min="2" max="16384" width="6.6640625" style="1"/>
  </cols>
  <sheetData>
    <row r="1" spans="1:7" ht="22.8" x14ac:dyDescent="0.4">
      <c r="A1" s="10" t="s">
        <v>811</v>
      </c>
    </row>
    <row r="2" spans="1:7" ht="22.8" x14ac:dyDescent="0.4">
      <c r="A2" s="10"/>
    </row>
    <row r="4" spans="1:7" x14ac:dyDescent="0.25">
      <c r="A4" s="11" t="s">
        <v>1735</v>
      </c>
    </row>
    <row r="5" spans="1:7" x14ac:dyDescent="0.25">
      <c r="A5" s="4" t="s">
        <v>812</v>
      </c>
    </row>
    <row r="8" spans="1:7" x14ac:dyDescent="0.25">
      <c r="A8" s="11" t="s">
        <v>1586</v>
      </c>
    </row>
    <row r="9" spans="1:7" x14ac:dyDescent="0.25">
      <c r="A9" s="4" t="s">
        <v>813</v>
      </c>
    </row>
    <row r="12" spans="1:7" x14ac:dyDescent="0.25">
      <c r="A12" s="433" t="s">
        <v>1585</v>
      </c>
      <c r="B12" s="321"/>
      <c r="C12" s="321"/>
      <c r="D12" s="321"/>
      <c r="E12" s="321"/>
      <c r="F12" s="321"/>
      <c r="G12" s="321"/>
    </row>
    <row r="13" spans="1:7" x14ac:dyDescent="0.25">
      <c r="A13" s="322" t="s">
        <v>1172</v>
      </c>
      <c r="B13" s="321"/>
      <c r="C13" s="321"/>
      <c r="D13" s="321"/>
      <c r="E13" s="321"/>
      <c r="F13" s="321"/>
      <c r="G13" s="321"/>
    </row>
    <row r="14" spans="1:7" x14ac:dyDescent="0.25">
      <c r="A14" s="322" t="s">
        <v>470</v>
      </c>
      <c r="B14" s="321"/>
      <c r="C14" s="321"/>
      <c r="D14" s="321"/>
      <c r="E14" s="321"/>
      <c r="F14" s="321"/>
      <c r="G14" s="321"/>
    </row>
    <row r="15" spans="1:7" x14ac:dyDescent="0.25">
      <c r="A15" s="322"/>
      <c r="B15" s="321"/>
      <c r="C15" s="321"/>
      <c r="D15" s="321"/>
      <c r="E15" s="321"/>
      <c r="F15" s="321"/>
      <c r="G15" s="321"/>
    </row>
    <row r="17" spans="1:1" x14ac:dyDescent="0.25">
      <c r="A17" s="9" t="s">
        <v>814</v>
      </c>
    </row>
    <row r="18" spans="1:1" x14ac:dyDescent="0.25">
      <c r="A18" s="4" t="s">
        <v>815</v>
      </c>
    </row>
    <row r="21" spans="1:1" x14ac:dyDescent="0.25">
      <c r="A21" s="9" t="s">
        <v>1441</v>
      </c>
    </row>
    <row r="22" spans="1:1" x14ac:dyDescent="0.25">
      <c r="A22" s="890" t="s">
        <v>1442</v>
      </c>
    </row>
    <row r="25" spans="1:1" x14ac:dyDescent="0.25">
      <c r="A25" s="12" t="s">
        <v>1440</v>
      </c>
    </row>
    <row r="26" spans="1:1" x14ac:dyDescent="0.25">
      <c r="A26" s="889" t="s">
        <v>1439</v>
      </c>
    </row>
    <row r="29" spans="1:1" x14ac:dyDescent="0.25">
      <c r="A29" s="9" t="s">
        <v>816</v>
      </c>
    </row>
    <row r="30" spans="1:1" x14ac:dyDescent="0.25">
      <c r="A30" s="4" t="s">
        <v>817</v>
      </c>
    </row>
  </sheetData>
  <phoneticPr fontId="16" type="noConversion"/>
  <printOptions horizontalCentered="1" verticalCentered="1"/>
  <pageMargins left="0.75" right="0.75" top="1" bottom="1" header="0.5" footer="0.5"/>
  <pageSetup orientation="portrait" horizontalDpi="4294967292" verticalDpi="300" r:id="rId1"/>
  <headerFooter alignWithMargins="0"/>
  <webPublishItems count="1">
    <webPublishItem id="22036" divId="2001_2002 FACT BOOK FINAL COPY_22036" sourceType="sheet" destinationFile="U:\My Documents\2004-2005 FACT BOOK\2004-2005 fact book WEB PAGES\04_05executiveofficers.htm"/>
  </webPublishItem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A1:AK319"/>
  <sheetViews>
    <sheetView zoomScale="30" zoomScaleNormal="30" workbookViewId="0">
      <selection sqref="A1:AK1"/>
    </sheetView>
  </sheetViews>
  <sheetFormatPr defaultRowHeight="13.2" x14ac:dyDescent="0.25"/>
  <cols>
    <col min="1" max="1" width="72.109375" bestFit="1" customWidth="1"/>
    <col min="2" max="17" width="15.44140625" customWidth="1"/>
    <col min="18" max="23" width="15.33203125" customWidth="1"/>
    <col min="24" max="33" width="15.44140625" customWidth="1"/>
    <col min="34" max="94" width="15.33203125" customWidth="1"/>
  </cols>
  <sheetData>
    <row r="1" spans="1:37" ht="19.2" x14ac:dyDescent="0.35">
      <c r="A1" s="2174" t="s">
        <v>1567</v>
      </c>
      <c r="B1" s="2174"/>
      <c r="C1" s="2174"/>
      <c r="D1" s="2174"/>
      <c r="E1" s="2174"/>
      <c r="F1" s="2174"/>
      <c r="G1" s="2174"/>
      <c r="H1" s="2174"/>
      <c r="I1" s="2174"/>
      <c r="J1" s="2174"/>
      <c r="K1" s="2174"/>
      <c r="L1" s="2174"/>
      <c r="M1" s="2174"/>
      <c r="N1" s="2174"/>
      <c r="O1" s="2174"/>
      <c r="P1" s="2174"/>
      <c r="Q1" s="2174"/>
      <c r="R1" s="2174"/>
      <c r="S1" s="2174"/>
      <c r="T1" s="2174"/>
      <c r="U1" s="2174"/>
      <c r="V1" s="2174"/>
      <c r="W1" s="2174"/>
      <c r="X1" s="2174"/>
      <c r="Y1" s="2174"/>
      <c r="Z1" s="2174"/>
      <c r="AA1" s="2174"/>
      <c r="AB1" s="2174"/>
      <c r="AC1" s="2174"/>
      <c r="AD1" s="2174"/>
      <c r="AE1" s="2174"/>
      <c r="AF1" s="2174"/>
      <c r="AG1" s="2174"/>
      <c r="AH1" s="2174"/>
      <c r="AI1" s="2174"/>
      <c r="AJ1" s="2174"/>
      <c r="AK1" s="2174"/>
    </row>
    <row r="2" spans="1:37" ht="8.25" customHeight="1" thickBot="1" x14ac:dyDescent="0.4">
      <c r="A2" s="458"/>
      <c r="B2" s="458"/>
      <c r="C2" s="458"/>
      <c r="D2" s="458"/>
      <c r="E2" s="458"/>
      <c r="F2" s="458"/>
      <c r="G2" s="458"/>
      <c r="H2" s="458"/>
      <c r="I2" s="458"/>
      <c r="J2" s="458"/>
      <c r="K2" s="458"/>
      <c r="L2" s="458"/>
      <c r="M2" s="458"/>
      <c r="N2" s="458"/>
      <c r="O2" s="458"/>
      <c r="P2" s="458"/>
      <c r="Q2" s="458"/>
    </row>
    <row r="3" spans="1:37" ht="20.25" customHeight="1" thickBot="1" x14ac:dyDescent="0.35">
      <c r="A3" s="2134" t="s">
        <v>409</v>
      </c>
      <c r="B3" s="2135"/>
      <c r="C3" s="2135"/>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6"/>
    </row>
    <row r="4" spans="1:37" ht="20.25" customHeight="1" x14ac:dyDescent="0.3">
      <c r="A4" s="549" t="s">
        <v>410</v>
      </c>
      <c r="B4" s="1906">
        <v>1996</v>
      </c>
      <c r="C4" s="1906">
        <v>1997</v>
      </c>
      <c r="D4" s="1906">
        <v>1998</v>
      </c>
      <c r="E4" s="1906">
        <v>1999</v>
      </c>
      <c r="F4" s="1907">
        <v>2000</v>
      </c>
      <c r="G4" s="1908" t="s">
        <v>387</v>
      </c>
      <c r="H4" s="1832">
        <f>F4+1</f>
        <v>2001</v>
      </c>
      <c r="I4" s="1908" t="s">
        <v>387</v>
      </c>
      <c r="J4" s="1832">
        <f>+H4+1</f>
        <v>2002</v>
      </c>
      <c r="K4" s="1908" t="s">
        <v>387</v>
      </c>
      <c r="L4" s="1832">
        <f>J4+1</f>
        <v>2003</v>
      </c>
      <c r="M4" s="1908" t="s">
        <v>387</v>
      </c>
      <c r="N4" s="1832">
        <f>L4+1</f>
        <v>2004</v>
      </c>
      <c r="O4" s="661" t="s">
        <v>387</v>
      </c>
      <c r="P4" s="662">
        <f>N4+1</f>
        <v>2005</v>
      </c>
      <c r="Q4" s="663" t="s">
        <v>387</v>
      </c>
      <c r="R4" s="662">
        <f>P4+1</f>
        <v>2006</v>
      </c>
      <c r="S4" s="663" t="s">
        <v>387</v>
      </c>
      <c r="T4" s="662">
        <f>R4+1</f>
        <v>2007</v>
      </c>
      <c r="U4" s="663" t="s">
        <v>387</v>
      </c>
      <c r="V4" s="662">
        <f>T4+1</f>
        <v>2008</v>
      </c>
      <c r="W4" s="663" t="s">
        <v>387</v>
      </c>
      <c r="X4" s="662">
        <f>V4+1</f>
        <v>2009</v>
      </c>
      <c r="Y4" s="663" t="s">
        <v>387</v>
      </c>
      <c r="Z4" s="662">
        <f>X4+1</f>
        <v>2010</v>
      </c>
      <c r="AA4" s="663" t="s">
        <v>387</v>
      </c>
      <c r="AB4" s="662">
        <f>Z4+1</f>
        <v>2011</v>
      </c>
      <c r="AC4" s="663" t="s">
        <v>387</v>
      </c>
      <c r="AD4" s="662">
        <f>AB4+1</f>
        <v>2012</v>
      </c>
      <c r="AE4" s="663" t="s">
        <v>387</v>
      </c>
      <c r="AF4" s="662">
        <v>2013</v>
      </c>
      <c r="AG4" s="663" t="s">
        <v>387</v>
      </c>
      <c r="AH4" s="662">
        <v>2014</v>
      </c>
      <c r="AI4" s="1923" t="s">
        <v>387</v>
      </c>
      <c r="AJ4" s="662">
        <v>2015</v>
      </c>
      <c r="AK4" s="663" t="s">
        <v>387</v>
      </c>
    </row>
    <row r="5" spans="1:37" ht="18" customHeight="1" x14ac:dyDescent="0.3">
      <c r="A5" s="551" t="s">
        <v>411</v>
      </c>
      <c r="B5" s="1909"/>
      <c r="C5" s="1909"/>
      <c r="D5" s="1909"/>
      <c r="E5" s="1909"/>
      <c r="F5" s="1910"/>
      <c r="G5" s="1911"/>
      <c r="H5" s="1910"/>
      <c r="I5" s="1911"/>
      <c r="J5" s="1910"/>
      <c r="K5" s="1911"/>
      <c r="L5" s="1910"/>
      <c r="M5" s="1911"/>
      <c r="N5" s="1910"/>
      <c r="O5" s="1261"/>
      <c r="P5" s="1262"/>
      <c r="Q5" s="1263"/>
      <c r="R5" s="1262"/>
      <c r="S5" s="1263"/>
      <c r="T5" s="1262"/>
      <c r="U5" s="1263"/>
      <c r="V5" s="1262"/>
      <c r="W5" s="1263"/>
      <c r="X5" s="1262"/>
      <c r="Y5" s="1263"/>
      <c r="Z5" s="1262"/>
      <c r="AA5" s="1263"/>
      <c r="AB5" s="1262"/>
      <c r="AC5" s="1263"/>
      <c r="AD5" s="1262"/>
      <c r="AE5" s="1263"/>
      <c r="AF5" s="1262"/>
      <c r="AG5" s="1263"/>
      <c r="AH5" s="1495"/>
      <c r="AI5" s="1263"/>
      <c r="AJ5" s="1495"/>
      <c r="AK5" s="1497"/>
    </row>
    <row r="6" spans="1:37" ht="18" customHeight="1" x14ac:dyDescent="0.3">
      <c r="A6" s="552" t="s">
        <v>1110</v>
      </c>
      <c r="B6" s="1629">
        <v>119</v>
      </c>
      <c r="C6" s="1629">
        <v>112</v>
      </c>
      <c r="D6" s="1629">
        <v>114</v>
      </c>
      <c r="E6" s="1629">
        <v>113</v>
      </c>
      <c r="F6" s="1629">
        <v>79</v>
      </c>
      <c r="G6" s="1912">
        <f t="shared" ref="G6:G13" si="0">AVERAGE(B6:F6)</f>
        <v>107.4</v>
      </c>
      <c r="H6" s="1629">
        <f>74-6</f>
        <v>68</v>
      </c>
      <c r="I6" s="1912">
        <f t="shared" ref="I6:I13" si="1">(H6+F6+E6+D6+C6)/5</f>
        <v>97.2</v>
      </c>
      <c r="J6" s="1629">
        <v>87</v>
      </c>
      <c r="K6" s="1912">
        <f t="shared" ref="K6:K13" si="2">(J6+H6+F6+E6+D6)/5</f>
        <v>92.2</v>
      </c>
      <c r="L6" s="1629">
        <v>87</v>
      </c>
      <c r="M6" s="1912">
        <f t="shared" ref="M6:M13" si="3">(L6+J6+H6+F6+E6)/5</f>
        <v>86.8</v>
      </c>
      <c r="N6" s="1629">
        <f>115-7</f>
        <v>108</v>
      </c>
      <c r="O6" s="1264">
        <f t="shared" ref="O6:O13" si="4">(+N6+L6+J6+H6+F6)/5</f>
        <v>85.8</v>
      </c>
      <c r="P6" s="1265">
        <v>114</v>
      </c>
      <c r="Q6" s="1266">
        <f t="shared" ref="Q6:Q13" si="5">(P6+N6+L6+J6+H6)/5</f>
        <v>92.8</v>
      </c>
      <c r="R6" s="1265">
        <f>108-5</f>
        <v>103</v>
      </c>
      <c r="S6" s="1266">
        <f t="shared" ref="S6:S13" si="6">(R6+P6+N6+L6+J6)/5</f>
        <v>99.8</v>
      </c>
      <c r="T6" s="1265">
        <v>98</v>
      </c>
      <c r="U6" s="1266">
        <f t="shared" ref="U6:U13" si="7">(T6+R6+P6+N6+L6)/5</f>
        <v>102</v>
      </c>
      <c r="V6" s="1265">
        <f>99+12</f>
        <v>111</v>
      </c>
      <c r="W6" s="1266">
        <f t="shared" ref="W6:W13" si="8">(V6+T6+R6+P6+N6)/5</f>
        <v>106.8</v>
      </c>
      <c r="X6" s="1265">
        <v>110</v>
      </c>
      <c r="Y6" s="1266">
        <f t="shared" ref="Y6:Y13" si="9">(X6+V6+T6+R6+P6)/5</f>
        <v>107.2</v>
      </c>
      <c r="Z6" s="1265">
        <v>127</v>
      </c>
      <c r="AA6" s="1266">
        <f t="shared" ref="AA6:AA13" si="10">(Z6+X6+V6+T6+R6)/5</f>
        <v>109.8</v>
      </c>
      <c r="AB6" s="1265">
        <v>125</v>
      </c>
      <c r="AC6" s="1266">
        <f t="shared" ref="AC6:AC13" si="11">(AB6+Z6+X6+V6+T6)/5</f>
        <v>114.2</v>
      </c>
      <c r="AD6" s="1265">
        <v>118</v>
      </c>
      <c r="AE6" s="1266">
        <f t="shared" ref="AE6:AE13" si="12">(AD6+AB6+Z6+X6+V6)/5</f>
        <v>118.2</v>
      </c>
      <c r="AF6" s="1629">
        <v>126</v>
      </c>
      <c r="AG6" s="1266">
        <f t="shared" ref="AG6:AG13" si="13">(AF6+AD6+AB6+Z6+X6)/5</f>
        <v>121.2</v>
      </c>
      <c r="AH6" s="1629">
        <v>132</v>
      </c>
      <c r="AI6" s="1266">
        <f>(AH6+AF6+AD6+AB6+Z6)/5</f>
        <v>125.6</v>
      </c>
      <c r="AJ6" s="1629">
        <v>134</v>
      </c>
      <c r="AK6" s="1498">
        <f>(AJ6+AH6+AF6+AD6+AB6)/5</f>
        <v>127</v>
      </c>
    </row>
    <row r="7" spans="1:37" ht="18" customHeight="1" x14ac:dyDescent="0.3">
      <c r="A7" s="552" t="s">
        <v>522</v>
      </c>
      <c r="B7" s="1629">
        <v>0</v>
      </c>
      <c r="C7" s="1629">
        <v>0</v>
      </c>
      <c r="D7" s="1629">
        <v>1</v>
      </c>
      <c r="E7" s="1629">
        <v>1</v>
      </c>
      <c r="F7" s="1629">
        <v>0</v>
      </c>
      <c r="G7" s="1913">
        <f t="shared" si="0"/>
        <v>0.4</v>
      </c>
      <c r="H7" s="1629">
        <v>6</v>
      </c>
      <c r="I7" s="1912">
        <f t="shared" si="1"/>
        <v>1.6</v>
      </c>
      <c r="J7" s="1629">
        <v>5</v>
      </c>
      <c r="K7" s="1912">
        <f t="shared" si="2"/>
        <v>2.6</v>
      </c>
      <c r="L7" s="1629">
        <v>2</v>
      </c>
      <c r="M7" s="1912">
        <f t="shared" si="3"/>
        <v>2.8</v>
      </c>
      <c r="N7" s="1629">
        <v>7</v>
      </c>
      <c r="O7" s="1264">
        <f t="shared" si="4"/>
        <v>4</v>
      </c>
      <c r="P7" s="1265">
        <v>6</v>
      </c>
      <c r="Q7" s="1266">
        <f t="shared" si="5"/>
        <v>5.2</v>
      </c>
      <c r="R7" s="1265">
        <v>5</v>
      </c>
      <c r="S7" s="1266">
        <f t="shared" si="6"/>
        <v>5</v>
      </c>
      <c r="T7" s="1265">
        <v>6</v>
      </c>
      <c r="U7" s="1266">
        <f t="shared" si="7"/>
        <v>5.2</v>
      </c>
      <c r="V7" s="1265">
        <v>16</v>
      </c>
      <c r="W7" s="1266">
        <f t="shared" si="8"/>
        <v>8</v>
      </c>
      <c r="X7" s="1265">
        <v>13</v>
      </c>
      <c r="Y7" s="1266">
        <f t="shared" si="9"/>
        <v>9.1999999999999993</v>
      </c>
      <c r="Z7" s="1265">
        <v>16</v>
      </c>
      <c r="AA7" s="1266">
        <f t="shared" si="10"/>
        <v>11.2</v>
      </c>
      <c r="AB7" s="1265">
        <v>11</v>
      </c>
      <c r="AC7" s="1266">
        <f t="shared" si="11"/>
        <v>12.4</v>
      </c>
      <c r="AD7" s="1265">
        <v>13</v>
      </c>
      <c r="AE7" s="1266">
        <f t="shared" si="12"/>
        <v>13.8</v>
      </c>
      <c r="AF7" s="1629">
        <v>17</v>
      </c>
      <c r="AG7" s="1266">
        <f t="shared" si="13"/>
        <v>14</v>
      </c>
      <c r="AH7" s="1629">
        <v>22</v>
      </c>
      <c r="AI7" s="1266">
        <f t="shared" ref="AI7:AI13" si="14">(AH7+AF7+AD7+AB7+Z7)/5</f>
        <v>15.8</v>
      </c>
      <c r="AJ7" s="1629">
        <v>18</v>
      </c>
      <c r="AK7" s="1498">
        <f t="shared" ref="AK7:AK13" si="15">(AJ7+AH7+AF7+AD7+AB7)/5</f>
        <v>16.2</v>
      </c>
    </row>
    <row r="8" spans="1:37" ht="18" customHeight="1" x14ac:dyDescent="0.3">
      <c r="A8" s="1363" t="s">
        <v>1114</v>
      </c>
      <c r="B8" s="1629">
        <v>7</v>
      </c>
      <c r="C8" s="1629">
        <v>8</v>
      </c>
      <c r="D8" s="1629">
        <v>11</v>
      </c>
      <c r="E8" s="1629">
        <v>5</v>
      </c>
      <c r="F8" s="1629">
        <v>8</v>
      </c>
      <c r="G8" s="1912">
        <f t="shared" si="0"/>
        <v>7.8</v>
      </c>
      <c r="H8" s="1629">
        <v>3</v>
      </c>
      <c r="I8" s="1912">
        <f t="shared" si="1"/>
        <v>7</v>
      </c>
      <c r="J8" s="1629">
        <v>1</v>
      </c>
      <c r="K8" s="1912">
        <f t="shared" si="2"/>
        <v>5.6</v>
      </c>
      <c r="L8" s="1629">
        <v>0</v>
      </c>
      <c r="M8" s="1912">
        <f t="shared" si="3"/>
        <v>3.4</v>
      </c>
      <c r="N8" s="1629">
        <v>9</v>
      </c>
      <c r="O8" s="1264">
        <f t="shared" si="4"/>
        <v>4.2</v>
      </c>
      <c r="P8" s="1265">
        <v>0</v>
      </c>
      <c r="Q8" s="1266">
        <f t="shared" si="5"/>
        <v>2.6</v>
      </c>
      <c r="R8" s="1265">
        <v>0</v>
      </c>
      <c r="S8" s="1266">
        <f t="shared" si="6"/>
        <v>2</v>
      </c>
      <c r="T8" s="1265">
        <v>16</v>
      </c>
      <c r="U8" s="1266">
        <f t="shared" si="7"/>
        <v>5</v>
      </c>
      <c r="V8" s="1265">
        <v>0</v>
      </c>
      <c r="W8" s="1266">
        <f t="shared" si="8"/>
        <v>5</v>
      </c>
      <c r="X8" s="1265">
        <v>15</v>
      </c>
      <c r="Y8" s="1266">
        <f t="shared" si="9"/>
        <v>6.2</v>
      </c>
      <c r="Z8" s="1265">
        <v>20</v>
      </c>
      <c r="AA8" s="1266">
        <f t="shared" si="10"/>
        <v>10.199999999999999</v>
      </c>
      <c r="AB8" s="1265">
        <v>20</v>
      </c>
      <c r="AC8" s="1266">
        <f t="shared" si="11"/>
        <v>14.2</v>
      </c>
      <c r="AD8" s="1265">
        <v>18</v>
      </c>
      <c r="AE8" s="1266">
        <f t="shared" si="12"/>
        <v>14.6</v>
      </c>
      <c r="AF8" s="1629">
        <v>12</v>
      </c>
      <c r="AG8" s="1266">
        <f t="shared" si="13"/>
        <v>17</v>
      </c>
      <c r="AH8" s="1629">
        <v>17</v>
      </c>
      <c r="AI8" s="1266">
        <f t="shared" si="14"/>
        <v>17.399999999999999</v>
      </c>
      <c r="AJ8" s="1629">
        <v>7</v>
      </c>
      <c r="AK8" s="1498">
        <f t="shared" si="15"/>
        <v>14.8</v>
      </c>
    </row>
    <row r="9" spans="1:37" ht="18" customHeight="1" x14ac:dyDescent="0.3">
      <c r="A9" s="552" t="s">
        <v>1115</v>
      </c>
      <c r="B9" s="1629">
        <v>1</v>
      </c>
      <c r="C9" s="1629">
        <v>4</v>
      </c>
      <c r="D9" s="1629">
        <v>0</v>
      </c>
      <c r="E9" s="1629">
        <v>0</v>
      </c>
      <c r="F9" s="1629">
        <v>4</v>
      </c>
      <c r="G9" s="1912">
        <f t="shared" si="0"/>
        <v>1.8</v>
      </c>
      <c r="H9" s="1629">
        <v>1</v>
      </c>
      <c r="I9" s="1912">
        <f t="shared" si="1"/>
        <v>1.8</v>
      </c>
      <c r="J9" s="1629">
        <v>0</v>
      </c>
      <c r="K9" s="1912">
        <f t="shared" si="2"/>
        <v>1</v>
      </c>
      <c r="L9" s="1629">
        <v>0</v>
      </c>
      <c r="M9" s="1912">
        <f t="shared" si="3"/>
        <v>1</v>
      </c>
      <c r="N9" s="1629">
        <v>0</v>
      </c>
      <c r="O9" s="1264">
        <f t="shared" si="4"/>
        <v>1</v>
      </c>
      <c r="P9" s="1265">
        <v>0</v>
      </c>
      <c r="Q9" s="1266">
        <f t="shared" si="5"/>
        <v>0.2</v>
      </c>
      <c r="R9" s="1265">
        <v>0</v>
      </c>
      <c r="S9" s="1266">
        <f t="shared" si="6"/>
        <v>0</v>
      </c>
      <c r="T9" s="1265">
        <v>0</v>
      </c>
      <c r="U9" s="1266">
        <f t="shared" si="7"/>
        <v>0</v>
      </c>
      <c r="V9" s="1265">
        <v>0</v>
      </c>
      <c r="W9" s="1266">
        <f t="shared" si="8"/>
        <v>0</v>
      </c>
      <c r="X9" s="1265">
        <v>0</v>
      </c>
      <c r="Y9" s="1266">
        <f t="shared" si="9"/>
        <v>0</v>
      </c>
      <c r="Z9" s="1265">
        <v>0</v>
      </c>
      <c r="AA9" s="1266">
        <f t="shared" si="10"/>
        <v>0</v>
      </c>
      <c r="AB9" s="1265">
        <v>0</v>
      </c>
      <c r="AC9" s="1266">
        <f t="shared" si="11"/>
        <v>0</v>
      </c>
      <c r="AD9" s="1265">
        <v>0</v>
      </c>
      <c r="AE9" s="1266">
        <f t="shared" si="12"/>
        <v>0</v>
      </c>
      <c r="AF9" s="1629">
        <v>0</v>
      </c>
      <c r="AG9" s="1266">
        <f t="shared" si="13"/>
        <v>0</v>
      </c>
      <c r="AH9" s="1629">
        <v>0</v>
      </c>
      <c r="AI9" s="1266">
        <f t="shared" si="14"/>
        <v>0</v>
      </c>
      <c r="AJ9" s="1629">
        <v>0</v>
      </c>
      <c r="AK9" s="1498">
        <f t="shared" si="15"/>
        <v>0</v>
      </c>
    </row>
    <row r="10" spans="1:37" ht="18" customHeight="1" x14ac:dyDescent="0.3">
      <c r="A10" s="552" t="s">
        <v>1116</v>
      </c>
      <c r="B10" s="1629">
        <v>1</v>
      </c>
      <c r="C10" s="1629">
        <v>2</v>
      </c>
      <c r="D10" s="1629">
        <v>0</v>
      </c>
      <c r="E10" s="1629">
        <v>0</v>
      </c>
      <c r="F10" s="1629">
        <v>1</v>
      </c>
      <c r="G10" s="1912">
        <f t="shared" si="0"/>
        <v>0.8</v>
      </c>
      <c r="H10" s="1629">
        <v>0</v>
      </c>
      <c r="I10" s="1912">
        <f t="shared" si="1"/>
        <v>0.6</v>
      </c>
      <c r="J10" s="1629">
        <v>0</v>
      </c>
      <c r="K10" s="1912">
        <f t="shared" si="2"/>
        <v>0.2</v>
      </c>
      <c r="L10" s="1629">
        <v>0</v>
      </c>
      <c r="M10" s="1912">
        <f t="shared" si="3"/>
        <v>0.2</v>
      </c>
      <c r="N10" s="1629">
        <v>0</v>
      </c>
      <c r="O10" s="1264">
        <f t="shared" si="4"/>
        <v>0.2</v>
      </c>
      <c r="P10" s="1265">
        <v>0</v>
      </c>
      <c r="Q10" s="1266">
        <f t="shared" si="5"/>
        <v>0</v>
      </c>
      <c r="R10" s="1265">
        <v>0</v>
      </c>
      <c r="S10" s="1266">
        <f t="shared" si="6"/>
        <v>0</v>
      </c>
      <c r="T10" s="1265">
        <v>0</v>
      </c>
      <c r="U10" s="1266">
        <f t="shared" si="7"/>
        <v>0</v>
      </c>
      <c r="V10" s="1265">
        <v>0</v>
      </c>
      <c r="W10" s="1266">
        <f t="shared" si="8"/>
        <v>0</v>
      </c>
      <c r="X10" s="1265">
        <v>0</v>
      </c>
      <c r="Y10" s="1266">
        <f t="shared" si="9"/>
        <v>0</v>
      </c>
      <c r="Z10" s="1265">
        <v>0</v>
      </c>
      <c r="AA10" s="1266">
        <f t="shared" si="10"/>
        <v>0</v>
      </c>
      <c r="AB10" s="1265">
        <v>0</v>
      </c>
      <c r="AC10" s="1266">
        <f t="shared" si="11"/>
        <v>0</v>
      </c>
      <c r="AD10" s="1265">
        <v>0</v>
      </c>
      <c r="AE10" s="1266">
        <f t="shared" si="12"/>
        <v>0</v>
      </c>
      <c r="AF10" s="1629">
        <v>0</v>
      </c>
      <c r="AG10" s="1266">
        <f t="shared" si="13"/>
        <v>0</v>
      </c>
      <c r="AH10" s="1629">
        <v>0</v>
      </c>
      <c r="AI10" s="1266">
        <f t="shared" si="14"/>
        <v>0</v>
      </c>
      <c r="AJ10" s="1629">
        <v>0</v>
      </c>
      <c r="AK10" s="1498">
        <f t="shared" si="15"/>
        <v>0</v>
      </c>
    </row>
    <row r="11" spans="1:37" ht="18" customHeight="1" x14ac:dyDescent="0.3">
      <c r="A11" s="552" t="s">
        <v>1120</v>
      </c>
      <c r="B11" s="1629">
        <v>4</v>
      </c>
      <c r="C11" s="1629">
        <v>2</v>
      </c>
      <c r="D11" s="1629">
        <v>0</v>
      </c>
      <c r="E11" s="1629">
        <v>0</v>
      </c>
      <c r="F11" s="1629">
        <v>7</v>
      </c>
      <c r="G11" s="1912">
        <f t="shared" si="0"/>
        <v>2.6</v>
      </c>
      <c r="H11" s="1629">
        <v>2</v>
      </c>
      <c r="I11" s="1912">
        <f t="shared" si="1"/>
        <v>2.2000000000000002</v>
      </c>
      <c r="J11" s="1629">
        <v>1</v>
      </c>
      <c r="K11" s="1912">
        <f t="shared" si="2"/>
        <v>2</v>
      </c>
      <c r="L11" s="1629">
        <v>0</v>
      </c>
      <c r="M11" s="1912">
        <f t="shared" si="3"/>
        <v>2</v>
      </c>
      <c r="N11" s="1629">
        <v>0</v>
      </c>
      <c r="O11" s="1264">
        <f t="shared" si="4"/>
        <v>2</v>
      </c>
      <c r="P11" s="1265">
        <v>0</v>
      </c>
      <c r="Q11" s="1266">
        <f t="shared" si="5"/>
        <v>0.6</v>
      </c>
      <c r="R11" s="1265">
        <v>0</v>
      </c>
      <c r="S11" s="1266">
        <f t="shared" si="6"/>
        <v>0.2</v>
      </c>
      <c r="T11" s="1265">
        <v>0</v>
      </c>
      <c r="U11" s="1266">
        <f t="shared" si="7"/>
        <v>0</v>
      </c>
      <c r="V11" s="1265">
        <v>0</v>
      </c>
      <c r="W11" s="1266">
        <f t="shared" si="8"/>
        <v>0</v>
      </c>
      <c r="X11" s="1265">
        <v>0</v>
      </c>
      <c r="Y11" s="1266">
        <f t="shared" si="9"/>
        <v>0</v>
      </c>
      <c r="Z11" s="1265">
        <v>0</v>
      </c>
      <c r="AA11" s="1266">
        <f t="shared" si="10"/>
        <v>0</v>
      </c>
      <c r="AB11" s="1265">
        <v>0</v>
      </c>
      <c r="AC11" s="1266">
        <f t="shared" si="11"/>
        <v>0</v>
      </c>
      <c r="AD11" s="1265">
        <v>0</v>
      </c>
      <c r="AE11" s="1266">
        <f t="shared" si="12"/>
        <v>0</v>
      </c>
      <c r="AF11" s="1629">
        <v>0</v>
      </c>
      <c r="AG11" s="1266">
        <f t="shared" si="13"/>
        <v>0</v>
      </c>
      <c r="AH11" s="1629">
        <v>0</v>
      </c>
      <c r="AI11" s="1266">
        <f t="shared" si="14"/>
        <v>0</v>
      </c>
      <c r="AJ11" s="1629">
        <v>0</v>
      </c>
      <c r="AK11" s="1498">
        <f t="shared" si="15"/>
        <v>0</v>
      </c>
    </row>
    <row r="12" spans="1:37" ht="18" customHeight="1" x14ac:dyDescent="0.3">
      <c r="A12" s="552" t="s">
        <v>1122</v>
      </c>
      <c r="B12" s="1629">
        <v>1</v>
      </c>
      <c r="C12" s="1629">
        <v>1</v>
      </c>
      <c r="D12" s="1629">
        <v>0</v>
      </c>
      <c r="E12" s="1629">
        <v>0</v>
      </c>
      <c r="F12" s="1629">
        <v>1</v>
      </c>
      <c r="G12" s="1912">
        <f t="shared" si="0"/>
        <v>0.6</v>
      </c>
      <c r="H12" s="1629">
        <v>4</v>
      </c>
      <c r="I12" s="1912">
        <f t="shared" si="1"/>
        <v>1.2</v>
      </c>
      <c r="J12" s="1629">
        <v>1</v>
      </c>
      <c r="K12" s="1912">
        <f t="shared" si="2"/>
        <v>1.2</v>
      </c>
      <c r="L12" s="1629">
        <v>0</v>
      </c>
      <c r="M12" s="1912">
        <f t="shared" si="3"/>
        <v>1.2</v>
      </c>
      <c r="N12" s="1629">
        <v>0</v>
      </c>
      <c r="O12" s="1264">
        <f t="shared" si="4"/>
        <v>1.2</v>
      </c>
      <c r="P12" s="1265">
        <v>0</v>
      </c>
      <c r="Q12" s="1266">
        <f t="shared" si="5"/>
        <v>1</v>
      </c>
      <c r="R12" s="1265">
        <v>0</v>
      </c>
      <c r="S12" s="1266">
        <f t="shared" si="6"/>
        <v>0.2</v>
      </c>
      <c r="T12" s="1265">
        <v>0</v>
      </c>
      <c r="U12" s="1266">
        <f t="shared" si="7"/>
        <v>0</v>
      </c>
      <c r="V12" s="1265">
        <v>0</v>
      </c>
      <c r="W12" s="1266">
        <f t="shared" si="8"/>
        <v>0</v>
      </c>
      <c r="X12" s="1265">
        <v>0</v>
      </c>
      <c r="Y12" s="1266">
        <f t="shared" si="9"/>
        <v>0</v>
      </c>
      <c r="Z12" s="1265">
        <v>0</v>
      </c>
      <c r="AA12" s="1266">
        <f t="shared" si="10"/>
        <v>0</v>
      </c>
      <c r="AB12" s="1265">
        <v>0</v>
      </c>
      <c r="AC12" s="1266">
        <f t="shared" si="11"/>
        <v>0</v>
      </c>
      <c r="AD12" s="1265">
        <v>0</v>
      </c>
      <c r="AE12" s="1266">
        <f t="shared" si="12"/>
        <v>0</v>
      </c>
      <c r="AF12" s="1629">
        <v>0</v>
      </c>
      <c r="AG12" s="1266">
        <f t="shared" si="13"/>
        <v>0</v>
      </c>
      <c r="AH12" s="1629">
        <v>0</v>
      </c>
      <c r="AI12" s="1266">
        <f t="shared" si="14"/>
        <v>0</v>
      </c>
      <c r="AJ12" s="1629">
        <v>0</v>
      </c>
      <c r="AK12" s="1498">
        <f t="shared" si="15"/>
        <v>0</v>
      </c>
    </row>
    <row r="13" spans="1:37" ht="18" customHeight="1" x14ac:dyDescent="0.3">
      <c r="A13" s="553" t="s">
        <v>1015</v>
      </c>
      <c r="B13" s="1629">
        <f>SUM(B6:B12)</f>
        <v>133</v>
      </c>
      <c r="C13" s="1629">
        <f>SUM(C6:C12)</f>
        <v>129</v>
      </c>
      <c r="D13" s="1629">
        <f>SUM(D6:D12)</f>
        <v>126</v>
      </c>
      <c r="E13" s="1629">
        <f>SUM(E6:E12)</f>
        <v>119</v>
      </c>
      <c r="F13" s="1629">
        <f>SUM(F6:F12)</f>
        <v>100</v>
      </c>
      <c r="G13" s="1912">
        <f t="shared" si="0"/>
        <v>121.4</v>
      </c>
      <c r="H13" s="1629">
        <f>SUM(H6:H12)</f>
        <v>84</v>
      </c>
      <c r="I13" s="1912">
        <f t="shared" si="1"/>
        <v>111.6</v>
      </c>
      <c r="J13" s="1629">
        <f>SUM(J6:J12)</f>
        <v>95</v>
      </c>
      <c r="K13" s="1912">
        <f t="shared" si="2"/>
        <v>104.8</v>
      </c>
      <c r="L13" s="1629">
        <f>SUM(L6:L12)</f>
        <v>89</v>
      </c>
      <c r="M13" s="1912">
        <f t="shared" si="3"/>
        <v>97.4</v>
      </c>
      <c r="N13" s="1629">
        <f>SUM(N6:N12)</f>
        <v>124</v>
      </c>
      <c r="O13" s="1264">
        <f t="shared" si="4"/>
        <v>98.4</v>
      </c>
      <c r="P13" s="1265">
        <f>SUM(P6:P12)</f>
        <v>120</v>
      </c>
      <c r="Q13" s="1266">
        <f t="shared" si="5"/>
        <v>102.4</v>
      </c>
      <c r="R13" s="1265">
        <f>SUM(R6:R12)</f>
        <v>108</v>
      </c>
      <c r="S13" s="1266">
        <f t="shared" si="6"/>
        <v>107.2</v>
      </c>
      <c r="T13" s="1265">
        <f>SUM(T6:T12)</f>
        <v>120</v>
      </c>
      <c r="U13" s="1266">
        <f t="shared" si="7"/>
        <v>112.2</v>
      </c>
      <c r="V13" s="1265">
        <f>SUM(V6:V12)</f>
        <v>127</v>
      </c>
      <c r="W13" s="1266">
        <f t="shared" si="8"/>
        <v>119.8</v>
      </c>
      <c r="X13" s="1265">
        <f>SUM(X6:X12)</f>
        <v>138</v>
      </c>
      <c r="Y13" s="1266">
        <f t="shared" si="9"/>
        <v>122.6</v>
      </c>
      <c r="Z13" s="1265">
        <f>SUM(Z6:Z12)</f>
        <v>163</v>
      </c>
      <c r="AA13" s="1266">
        <f t="shared" si="10"/>
        <v>131.19999999999999</v>
      </c>
      <c r="AB13" s="1265">
        <f>SUM(AB6:AB12)</f>
        <v>156</v>
      </c>
      <c r="AC13" s="1266">
        <f t="shared" si="11"/>
        <v>140.80000000000001</v>
      </c>
      <c r="AD13" s="1265">
        <f>SUM(AD6:AD12)</f>
        <v>149</v>
      </c>
      <c r="AE13" s="1266">
        <f t="shared" si="12"/>
        <v>146.6</v>
      </c>
      <c r="AF13" s="1265">
        <f>SUM(AF6:AF12)</f>
        <v>155</v>
      </c>
      <c r="AG13" s="1266">
        <f t="shared" si="13"/>
        <v>152.19999999999999</v>
      </c>
      <c r="AH13" s="1496">
        <f>SUM(AH6:AH12)</f>
        <v>171</v>
      </c>
      <c r="AI13" s="1266">
        <f t="shared" si="14"/>
        <v>158.80000000000001</v>
      </c>
      <c r="AJ13" s="1496">
        <f>SUM(AJ6:AJ12)</f>
        <v>159</v>
      </c>
      <c r="AK13" s="1498">
        <f t="shared" si="15"/>
        <v>158</v>
      </c>
    </row>
    <row r="14" spans="1:37" ht="18" customHeight="1" x14ac:dyDescent="0.3">
      <c r="A14" s="551" t="s">
        <v>412</v>
      </c>
      <c r="B14" s="1910"/>
      <c r="C14" s="1910"/>
      <c r="D14" s="1910"/>
      <c r="E14" s="1910"/>
      <c r="F14" s="1910"/>
      <c r="G14" s="1914"/>
      <c r="H14" s="1910"/>
      <c r="I14" s="1914"/>
      <c r="J14" s="1910"/>
      <c r="K14" s="1914"/>
      <c r="L14" s="1910"/>
      <c r="M14" s="1911"/>
      <c r="N14" s="1910"/>
      <c r="O14" s="1267"/>
      <c r="P14" s="1262"/>
      <c r="Q14" s="1262"/>
      <c r="R14" s="1262"/>
      <c r="S14" s="1262"/>
      <c r="T14" s="1262"/>
      <c r="U14" s="1262"/>
      <c r="V14" s="1262"/>
      <c r="W14" s="1262"/>
      <c r="X14" s="1262"/>
      <c r="Y14" s="1262"/>
      <c r="Z14" s="1262"/>
      <c r="AA14" s="1262"/>
      <c r="AB14" s="1262"/>
      <c r="AC14" s="1262"/>
      <c r="AD14" s="1262"/>
      <c r="AE14" s="1262"/>
      <c r="AF14" s="1262"/>
      <c r="AG14" s="1262"/>
      <c r="AH14" s="1495"/>
      <c r="AI14" s="1262"/>
      <c r="AJ14" s="1495"/>
      <c r="AK14" s="1499"/>
    </row>
    <row r="15" spans="1:37" ht="18" customHeight="1" x14ac:dyDescent="0.3">
      <c r="A15" s="555" t="s">
        <v>1135</v>
      </c>
      <c r="B15" s="1629">
        <v>12</v>
      </c>
      <c r="C15" s="1629">
        <v>14</v>
      </c>
      <c r="D15" s="1629">
        <v>13</v>
      </c>
      <c r="E15" s="1629">
        <v>14</v>
      </c>
      <c r="F15" s="1629">
        <v>24</v>
      </c>
      <c r="G15" s="1912">
        <f>AVERAGE(B15:F15)</f>
        <v>15.4</v>
      </c>
      <c r="H15" s="1629">
        <v>19</v>
      </c>
      <c r="I15" s="1912">
        <f>(H15+F15+E15+D15+C15)/5</f>
        <v>16.8</v>
      </c>
      <c r="J15" s="1629">
        <v>21</v>
      </c>
      <c r="K15" s="1912">
        <f>(J15+H15+F15+E15+D15)/5</f>
        <v>18.2</v>
      </c>
      <c r="L15" s="1629">
        <v>14</v>
      </c>
      <c r="M15" s="1912">
        <f>(L15+J15+H15+F15+E15)/5</f>
        <v>18.399999999999999</v>
      </c>
      <c r="N15" s="1629">
        <f>8+5</f>
        <v>13</v>
      </c>
      <c r="O15" s="1264">
        <f>(+N15+L15+J15+H15+F15)/5</f>
        <v>18.2</v>
      </c>
      <c r="P15" s="1265">
        <v>16</v>
      </c>
      <c r="Q15" s="1266">
        <f t="shared" ref="Q15:Q22" si="16">(P15+N15+L15+J15+H15)/5</f>
        <v>16.600000000000001</v>
      </c>
      <c r="R15" s="1265">
        <v>10</v>
      </c>
      <c r="S15" s="1266">
        <f t="shared" ref="S15:S22" si="17">(R15+P15+N15+L15+J15)/5</f>
        <v>14.8</v>
      </c>
      <c r="T15" s="1265">
        <v>6</v>
      </c>
      <c r="U15" s="1266">
        <f t="shared" ref="U15:U22" si="18">(T15+R15+P15+N15+L15)/5</f>
        <v>11.8</v>
      </c>
      <c r="V15" s="1265">
        <v>16</v>
      </c>
      <c r="W15" s="1266">
        <f t="shared" ref="W15:W22" si="19">(V15+T15+R15+P15+N15)/5</f>
        <v>12.2</v>
      </c>
      <c r="X15" s="1265">
        <v>24</v>
      </c>
      <c r="Y15" s="1266">
        <f t="shared" ref="Y15:Y22" si="20">(X15+V15+T15+R15+P15)/5</f>
        <v>14.4</v>
      </c>
      <c r="Z15" s="1265">
        <v>23</v>
      </c>
      <c r="AA15" s="1266">
        <f t="shared" ref="AA15:AA22" si="21">(Z15+X15+V15+T15+R15)/5</f>
        <v>15.8</v>
      </c>
      <c r="AB15" s="1265">
        <v>20</v>
      </c>
      <c r="AC15" s="1266">
        <f t="shared" ref="AC15:AC22" si="22">(AB15+Z15+X15+V15+T15)/5</f>
        <v>17.8</v>
      </c>
      <c r="AD15" s="1265">
        <v>16</v>
      </c>
      <c r="AE15" s="1266">
        <f t="shared" ref="AE15:AE22" si="23">(AD15+AB15+Z15+X15+V15)/5</f>
        <v>19.8</v>
      </c>
      <c r="AF15" s="1265">
        <v>19</v>
      </c>
      <c r="AG15" s="1266">
        <f t="shared" ref="AG15:AG22" si="24">(AF15+AD15+AB15+Z15+X15)/5</f>
        <v>20.399999999999999</v>
      </c>
      <c r="AH15" s="1496">
        <v>12</v>
      </c>
      <c r="AI15" s="1266">
        <f t="shared" ref="AI15:AI22" si="25">(AH15+AF15+AD15+AB15+Z15)/5</f>
        <v>18</v>
      </c>
      <c r="AJ15" s="1496">
        <v>18</v>
      </c>
      <c r="AK15" s="1498">
        <f t="shared" ref="AK15:AK22" si="26">(AJ15+AH15+AF15+AD15+AB15)/5</f>
        <v>17</v>
      </c>
    </row>
    <row r="16" spans="1:37" ht="18" customHeight="1" x14ac:dyDescent="0.3">
      <c r="A16" s="552" t="s">
        <v>1136</v>
      </c>
      <c r="B16" s="1629">
        <v>26</v>
      </c>
      <c r="C16" s="1629">
        <v>33</v>
      </c>
      <c r="D16" s="1629">
        <v>31</v>
      </c>
      <c r="E16" s="1629">
        <v>35</v>
      </c>
      <c r="F16" s="1629">
        <v>19</v>
      </c>
      <c r="G16" s="1912">
        <f>AVERAGE(B16:F16)</f>
        <v>28.8</v>
      </c>
      <c r="H16" s="1629">
        <v>15</v>
      </c>
      <c r="I16" s="1912">
        <f>(H16+F16+E16+D16+C16)/5</f>
        <v>26.6</v>
      </c>
      <c r="J16" s="1629">
        <v>15</v>
      </c>
      <c r="K16" s="1912">
        <f>(J16+H16+F16+E16+D16)/5</f>
        <v>23</v>
      </c>
      <c r="L16" s="1629">
        <v>9</v>
      </c>
      <c r="M16" s="1912">
        <f>(L16+J16+H16+F16+E16)/5</f>
        <v>18.600000000000001</v>
      </c>
      <c r="N16" s="1629">
        <f>3+2</f>
        <v>5</v>
      </c>
      <c r="O16" s="1264">
        <f>(+N16+L16+J16+H16+F16)/5</f>
        <v>12.6</v>
      </c>
      <c r="P16" s="1265">
        <v>2</v>
      </c>
      <c r="Q16" s="1266">
        <f t="shared" si="16"/>
        <v>9.1999999999999993</v>
      </c>
      <c r="R16" s="1265">
        <v>1</v>
      </c>
      <c r="S16" s="1266">
        <f t="shared" si="17"/>
        <v>6.4</v>
      </c>
      <c r="T16" s="1265">
        <v>1</v>
      </c>
      <c r="U16" s="1266">
        <f t="shared" si="18"/>
        <v>3.6</v>
      </c>
      <c r="V16" s="1265">
        <v>0</v>
      </c>
      <c r="W16" s="1266">
        <f t="shared" si="19"/>
        <v>1.8</v>
      </c>
      <c r="X16" s="1265">
        <v>0</v>
      </c>
      <c r="Y16" s="1266">
        <f t="shared" si="20"/>
        <v>0.8</v>
      </c>
      <c r="Z16" s="1265">
        <v>0</v>
      </c>
      <c r="AA16" s="1266">
        <f t="shared" si="21"/>
        <v>0.4</v>
      </c>
      <c r="AB16" s="1265">
        <v>0</v>
      </c>
      <c r="AC16" s="1266">
        <f t="shared" si="22"/>
        <v>0.2</v>
      </c>
      <c r="AD16" s="1265">
        <v>0</v>
      </c>
      <c r="AE16" s="1266">
        <f t="shared" si="23"/>
        <v>0</v>
      </c>
      <c r="AF16" s="1265">
        <v>0</v>
      </c>
      <c r="AG16" s="1266">
        <f t="shared" si="24"/>
        <v>0</v>
      </c>
      <c r="AH16" s="1496">
        <v>0</v>
      </c>
      <c r="AI16" s="1266">
        <f t="shared" si="25"/>
        <v>0</v>
      </c>
      <c r="AJ16" s="1496">
        <v>0</v>
      </c>
      <c r="AK16" s="1498">
        <f t="shared" si="26"/>
        <v>0</v>
      </c>
    </row>
    <row r="17" spans="1:37" ht="18" customHeight="1" x14ac:dyDescent="0.3">
      <c r="A17" s="554" t="s">
        <v>1140</v>
      </c>
      <c r="B17" s="1629">
        <v>0</v>
      </c>
      <c r="C17" s="1629">
        <v>0</v>
      </c>
      <c r="D17" s="1629">
        <v>1</v>
      </c>
      <c r="E17" s="1629">
        <v>15</v>
      </c>
      <c r="F17" s="1629">
        <v>23</v>
      </c>
      <c r="G17" s="1912">
        <f>AVERAGE(B17:F17)</f>
        <v>7.8</v>
      </c>
      <c r="H17" s="1629">
        <v>38</v>
      </c>
      <c r="I17" s="1912">
        <f>(H17+F17+E17+D17+C17)/5</f>
        <v>15.4</v>
      </c>
      <c r="J17" s="1629">
        <v>38</v>
      </c>
      <c r="K17" s="1912">
        <f>(J17+H17+F17+E17+D17)/5</f>
        <v>23</v>
      </c>
      <c r="L17" s="1629">
        <v>26</v>
      </c>
      <c r="M17" s="1912">
        <f>(L17+J17+H17+F17+E17)/5</f>
        <v>28</v>
      </c>
      <c r="N17" s="1629">
        <f>6+10</f>
        <v>16</v>
      </c>
      <c r="O17" s="1264">
        <f>(+N17+L17+J17+H17+F17)/5</f>
        <v>28.2</v>
      </c>
      <c r="P17" s="1265">
        <v>5</v>
      </c>
      <c r="Q17" s="1266">
        <f t="shared" si="16"/>
        <v>24.6</v>
      </c>
      <c r="R17" s="1265">
        <v>15</v>
      </c>
      <c r="S17" s="1266">
        <f t="shared" si="17"/>
        <v>20</v>
      </c>
      <c r="T17" s="1265">
        <v>14</v>
      </c>
      <c r="U17" s="1266">
        <f t="shared" si="18"/>
        <v>15.2</v>
      </c>
      <c r="V17" s="1265">
        <v>23</v>
      </c>
      <c r="W17" s="1266">
        <f t="shared" si="19"/>
        <v>14.6</v>
      </c>
      <c r="X17" s="1265">
        <v>24</v>
      </c>
      <c r="Y17" s="1266">
        <f t="shared" si="20"/>
        <v>16.2</v>
      </c>
      <c r="Z17" s="1265">
        <v>18</v>
      </c>
      <c r="AA17" s="1266">
        <f t="shared" si="21"/>
        <v>18.8</v>
      </c>
      <c r="AB17" s="1265">
        <v>13</v>
      </c>
      <c r="AC17" s="1266">
        <f t="shared" si="22"/>
        <v>18.399999999999999</v>
      </c>
      <c r="AD17" s="1265">
        <v>19</v>
      </c>
      <c r="AE17" s="1266">
        <f t="shared" si="23"/>
        <v>19.399999999999999</v>
      </c>
      <c r="AF17" s="1265">
        <v>20</v>
      </c>
      <c r="AG17" s="1266">
        <f t="shared" si="24"/>
        <v>18.8</v>
      </c>
      <c r="AH17" s="1496">
        <v>33</v>
      </c>
      <c r="AI17" s="1266">
        <f t="shared" si="25"/>
        <v>20.6</v>
      </c>
      <c r="AJ17" s="1496">
        <v>25</v>
      </c>
      <c r="AK17" s="1498">
        <f t="shared" si="26"/>
        <v>22</v>
      </c>
    </row>
    <row r="18" spans="1:37" ht="18" customHeight="1" x14ac:dyDescent="0.3">
      <c r="A18" s="552" t="s">
        <v>1137</v>
      </c>
      <c r="B18" s="1629">
        <v>25</v>
      </c>
      <c r="C18" s="1629">
        <v>25</v>
      </c>
      <c r="D18" s="1629">
        <v>37</v>
      </c>
      <c r="E18" s="1629">
        <v>28</v>
      </c>
      <c r="F18" s="1629">
        <v>35</v>
      </c>
      <c r="G18" s="1912">
        <f>AVERAGE(B18:F18)</f>
        <v>30</v>
      </c>
      <c r="H18" s="1629">
        <v>33</v>
      </c>
      <c r="I18" s="1912">
        <f>(H18+F18+E18+D18+C18)/5</f>
        <v>31.6</v>
      </c>
      <c r="J18" s="1629">
        <f>13+5</f>
        <v>18</v>
      </c>
      <c r="K18" s="1912">
        <f>(J18+H18+F18+E18+D18)/5</f>
        <v>30.2</v>
      </c>
      <c r="L18" s="1629">
        <f>4+10+19</f>
        <v>33</v>
      </c>
      <c r="M18" s="1912">
        <f>(L18+J18+H18+F18+E18)/5</f>
        <v>29.4</v>
      </c>
      <c r="N18" s="1629">
        <f>20+4+13</f>
        <v>37</v>
      </c>
      <c r="O18" s="1264">
        <f>(+N18+L18+J18+H18+F18)/5</f>
        <v>31.2</v>
      </c>
      <c r="P18" s="1265">
        <v>10</v>
      </c>
      <c r="Q18" s="1266">
        <f t="shared" si="16"/>
        <v>26.2</v>
      </c>
      <c r="R18" s="1265">
        <v>5</v>
      </c>
      <c r="S18" s="1266">
        <f t="shared" si="17"/>
        <v>20.6</v>
      </c>
      <c r="T18" s="1265">
        <v>7</v>
      </c>
      <c r="U18" s="1266">
        <f t="shared" si="18"/>
        <v>18.399999999999999</v>
      </c>
      <c r="V18" s="1265">
        <v>4</v>
      </c>
      <c r="W18" s="1266">
        <f t="shared" si="19"/>
        <v>12.6</v>
      </c>
      <c r="X18" s="1265">
        <v>1</v>
      </c>
      <c r="Y18" s="1266">
        <f t="shared" si="20"/>
        <v>5.4</v>
      </c>
      <c r="Z18" s="1265">
        <v>0</v>
      </c>
      <c r="AA18" s="1266">
        <f t="shared" si="21"/>
        <v>3.4</v>
      </c>
      <c r="AB18" s="1265">
        <v>0</v>
      </c>
      <c r="AC18" s="1266">
        <f t="shared" si="22"/>
        <v>2.4</v>
      </c>
      <c r="AD18" s="1265">
        <v>0</v>
      </c>
      <c r="AE18" s="1266">
        <f t="shared" si="23"/>
        <v>1</v>
      </c>
      <c r="AF18" s="1265">
        <v>0</v>
      </c>
      <c r="AG18" s="1266">
        <f t="shared" si="24"/>
        <v>0.2</v>
      </c>
      <c r="AH18" s="1496">
        <v>0</v>
      </c>
      <c r="AI18" s="1266">
        <f t="shared" si="25"/>
        <v>0</v>
      </c>
      <c r="AJ18" s="1496">
        <v>0</v>
      </c>
      <c r="AK18" s="1498">
        <f t="shared" si="26"/>
        <v>0</v>
      </c>
    </row>
    <row r="19" spans="1:37" ht="18" customHeight="1" x14ac:dyDescent="0.3">
      <c r="A19" s="552" t="s">
        <v>257</v>
      </c>
      <c r="B19" s="1629"/>
      <c r="C19" s="1629"/>
      <c r="D19" s="1629"/>
      <c r="E19" s="1629"/>
      <c r="F19" s="1629"/>
      <c r="G19" s="1912"/>
      <c r="H19" s="1629"/>
      <c r="I19" s="1912"/>
      <c r="J19" s="1629"/>
      <c r="K19" s="1912"/>
      <c r="L19" s="1629"/>
      <c r="M19" s="1912"/>
      <c r="N19" s="1629">
        <v>0</v>
      </c>
      <c r="O19" s="1264"/>
      <c r="P19" s="1265">
        <v>27</v>
      </c>
      <c r="Q19" s="1266">
        <f t="shared" si="16"/>
        <v>5.4</v>
      </c>
      <c r="R19" s="1265">
        <v>31</v>
      </c>
      <c r="S19" s="1266">
        <f t="shared" si="17"/>
        <v>11.6</v>
      </c>
      <c r="T19" s="1265">
        <v>24</v>
      </c>
      <c r="U19" s="1266">
        <f t="shared" si="18"/>
        <v>16.399999999999999</v>
      </c>
      <c r="V19" s="1265">
        <v>17</v>
      </c>
      <c r="W19" s="1266">
        <f t="shared" si="19"/>
        <v>19.8</v>
      </c>
      <c r="X19" s="1265">
        <v>25</v>
      </c>
      <c r="Y19" s="1266">
        <f t="shared" si="20"/>
        <v>24.8</v>
      </c>
      <c r="Z19" s="1265">
        <v>23</v>
      </c>
      <c r="AA19" s="1266">
        <f t="shared" si="21"/>
        <v>24</v>
      </c>
      <c r="AB19" s="1265">
        <v>30</v>
      </c>
      <c r="AC19" s="1266">
        <f t="shared" si="22"/>
        <v>23.8</v>
      </c>
      <c r="AD19" s="1265">
        <v>38</v>
      </c>
      <c r="AE19" s="1266">
        <f t="shared" si="23"/>
        <v>26.6</v>
      </c>
      <c r="AF19" s="1265">
        <v>39</v>
      </c>
      <c r="AG19" s="1266">
        <f t="shared" si="24"/>
        <v>31</v>
      </c>
      <c r="AH19" s="1496">
        <v>46</v>
      </c>
      <c r="AI19" s="1266">
        <f t="shared" si="25"/>
        <v>35.200000000000003</v>
      </c>
      <c r="AJ19" s="1496">
        <v>37</v>
      </c>
      <c r="AK19" s="1498">
        <f t="shared" si="26"/>
        <v>38</v>
      </c>
    </row>
    <row r="20" spans="1:37" ht="18" customHeight="1" x14ac:dyDescent="0.3">
      <c r="A20" s="555" t="s">
        <v>1138</v>
      </c>
      <c r="B20" s="1629">
        <v>40</v>
      </c>
      <c r="C20" s="1629">
        <v>36</v>
      </c>
      <c r="D20" s="1629">
        <v>25</v>
      </c>
      <c r="E20" s="1629">
        <v>27</v>
      </c>
      <c r="F20" s="1629">
        <v>18</v>
      </c>
      <c r="G20" s="1912">
        <f>AVERAGE(B20:F20)</f>
        <v>29.2</v>
      </c>
      <c r="H20" s="1629">
        <v>23</v>
      </c>
      <c r="I20" s="1912">
        <f>(H20+F20+E20+D20+C20)/5</f>
        <v>25.8</v>
      </c>
      <c r="J20" s="1629">
        <v>25</v>
      </c>
      <c r="K20" s="1912">
        <f>(J20+H20+F20+E20+D20)/5</f>
        <v>23.6</v>
      </c>
      <c r="L20" s="1629">
        <v>31</v>
      </c>
      <c r="M20" s="1912">
        <f>(L20+J20+H20+F20+E20)/5</f>
        <v>24.8</v>
      </c>
      <c r="N20" s="1629">
        <v>32</v>
      </c>
      <c r="O20" s="1264">
        <f>(+N20+L20+J20+H20+F20)/5</f>
        <v>25.8</v>
      </c>
      <c r="P20" s="1265">
        <v>33</v>
      </c>
      <c r="Q20" s="1266">
        <f t="shared" si="16"/>
        <v>28.8</v>
      </c>
      <c r="R20" s="1265">
        <v>19</v>
      </c>
      <c r="S20" s="1266">
        <f t="shared" si="17"/>
        <v>28</v>
      </c>
      <c r="T20" s="1265">
        <v>15</v>
      </c>
      <c r="U20" s="1266">
        <f t="shared" si="18"/>
        <v>26</v>
      </c>
      <c r="V20" s="1265">
        <v>21</v>
      </c>
      <c r="W20" s="1266">
        <f t="shared" si="19"/>
        <v>24</v>
      </c>
      <c r="X20" s="1265">
        <v>28</v>
      </c>
      <c r="Y20" s="1266">
        <f t="shared" si="20"/>
        <v>23.2</v>
      </c>
      <c r="Z20" s="1265">
        <v>34</v>
      </c>
      <c r="AA20" s="1266">
        <f t="shared" si="21"/>
        <v>23.4</v>
      </c>
      <c r="AB20" s="1265">
        <v>28</v>
      </c>
      <c r="AC20" s="1266">
        <f t="shared" si="22"/>
        <v>25.2</v>
      </c>
      <c r="AD20" s="1265">
        <v>33</v>
      </c>
      <c r="AE20" s="1266">
        <f t="shared" si="23"/>
        <v>28.8</v>
      </c>
      <c r="AF20" s="1265">
        <v>39</v>
      </c>
      <c r="AG20" s="1266">
        <f t="shared" si="24"/>
        <v>32.4</v>
      </c>
      <c r="AH20" s="1496">
        <v>40</v>
      </c>
      <c r="AI20" s="1266">
        <f t="shared" si="25"/>
        <v>34.799999999999997</v>
      </c>
      <c r="AJ20" s="1496">
        <v>41</v>
      </c>
      <c r="AK20" s="1498">
        <f t="shared" si="26"/>
        <v>36.200000000000003</v>
      </c>
    </row>
    <row r="21" spans="1:37" ht="18" customHeight="1" x14ac:dyDescent="0.3">
      <c r="A21" s="552" t="s">
        <v>1141</v>
      </c>
      <c r="B21" s="1629">
        <v>33</v>
      </c>
      <c r="C21" s="1629">
        <v>33</v>
      </c>
      <c r="D21" s="1629">
        <v>30</v>
      </c>
      <c r="E21" s="1629">
        <v>31</v>
      </c>
      <c r="F21" s="1629">
        <v>30</v>
      </c>
      <c r="G21" s="1912">
        <f>AVERAGE(B21:F21)</f>
        <v>31.4</v>
      </c>
      <c r="H21" s="1629">
        <v>25</v>
      </c>
      <c r="I21" s="1912">
        <f>(H21+F21+E21+D21+C21)/5</f>
        <v>29.8</v>
      </c>
      <c r="J21" s="1629">
        <v>20</v>
      </c>
      <c r="K21" s="1912">
        <f>(J21+H21+F21+E21+D21)/5</f>
        <v>27.2</v>
      </c>
      <c r="L21" s="1629">
        <v>20</v>
      </c>
      <c r="M21" s="1912">
        <f>(L21+J21+H21+F21+E21)/5</f>
        <v>25.2</v>
      </c>
      <c r="N21" s="1629">
        <v>27</v>
      </c>
      <c r="O21" s="1264">
        <f>(+N21+L21+J21+H21+F21)/5</f>
        <v>24.4</v>
      </c>
      <c r="P21" s="1265">
        <v>34</v>
      </c>
      <c r="Q21" s="1266">
        <f t="shared" si="16"/>
        <v>25.2</v>
      </c>
      <c r="R21" s="1265">
        <v>32</v>
      </c>
      <c r="S21" s="1266">
        <f t="shared" si="17"/>
        <v>26.6</v>
      </c>
      <c r="T21" s="1265">
        <v>31</v>
      </c>
      <c r="U21" s="1266">
        <f t="shared" si="18"/>
        <v>28.8</v>
      </c>
      <c r="V21" s="1265">
        <v>29</v>
      </c>
      <c r="W21" s="1266">
        <f t="shared" si="19"/>
        <v>30.6</v>
      </c>
      <c r="X21" s="1265">
        <v>26</v>
      </c>
      <c r="Y21" s="1266">
        <f t="shared" si="20"/>
        <v>30.4</v>
      </c>
      <c r="Z21" s="1265">
        <v>28</v>
      </c>
      <c r="AA21" s="1266">
        <f t="shared" si="21"/>
        <v>29.2</v>
      </c>
      <c r="AB21" s="1265">
        <v>24</v>
      </c>
      <c r="AC21" s="1266">
        <f t="shared" si="22"/>
        <v>27.6</v>
      </c>
      <c r="AD21" s="1265">
        <v>23</v>
      </c>
      <c r="AE21" s="1266">
        <f t="shared" si="23"/>
        <v>26</v>
      </c>
      <c r="AF21" s="1265">
        <v>24</v>
      </c>
      <c r="AG21" s="1266">
        <f t="shared" si="24"/>
        <v>25</v>
      </c>
      <c r="AH21" s="1496">
        <v>22</v>
      </c>
      <c r="AI21" s="1266">
        <f t="shared" si="25"/>
        <v>24.2</v>
      </c>
      <c r="AJ21" s="1496">
        <v>23</v>
      </c>
      <c r="AK21" s="1498">
        <f t="shared" si="26"/>
        <v>23.2</v>
      </c>
    </row>
    <row r="22" spans="1:37" ht="18" customHeight="1" x14ac:dyDescent="0.3">
      <c r="A22" s="553" t="s">
        <v>1015</v>
      </c>
      <c r="B22" s="1629">
        <f>SUM(B15:B21)</f>
        <v>136</v>
      </c>
      <c r="C22" s="1629">
        <f>SUM(C15:C21)</f>
        <v>141</v>
      </c>
      <c r="D22" s="1629">
        <f>SUM(D15:D21)</f>
        <v>137</v>
      </c>
      <c r="E22" s="1629">
        <f>SUM(E15:E21)</f>
        <v>150</v>
      </c>
      <c r="F22" s="1629">
        <f>SUM(F15:F21)</f>
        <v>149</v>
      </c>
      <c r="G22" s="1912">
        <f>AVERAGE(B22:F22)</f>
        <v>142.6</v>
      </c>
      <c r="H22" s="1629">
        <f>SUM(H15:H21)</f>
        <v>153</v>
      </c>
      <c r="I22" s="1912">
        <f>(H22+F22+E22+D22+C22)/5</f>
        <v>146</v>
      </c>
      <c r="J22" s="1629">
        <f>SUM(J15:J21)</f>
        <v>137</v>
      </c>
      <c r="K22" s="1912">
        <f>(J22+H22+F22+E22+D22)/5</f>
        <v>145.19999999999999</v>
      </c>
      <c r="L22" s="1629">
        <f>SUM(L15:L21)</f>
        <v>133</v>
      </c>
      <c r="M22" s="1912">
        <f>(L22+J22+H22+F22+E22)/5</f>
        <v>144.4</v>
      </c>
      <c r="N22" s="1629">
        <f>SUM(N15:N21)</f>
        <v>130</v>
      </c>
      <c r="O22" s="1264">
        <f>(+N22+L22+J22+H22+F22)/5</f>
        <v>140.4</v>
      </c>
      <c r="P22" s="1265">
        <f>SUM(P15:P21)</f>
        <v>127</v>
      </c>
      <c r="Q22" s="1266">
        <f t="shared" si="16"/>
        <v>136</v>
      </c>
      <c r="R22" s="1265">
        <f>SUM(R15:R21)</f>
        <v>113</v>
      </c>
      <c r="S22" s="1266">
        <f t="shared" si="17"/>
        <v>128</v>
      </c>
      <c r="T22" s="1265">
        <f>SUM(T15:T21)</f>
        <v>98</v>
      </c>
      <c r="U22" s="1266">
        <f t="shared" si="18"/>
        <v>120.2</v>
      </c>
      <c r="V22" s="1265">
        <f>SUM(V15:V21)</f>
        <v>110</v>
      </c>
      <c r="W22" s="1266">
        <f t="shared" si="19"/>
        <v>115.6</v>
      </c>
      <c r="X22" s="1265">
        <f>SUM(X15:X21)</f>
        <v>128</v>
      </c>
      <c r="Y22" s="1266">
        <f t="shared" si="20"/>
        <v>115.2</v>
      </c>
      <c r="Z22" s="1265">
        <f>SUM(Z15:Z21)</f>
        <v>126</v>
      </c>
      <c r="AA22" s="1266">
        <f t="shared" si="21"/>
        <v>115</v>
      </c>
      <c r="AB22" s="1265">
        <f>SUM(AB15:AB21)</f>
        <v>115</v>
      </c>
      <c r="AC22" s="1266">
        <f t="shared" si="22"/>
        <v>115.4</v>
      </c>
      <c r="AD22" s="1265">
        <f>SUM(AD15:AD21)</f>
        <v>129</v>
      </c>
      <c r="AE22" s="1266">
        <f t="shared" si="23"/>
        <v>121.6</v>
      </c>
      <c r="AF22" s="1265">
        <f>SUM(AF15:AF21)</f>
        <v>141</v>
      </c>
      <c r="AG22" s="1266">
        <f t="shared" si="24"/>
        <v>127.8</v>
      </c>
      <c r="AH22" s="1496">
        <f>SUM(AH15:AH21)</f>
        <v>153</v>
      </c>
      <c r="AI22" s="1266">
        <f t="shared" si="25"/>
        <v>132.80000000000001</v>
      </c>
      <c r="AJ22" s="1496">
        <f>SUM(AJ15:AJ21)</f>
        <v>144</v>
      </c>
      <c r="AK22" s="1498">
        <f t="shared" si="26"/>
        <v>136.4</v>
      </c>
    </row>
    <row r="23" spans="1:37" ht="18" customHeight="1" x14ac:dyDescent="0.3">
      <c r="A23" s="551" t="s">
        <v>413</v>
      </c>
      <c r="B23" s="1910"/>
      <c r="C23" s="1910"/>
      <c r="D23" s="1910"/>
      <c r="E23" s="1910"/>
      <c r="F23" s="1910"/>
      <c r="G23" s="1914"/>
      <c r="H23" s="1910"/>
      <c r="I23" s="1914"/>
      <c r="J23" s="1910"/>
      <c r="K23" s="1914"/>
      <c r="L23" s="1910"/>
      <c r="M23" s="1911"/>
      <c r="N23" s="1910"/>
      <c r="O23" s="1267"/>
      <c r="P23" s="1262"/>
      <c r="Q23" s="1262"/>
      <c r="R23" s="1262"/>
      <c r="S23" s="1262"/>
      <c r="T23" s="1262"/>
      <c r="U23" s="1262"/>
      <c r="V23" s="1262"/>
      <c r="W23" s="1262"/>
      <c r="X23" s="1262"/>
      <c r="Y23" s="1262"/>
      <c r="Z23" s="1262"/>
      <c r="AA23" s="1262"/>
      <c r="AB23" s="1262"/>
      <c r="AC23" s="1262"/>
      <c r="AD23" s="1262"/>
      <c r="AE23" s="1262"/>
      <c r="AF23" s="1262"/>
      <c r="AG23" s="1262"/>
      <c r="AH23" s="1495"/>
      <c r="AI23" s="1262"/>
      <c r="AJ23" s="1495"/>
      <c r="AK23" s="1499"/>
    </row>
    <row r="24" spans="1:37" ht="18" customHeight="1" x14ac:dyDescent="0.3">
      <c r="A24" s="552" t="s">
        <v>1664</v>
      </c>
      <c r="B24" s="1629">
        <v>0</v>
      </c>
      <c r="C24" s="1629">
        <v>0</v>
      </c>
      <c r="D24" s="1629">
        <v>0</v>
      </c>
      <c r="E24" s="1629">
        <v>0</v>
      </c>
      <c r="F24" s="1629">
        <v>0</v>
      </c>
      <c r="G24" s="1912">
        <f t="shared" ref="G24:G29" si="27">AVERAGE(B24:F24)</f>
        <v>0</v>
      </c>
      <c r="H24" s="1629">
        <v>0</v>
      </c>
      <c r="I24" s="1912">
        <f t="shared" ref="I24:I29" si="28">(H24+F24+E24+D24+C24)/5</f>
        <v>0</v>
      </c>
      <c r="J24" s="1629">
        <v>0</v>
      </c>
      <c r="K24" s="1912">
        <f t="shared" ref="K24:K29" si="29">(J24+H24+F24+E24+D24)/5</f>
        <v>0</v>
      </c>
      <c r="L24" s="1629">
        <v>0</v>
      </c>
      <c r="M24" s="1912">
        <f t="shared" ref="M24:M29" si="30">(L24+J24+H24+F24+E24)/5</f>
        <v>0</v>
      </c>
      <c r="N24" s="1629">
        <v>0</v>
      </c>
      <c r="O24" s="1264">
        <f t="shared" ref="O24:O29" si="31">(+N24+L24+J24+H24+F24)/5</f>
        <v>0</v>
      </c>
      <c r="P24" s="1265">
        <v>0</v>
      </c>
      <c r="Q24" s="1266">
        <f t="shared" ref="Q24:Q29" si="32">(P24+N24+L24+J24+H24)/5</f>
        <v>0</v>
      </c>
      <c r="R24" s="1265">
        <v>0</v>
      </c>
      <c r="S24" s="1266">
        <f t="shared" ref="S24:S29" si="33">(R24+P24+N24+L24+J24)/5</f>
        <v>0</v>
      </c>
      <c r="T24" s="1265">
        <v>0</v>
      </c>
      <c r="U24" s="1266">
        <f t="shared" ref="U24:U29" si="34">(T24+R24+P24+N24+L24)/5</f>
        <v>0</v>
      </c>
      <c r="V24" s="1265">
        <v>0</v>
      </c>
      <c r="W24" s="1266">
        <f t="shared" ref="W24:W29" si="35">(V24+T24+R24+P24+N24)/5</f>
        <v>0</v>
      </c>
      <c r="X24" s="1265">
        <v>0</v>
      </c>
      <c r="Y24" s="1266">
        <f t="shared" ref="Y24:Y29" si="36">(X24+V24+T24+R24+P24)/5</f>
        <v>0</v>
      </c>
      <c r="Z24" s="1265">
        <v>0</v>
      </c>
      <c r="AA24" s="1266">
        <f t="shared" ref="AA24:AA29" si="37">(Z24+X24+V24+T24+R24)/5</f>
        <v>0</v>
      </c>
      <c r="AB24" s="1265">
        <v>0</v>
      </c>
      <c r="AC24" s="1266">
        <f t="shared" ref="AC24:AC29" si="38">(AB24+Z24+X24+V24+T24)/5</f>
        <v>0</v>
      </c>
      <c r="AD24" s="1265">
        <v>0</v>
      </c>
      <c r="AE24" s="1266">
        <f t="shared" ref="AE24:AE29" si="39">(AD24+AB24+Z24+X24+V24)/5</f>
        <v>0</v>
      </c>
      <c r="AF24" s="1265">
        <v>0</v>
      </c>
      <c r="AG24" s="1266">
        <f t="shared" ref="AG24:AG29" si="40">(AF24+AD24+AB24+Z24+X24)/5</f>
        <v>0</v>
      </c>
      <c r="AH24" s="1496">
        <v>2</v>
      </c>
      <c r="AI24" s="1266">
        <f t="shared" ref="AI24:AI29" si="41">(AH24+AF24+AD24+AB24+Z24)/5</f>
        <v>0.4</v>
      </c>
      <c r="AJ24" s="1496">
        <v>1</v>
      </c>
      <c r="AK24" s="1498">
        <f t="shared" ref="AK24:AK29" si="42">(AJ24+AH24+AF24+AD24+AB24)/5</f>
        <v>0.6</v>
      </c>
    </row>
    <row r="25" spans="1:37" ht="18" customHeight="1" x14ac:dyDescent="0.3">
      <c r="A25" s="552" t="s">
        <v>1050</v>
      </c>
      <c r="B25" s="1629">
        <v>150</v>
      </c>
      <c r="C25" s="1629">
        <v>122</v>
      </c>
      <c r="D25" s="1629">
        <v>118</v>
      </c>
      <c r="E25" s="1629">
        <v>93</v>
      </c>
      <c r="F25" s="1629">
        <v>74</v>
      </c>
      <c r="G25" s="1912">
        <f t="shared" si="27"/>
        <v>111.4</v>
      </c>
      <c r="H25" s="1629">
        <f>65+17</f>
        <v>82</v>
      </c>
      <c r="I25" s="1912">
        <f t="shared" si="28"/>
        <v>97.8</v>
      </c>
      <c r="J25" s="1629">
        <v>70</v>
      </c>
      <c r="K25" s="1912">
        <f t="shared" si="29"/>
        <v>87.4</v>
      </c>
      <c r="L25" s="1629">
        <v>91</v>
      </c>
      <c r="M25" s="1912">
        <f t="shared" si="30"/>
        <v>82</v>
      </c>
      <c r="N25" s="1629">
        <v>113</v>
      </c>
      <c r="O25" s="1264">
        <f t="shared" si="31"/>
        <v>86</v>
      </c>
      <c r="P25" s="1265">
        <v>115</v>
      </c>
      <c r="Q25" s="1266">
        <f t="shared" si="32"/>
        <v>94.2</v>
      </c>
      <c r="R25" s="1265">
        <v>116</v>
      </c>
      <c r="S25" s="1266">
        <f t="shared" si="33"/>
        <v>101</v>
      </c>
      <c r="T25" s="1265">
        <v>112</v>
      </c>
      <c r="U25" s="1266">
        <f t="shared" si="34"/>
        <v>109.4</v>
      </c>
      <c r="V25" s="1265">
        <v>126</v>
      </c>
      <c r="W25" s="1266">
        <f t="shared" si="35"/>
        <v>116.4</v>
      </c>
      <c r="X25" s="1265">
        <v>165</v>
      </c>
      <c r="Y25" s="1266">
        <f t="shared" si="36"/>
        <v>126.8</v>
      </c>
      <c r="Z25" s="1265">
        <v>175</v>
      </c>
      <c r="AA25" s="1266">
        <f t="shared" si="37"/>
        <v>138.80000000000001</v>
      </c>
      <c r="AB25" s="1265">
        <v>176</v>
      </c>
      <c r="AC25" s="1266">
        <f t="shared" si="38"/>
        <v>150.80000000000001</v>
      </c>
      <c r="AD25" s="1265">
        <v>200</v>
      </c>
      <c r="AE25" s="1266">
        <f t="shared" si="39"/>
        <v>168.4</v>
      </c>
      <c r="AF25" s="1265">
        <v>205</v>
      </c>
      <c r="AG25" s="1266">
        <f t="shared" si="40"/>
        <v>184.2</v>
      </c>
      <c r="AH25" s="1496">
        <v>177</v>
      </c>
      <c r="AI25" s="1266">
        <f t="shared" si="41"/>
        <v>186.6</v>
      </c>
      <c r="AJ25" s="1496">
        <v>180</v>
      </c>
      <c r="AK25" s="1498">
        <f t="shared" si="42"/>
        <v>187.6</v>
      </c>
    </row>
    <row r="26" spans="1:37" ht="18" customHeight="1" x14ac:dyDescent="0.3">
      <c r="A26" s="552" t="s">
        <v>1142</v>
      </c>
      <c r="B26" s="1629">
        <v>1</v>
      </c>
      <c r="C26" s="1629">
        <v>5</v>
      </c>
      <c r="D26" s="1629">
        <v>1</v>
      </c>
      <c r="E26" s="1629">
        <v>2</v>
      </c>
      <c r="F26" s="1629">
        <v>1</v>
      </c>
      <c r="G26" s="1912">
        <f t="shared" si="27"/>
        <v>2</v>
      </c>
      <c r="H26" s="1629">
        <v>2</v>
      </c>
      <c r="I26" s="1912">
        <f t="shared" si="28"/>
        <v>2.2000000000000002</v>
      </c>
      <c r="J26" s="1629">
        <v>0</v>
      </c>
      <c r="K26" s="1912">
        <f t="shared" si="29"/>
        <v>1.2</v>
      </c>
      <c r="L26" s="1629">
        <v>0</v>
      </c>
      <c r="M26" s="1912">
        <f t="shared" si="30"/>
        <v>1</v>
      </c>
      <c r="N26" s="1629">
        <v>0</v>
      </c>
      <c r="O26" s="1264">
        <f t="shared" si="31"/>
        <v>0.6</v>
      </c>
      <c r="P26" s="1265">
        <v>0</v>
      </c>
      <c r="Q26" s="1266">
        <f t="shared" si="32"/>
        <v>0.4</v>
      </c>
      <c r="R26" s="1265">
        <v>0</v>
      </c>
      <c r="S26" s="1266">
        <f t="shared" si="33"/>
        <v>0</v>
      </c>
      <c r="T26" s="1265">
        <v>0</v>
      </c>
      <c r="U26" s="1266">
        <f t="shared" si="34"/>
        <v>0</v>
      </c>
      <c r="V26" s="1265">
        <v>0</v>
      </c>
      <c r="W26" s="1266">
        <f t="shared" si="35"/>
        <v>0</v>
      </c>
      <c r="X26" s="1265">
        <v>0</v>
      </c>
      <c r="Y26" s="1266">
        <f t="shared" si="36"/>
        <v>0</v>
      </c>
      <c r="Z26" s="1265">
        <v>0</v>
      </c>
      <c r="AA26" s="1266">
        <f t="shared" si="37"/>
        <v>0</v>
      </c>
      <c r="AB26" s="1265">
        <v>0</v>
      </c>
      <c r="AC26" s="1266">
        <f t="shared" si="38"/>
        <v>0</v>
      </c>
      <c r="AD26" s="1265">
        <v>0</v>
      </c>
      <c r="AE26" s="1266">
        <f t="shared" si="39"/>
        <v>0</v>
      </c>
      <c r="AF26" s="1265"/>
      <c r="AG26" s="1266">
        <f t="shared" si="40"/>
        <v>0</v>
      </c>
      <c r="AH26" s="1496">
        <v>0</v>
      </c>
      <c r="AI26" s="1266">
        <f t="shared" si="41"/>
        <v>0</v>
      </c>
      <c r="AJ26" s="1496">
        <v>0</v>
      </c>
      <c r="AK26" s="1498">
        <f t="shared" si="42"/>
        <v>0</v>
      </c>
    </row>
    <row r="27" spans="1:37" ht="18" customHeight="1" x14ac:dyDescent="0.3">
      <c r="A27" s="552" t="s">
        <v>1369</v>
      </c>
      <c r="B27" s="1629">
        <v>0</v>
      </c>
      <c r="C27" s="1629">
        <v>0</v>
      </c>
      <c r="D27" s="1629">
        <v>0</v>
      </c>
      <c r="E27" s="1629">
        <v>0</v>
      </c>
      <c r="F27" s="1629">
        <v>0</v>
      </c>
      <c r="G27" s="1912">
        <f t="shared" si="27"/>
        <v>0</v>
      </c>
      <c r="H27" s="1629">
        <v>0</v>
      </c>
      <c r="I27" s="1912">
        <f t="shared" si="28"/>
        <v>0</v>
      </c>
      <c r="J27" s="1629">
        <v>31</v>
      </c>
      <c r="K27" s="1912">
        <f t="shared" si="29"/>
        <v>6.2</v>
      </c>
      <c r="L27" s="1629">
        <v>31</v>
      </c>
      <c r="M27" s="1912">
        <f t="shared" si="30"/>
        <v>12.4</v>
      </c>
      <c r="N27" s="1629">
        <v>31</v>
      </c>
      <c r="O27" s="1264">
        <f t="shared" si="31"/>
        <v>18.600000000000001</v>
      </c>
      <c r="P27" s="1265">
        <v>28</v>
      </c>
      <c r="Q27" s="1266">
        <f t="shared" si="32"/>
        <v>24.2</v>
      </c>
      <c r="R27" s="1265">
        <v>37</v>
      </c>
      <c r="S27" s="1266">
        <f t="shared" si="33"/>
        <v>31.6</v>
      </c>
      <c r="T27" s="1265">
        <v>51</v>
      </c>
      <c r="U27" s="1266">
        <f t="shared" si="34"/>
        <v>35.6</v>
      </c>
      <c r="V27" s="1265">
        <v>35</v>
      </c>
      <c r="W27" s="1266">
        <f t="shared" si="35"/>
        <v>36.4</v>
      </c>
      <c r="X27" s="1265">
        <v>32</v>
      </c>
      <c r="Y27" s="1266">
        <f t="shared" si="36"/>
        <v>36.6</v>
      </c>
      <c r="Z27" s="1265">
        <v>40</v>
      </c>
      <c r="AA27" s="1266">
        <f t="shared" si="37"/>
        <v>39</v>
      </c>
      <c r="AB27" s="1265">
        <v>51</v>
      </c>
      <c r="AC27" s="1266">
        <f t="shared" si="38"/>
        <v>41.8</v>
      </c>
      <c r="AD27" s="1265">
        <v>44</v>
      </c>
      <c r="AE27" s="1266">
        <f t="shared" si="39"/>
        <v>40.4</v>
      </c>
      <c r="AF27" s="1265">
        <v>37</v>
      </c>
      <c r="AG27" s="1266">
        <f t="shared" si="40"/>
        <v>40.799999999999997</v>
      </c>
      <c r="AH27" s="1496">
        <v>30</v>
      </c>
      <c r="AI27" s="1266">
        <f t="shared" si="41"/>
        <v>40.4</v>
      </c>
      <c r="AJ27" s="1496">
        <v>24</v>
      </c>
      <c r="AK27" s="1498">
        <f t="shared" si="42"/>
        <v>37.200000000000003</v>
      </c>
    </row>
    <row r="28" spans="1:37" ht="18" customHeight="1" x14ac:dyDescent="0.3">
      <c r="A28" s="552" t="s">
        <v>1143</v>
      </c>
      <c r="B28" s="1629">
        <v>62</v>
      </c>
      <c r="C28" s="1629">
        <v>67</v>
      </c>
      <c r="D28" s="1629">
        <v>50</v>
      </c>
      <c r="E28" s="1629">
        <v>48</v>
      </c>
      <c r="F28" s="1629">
        <v>53</v>
      </c>
      <c r="G28" s="1912">
        <f t="shared" si="27"/>
        <v>56</v>
      </c>
      <c r="H28" s="1629">
        <v>33</v>
      </c>
      <c r="I28" s="1912">
        <f t="shared" si="28"/>
        <v>50.2</v>
      </c>
      <c r="J28" s="1629">
        <v>63</v>
      </c>
      <c r="K28" s="1912">
        <f t="shared" si="29"/>
        <v>49.4</v>
      </c>
      <c r="L28" s="1629">
        <v>76</v>
      </c>
      <c r="M28" s="1912">
        <f t="shared" si="30"/>
        <v>54.6</v>
      </c>
      <c r="N28" s="1629">
        <v>118</v>
      </c>
      <c r="O28" s="1264">
        <f t="shared" si="31"/>
        <v>68.599999999999994</v>
      </c>
      <c r="P28" s="1265">
        <v>103</v>
      </c>
      <c r="Q28" s="1266">
        <f t="shared" si="32"/>
        <v>78.599999999999994</v>
      </c>
      <c r="R28" s="1265">
        <v>116</v>
      </c>
      <c r="S28" s="1266">
        <f t="shared" si="33"/>
        <v>95.2</v>
      </c>
      <c r="T28" s="1265">
        <v>55</v>
      </c>
      <c r="U28" s="1266">
        <f t="shared" si="34"/>
        <v>93.6</v>
      </c>
      <c r="V28" s="1265">
        <v>81</v>
      </c>
      <c r="W28" s="1266">
        <f t="shared" si="35"/>
        <v>94.6</v>
      </c>
      <c r="X28" s="1265">
        <v>80</v>
      </c>
      <c r="Y28" s="1266">
        <f t="shared" si="36"/>
        <v>87</v>
      </c>
      <c r="Z28" s="1265">
        <v>77</v>
      </c>
      <c r="AA28" s="1266">
        <f t="shared" si="37"/>
        <v>81.8</v>
      </c>
      <c r="AB28" s="1265">
        <v>72</v>
      </c>
      <c r="AC28" s="1266">
        <f t="shared" si="38"/>
        <v>73</v>
      </c>
      <c r="AD28" s="1265">
        <v>73</v>
      </c>
      <c r="AE28" s="1266">
        <f t="shared" si="39"/>
        <v>76.599999999999994</v>
      </c>
      <c r="AF28" s="1265">
        <v>62</v>
      </c>
      <c r="AG28" s="1266">
        <f t="shared" si="40"/>
        <v>72.8</v>
      </c>
      <c r="AH28" s="1496">
        <v>81</v>
      </c>
      <c r="AI28" s="1266">
        <f t="shared" si="41"/>
        <v>73</v>
      </c>
      <c r="AJ28" s="1496">
        <v>76</v>
      </c>
      <c r="AK28" s="1498">
        <f t="shared" si="42"/>
        <v>72.8</v>
      </c>
    </row>
    <row r="29" spans="1:37" ht="18" customHeight="1" x14ac:dyDescent="0.3">
      <c r="A29" s="553" t="s">
        <v>1015</v>
      </c>
      <c r="B29" s="1629">
        <f>SUM(B24:B28)</f>
        <v>213</v>
      </c>
      <c r="C29" s="1629">
        <f>SUM(C24:C28)</f>
        <v>194</v>
      </c>
      <c r="D29" s="1629">
        <f>SUM(D24:D28)</f>
        <v>169</v>
      </c>
      <c r="E29" s="1629">
        <f>SUM(E24:E28)</f>
        <v>143</v>
      </c>
      <c r="F29" s="1629">
        <f>SUM(F24:F28)</f>
        <v>128</v>
      </c>
      <c r="G29" s="1912">
        <f t="shared" si="27"/>
        <v>169.4</v>
      </c>
      <c r="H29" s="1629">
        <f>SUM(H24:H28)</f>
        <v>117</v>
      </c>
      <c r="I29" s="1912">
        <f t="shared" si="28"/>
        <v>150.19999999999999</v>
      </c>
      <c r="J29" s="1629">
        <f>SUM(J24:J28)</f>
        <v>164</v>
      </c>
      <c r="K29" s="1912">
        <f t="shared" si="29"/>
        <v>144.19999999999999</v>
      </c>
      <c r="L29" s="1629">
        <f>SUM(L24:L28)</f>
        <v>198</v>
      </c>
      <c r="M29" s="1912">
        <f t="shared" si="30"/>
        <v>150</v>
      </c>
      <c r="N29" s="1629">
        <f>SUM(N24:N28)</f>
        <v>262</v>
      </c>
      <c r="O29" s="1264">
        <f t="shared" si="31"/>
        <v>173.8</v>
      </c>
      <c r="P29" s="1629">
        <f>SUM(P24:P28)</f>
        <v>246</v>
      </c>
      <c r="Q29" s="1266">
        <f t="shared" si="32"/>
        <v>197.4</v>
      </c>
      <c r="R29" s="1629">
        <f>SUM(R24:R28)</f>
        <v>269</v>
      </c>
      <c r="S29" s="1266">
        <f t="shared" si="33"/>
        <v>227.8</v>
      </c>
      <c r="T29" s="1629">
        <f>SUM(T24:T28)</f>
        <v>218</v>
      </c>
      <c r="U29" s="1266">
        <f t="shared" si="34"/>
        <v>238.6</v>
      </c>
      <c r="V29" s="1629">
        <f>SUM(V24:V28)</f>
        <v>242</v>
      </c>
      <c r="W29" s="1266">
        <f t="shared" si="35"/>
        <v>247.4</v>
      </c>
      <c r="X29" s="1629">
        <f>SUM(X24:X28)</f>
        <v>277</v>
      </c>
      <c r="Y29" s="1266">
        <f t="shared" si="36"/>
        <v>250.4</v>
      </c>
      <c r="Z29" s="1629">
        <f>SUM(Z24:Z28)</f>
        <v>292</v>
      </c>
      <c r="AA29" s="1266">
        <f t="shared" si="37"/>
        <v>259.60000000000002</v>
      </c>
      <c r="AB29" s="1629">
        <f>SUM(AB24:AB28)</f>
        <v>299</v>
      </c>
      <c r="AC29" s="1266">
        <f t="shared" si="38"/>
        <v>265.60000000000002</v>
      </c>
      <c r="AD29" s="1629">
        <f>SUM(AD24:AD28)</f>
        <v>317</v>
      </c>
      <c r="AE29" s="1266">
        <f t="shared" si="39"/>
        <v>285.39999999999998</v>
      </c>
      <c r="AF29" s="1629">
        <f>SUM(AF24:AF28)</f>
        <v>304</v>
      </c>
      <c r="AG29" s="1266">
        <f t="shared" si="40"/>
        <v>297.8</v>
      </c>
      <c r="AH29" s="1629">
        <f>SUM(AH24:AH28)</f>
        <v>290</v>
      </c>
      <c r="AI29" s="1266">
        <f t="shared" si="41"/>
        <v>300.39999999999998</v>
      </c>
      <c r="AJ29" s="1629">
        <f>SUM(AJ24:AJ28)</f>
        <v>281</v>
      </c>
      <c r="AK29" s="1498">
        <f t="shared" si="42"/>
        <v>298.2</v>
      </c>
    </row>
    <row r="30" spans="1:37" ht="18" customHeight="1" x14ac:dyDescent="0.3">
      <c r="A30" s="551" t="s">
        <v>414</v>
      </c>
      <c r="B30" s="1910"/>
      <c r="C30" s="1910"/>
      <c r="D30" s="1910"/>
      <c r="E30" s="1910"/>
      <c r="F30" s="1910"/>
      <c r="G30" s="1914"/>
      <c r="H30" s="1910"/>
      <c r="I30" s="1914"/>
      <c r="J30" s="1910"/>
      <c r="K30" s="1914"/>
      <c r="L30" s="1910"/>
      <c r="M30" s="1911"/>
      <c r="N30" s="1910"/>
      <c r="O30" s="1267"/>
      <c r="P30" s="1262"/>
      <c r="Q30" s="1262"/>
      <c r="R30" s="1262"/>
      <c r="S30" s="1262"/>
      <c r="T30" s="1262"/>
      <c r="U30" s="1262"/>
      <c r="V30" s="1262"/>
      <c r="W30" s="1262"/>
      <c r="X30" s="1262"/>
      <c r="Y30" s="1262"/>
      <c r="Z30" s="1262"/>
      <c r="AA30" s="1262"/>
      <c r="AB30" s="1262"/>
      <c r="AC30" s="1262"/>
      <c r="AD30" s="1262"/>
      <c r="AE30" s="1262"/>
      <c r="AF30" s="1262"/>
      <c r="AG30" s="1262"/>
      <c r="AH30" s="1495"/>
      <c r="AI30" s="1262"/>
      <c r="AJ30" s="1495"/>
      <c r="AK30" s="1499"/>
    </row>
    <row r="31" spans="1:37" ht="18" customHeight="1" x14ac:dyDescent="0.3">
      <c r="A31" s="552" t="s">
        <v>1111</v>
      </c>
      <c r="B31" s="1629">
        <v>35</v>
      </c>
      <c r="C31" s="1629">
        <v>39</v>
      </c>
      <c r="D31" s="1629">
        <v>25</v>
      </c>
      <c r="E31" s="1629">
        <v>26</v>
      </c>
      <c r="F31" s="1629">
        <v>24</v>
      </c>
      <c r="G31" s="1912">
        <f t="shared" ref="G31:G36" si="43">AVERAGE(B31:F31)</f>
        <v>29.8</v>
      </c>
      <c r="H31" s="1629">
        <v>25</v>
      </c>
      <c r="I31" s="1912">
        <f t="shared" ref="I31:I36" si="44">(H31+F31+E31+D31+C31)/5</f>
        <v>27.8</v>
      </c>
      <c r="J31" s="1629">
        <v>43</v>
      </c>
      <c r="K31" s="1912">
        <f t="shared" ref="K31:K36" si="45">(J31+H31+F31+E31+D31)/5</f>
        <v>28.6</v>
      </c>
      <c r="L31" s="1629">
        <v>46</v>
      </c>
      <c r="M31" s="1912">
        <f t="shared" ref="M31:M36" si="46">(L31+J31+H31+F31+E31)/5</f>
        <v>32.799999999999997</v>
      </c>
      <c r="N31" s="1629">
        <v>46</v>
      </c>
      <c r="O31" s="1264">
        <f t="shared" ref="O31:O36" si="47">(+N31+L31+J31+H31+F31)/5</f>
        <v>36.799999999999997</v>
      </c>
      <c r="P31" s="1265">
        <v>36</v>
      </c>
      <c r="Q31" s="1266">
        <f t="shared" ref="Q31:Q36" si="48">(P31+N31+L31+J31+H31)/5</f>
        <v>39.200000000000003</v>
      </c>
      <c r="R31" s="1265">
        <v>48</v>
      </c>
      <c r="S31" s="1266">
        <f t="shared" ref="S31:S36" si="49">(R31+P31+N31+L31+J31)/5</f>
        <v>43.8</v>
      </c>
      <c r="T31" s="1265">
        <v>47</v>
      </c>
      <c r="U31" s="1266">
        <f t="shared" ref="U31:U36" si="50">(T31+R31+P31+N31+L31)/5</f>
        <v>44.6</v>
      </c>
      <c r="V31" s="1265">
        <v>48</v>
      </c>
      <c r="W31" s="1266">
        <f t="shared" ref="W31:W36" si="51">(V31+T31+R31+P31+N31)/5</f>
        <v>45</v>
      </c>
      <c r="X31" s="1265">
        <v>58</v>
      </c>
      <c r="Y31" s="1266">
        <f t="shared" ref="Y31:Y36" si="52">(X31+V31+T31+R31+P31)/5</f>
        <v>47.4</v>
      </c>
      <c r="Z31" s="1265">
        <v>63</v>
      </c>
      <c r="AA31" s="1266">
        <f t="shared" ref="AA31:AA36" si="53">(Z31+X31+V31+T31+R31)/5</f>
        <v>52.8</v>
      </c>
      <c r="AB31" s="1265">
        <v>63</v>
      </c>
      <c r="AC31" s="1266">
        <f t="shared" ref="AC31:AC36" si="54">(AB31+Z31+X31+V31+T31)/5</f>
        <v>55.8</v>
      </c>
      <c r="AD31" s="1265">
        <v>47</v>
      </c>
      <c r="AE31" s="1266">
        <f t="shared" ref="AE31:AE36" si="55">(AD31+AB31+Z31+X31+V31)/5</f>
        <v>55.8</v>
      </c>
      <c r="AF31" s="1265">
        <v>45</v>
      </c>
      <c r="AG31" s="1266">
        <f t="shared" ref="AG31:AG36" si="56">(AF31+AD31+AB31+Z31+X31)/5</f>
        <v>55.2</v>
      </c>
      <c r="AH31" s="1496">
        <v>39</v>
      </c>
      <c r="AI31" s="1266">
        <f t="shared" ref="AI31:AI36" si="57">(AH31+AF31+AD31+AB31+Z31)/5</f>
        <v>51.4</v>
      </c>
      <c r="AJ31" s="1496">
        <v>32</v>
      </c>
      <c r="AK31" s="1498">
        <f t="shared" ref="AK31:AK36" si="58">(AJ31+AH31+AF31+AD31+AB31)/5</f>
        <v>45.2</v>
      </c>
    </row>
    <row r="32" spans="1:37" ht="18" customHeight="1" x14ac:dyDescent="0.3">
      <c r="A32" s="1363" t="s">
        <v>1112</v>
      </c>
      <c r="B32" s="1629">
        <v>10</v>
      </c>
      <c r="C32" s="1629">
        <v>5</v>
      </c>
      <c r="D32" s="1629">
        <v>4</v>
      </c>
      <c r="E32" s="1629">
        <v>6</v>
      </c>
      <c r="F32" s="1629">
        <v>4</v>
      </c>
      <c r="G32" s="1912">
        <f t="shared" si="43"/>
        <v>5.8</v>
      </c>
      <c r="H32" s="1629">
        <v>2</v>
      </c>
      <c r="I32" s="1912">
        <f t="shared" si="44"/>
        <v>4.2</v>
      </c>
      <c r="J32" s="1629">
        <v>6</v>
      </c>
      <c r="K32" s="1912">
        <f t="shared" si="45"/>
        <v>4.4000000000000004</v>
      </c>
      <c r="L32" s="1629">
        <v>6</v>
      </c>
      <c r="M32" s="1912">
        <f t="shared" si="46"/>
        <v>4.8</v>
      </c>
      <c r="N32" s="1629">
        <v>8</v>
      </c>
      <c r="O32" s="1264">
        <f t="shared" si="47"/>
        <v>5.2</v>
      </c>
      <c r="P32" s="1265">
        <v>6</v>
      </c>
      <c r="Q32" s="1266">
        <f t="shared" si="48"/>
        <v>5.6</v>
      </c>
      <c r="R32" s="1265">
        <v>8</v>
      </c>
      <c r="S32" s="1266">
        <f t="shared" si="49"/>
        <v>6.8</v>
      </c>
      <c r="T32" s="1265">
        <v>7</v>
      </c>
      <c r="U32" s="1266">
        <f t="shared" si="50"/>
        <v>7</v>
      </c>
      <c r="V32" s="1265">
        <v>4</v>
      </c>
      <c r="W32" s="1266">
        <f t="shared" si="51"/>
        <v>6.6</v>
      </c>
      <c r="X32" s="1265">
        <v>3</v>
      </c>
      <c r="Y32" s="1266">
        <f t="shared" si="52"/>
        <v>5.6</v>
      </c>
      <c r="Z32" s="1265">
        <v>2</v>
      </c>
      <c r="AA32" s="1266">
        <f t="shared" si="53"/>
        <v>4.8</v>
      </c>
      <c r="AB32" s="1265">
        <v>8</v>
      </c>
      <c r="AC32" s="1266">
        <f t="shared" si="54"/>
        <v>4.8</v>
      </c>
      <c r="AD32" s="1265">
        <v>6</v>
      </c>
      <c r="AE32" s="1266">
        <f t="shared" si="55"/>
        <v>4.5999999999999996</v>
      </c>
      <c r="AF32" s="1265">
        <v>11</v>
      </c>
      <c r="AG32" s="1266">
        <f t="shared" si="56"/>
        <v>6</v>
      </c>
      <c r="AH32" s="1496">
        <v>9</v>
      </c>
      <c r="AI32" s="1266">
        <f t="shared" si="57"/>
        <v>7.2</v>
      </c>
      <c r="AJ32" s="1496">
        <v>11</v>
      </c>
      <c r="AK32" s="1498">
        <f t="shared" si="58"/>
        <v>9</v>
      </c>
    </row>
    <row r="33" spans="1:37" ht="18" customHeight="1" x14ac:dyDescent="0.3">
      <c r="A33" s="552" t="s">
        <v>1113</v>
      </c>
      <c r="B33" s="1629">
        <v>0</v>
      </c>
      <c r="C33" s="1629">
        <v>0</v>
      </c>
      <c r="D33" s="1629">
        <v>13</v>
      </c>
      <c r="E33" s="1629">
        <v>20</v>
      </c>
      <c r="F33" s="1629">
        <v>23</v>
      </c>
      <c r="G33" s="1912">
        <f t="shared" si="43"/>
        <v>11.2</v>
      </c>
      <c r="H33" s="1629">
        <v>20</v>
      </c>
      <c r="I33" s="1912">
        <f t="shared" si="44"/>
        <v>15.2</v>
      </c>
      <c r="J33" s="1629">
        <v>22</v>
      </c>
      <c r="K33" s="1912">
        <f t="shared" si="45"/>
        <v>19.600000000000001</v>
      </c>
      <c r="L33" s="1629">
        <v>25</v>
      </c>
      <c r="M33" s="1912">
        <f t="shared" si="46"/>
        <v>22</v>
      </c>
      <c r="N33" s="1629">
        <v>21</v>
      </c>
      <c r="O33" s="1264">
        <f t="shared" si="47"/>
        <v>22.2</v>
      </c>
      <c r="P33" s="1265">
        <v>15</v>
      </c>
      <c r="Q33" s="1266">
        <f t="shared" si="48"/>
        <v>20.6</v>
      </c>
      <c r="R33" s="1265">
        <v>12</v>
      </c>
      <c r="S33" s="1266">
        <f t="shared" si="49"/>
        <v>19</v>
      </c>
      <c r="T33" s="1265">
        <v>10</v>
      </c>
      <c r="U33" s="1266">
        <f t="shared" si="50"/>
        <v>16.600000000000001</v>
      </c>
      <c r="V33" s="1265">
        <v>13</v>
      </c>
      <c r="W33" s="1266">
        <f t="shared" si="51"/>
        <v>14.2</v>
      </c>
      <c r="X33" s="1265">
        <v>12</v>
      </c>
      <c r="Y33" s="1266">
        <f t="shared" si="52"/>
        <v>12.4</v>
      </c>
      <c r="Z33" s="1265">
        <v>19</v>
      </c>
      <c r="AA33" s="1266">
        <f t="shared" si="53"/>
        <v>13.2</v>
      </c>
      <c r="AB33" s="1265">
        <v>22</v>
      </c>
      <c r="AC33" s="1266">
        <f t="shared" si="54"/>
        <v>15.2</v>
      </c>
      <c r="AD33" s="1265">
        <v>17</v>
      </c>
      <c r="AE33" s="1266">
        <f t="shared" si="55"/>
        <v>16.600000000000001</v>
      </c>
      <c r="AF33" s="1265">
        <v>20</v>
      </c>
      <c r="AG33" s="1266">
        <f t="shared" si="56"/>
        <v>18</v>
      </c>
      <c r="AH33" s="1496">
        <v>14</v>
      </c>
      <c r="AI33" s="1266">
        <f t="shared" si="57"/>
        <v>18.399999999999999</v>
      </c>
      <c r="AJ33" s="1496">
        <v>14</v>
      </c>
      <c r="AK33" s="1498">
        <f t="shared" si="58"/>
        <v>17.399999999999999</v>
      </c>
    </row>
    <row r="34" spans="1:37" ht="18" customHeight="1" x14ac:dyDescent="0.3">
      <c r="A34" s="552" t="s">
        <v>1121</v>
      </c>
      <c r="B34" s="1629">
        <v>1</v>
      </c>
      <c r="C34" s="1629">
        <v>6</v>
      </c>
      <c r="D34" s="1629">
        <v>0</v>
      </c>
      <c r="E34" s="1629">
        <v>0</v>
      </c>
      <c r="F34" s="1629">
        <v>0</v>
      </c>
      <c r="G34" s="1912">
        <f t="shared" si="43"/>
        <v>1.4</v>
      </c>
      <c r="H34" s="1629">
        <v>1</v>
      </c>
      <c r="I34" s="1912">
        <f t="shared" si="44"/>
        <v>1.4</v>
      </c>
      <c r="J34" s="1629">
        <v>1</v>
      </c>
      <c r="K34" s="1912">
        <f t="shared" si="45"/>
        <v>0.4</v>
      </c>
      <c r="L34" s="1629">
        <v>0</v>
      </c>
      <c r="M34" s="1912">
        <f t="shared" si="46"/>
        <v>0.4</v>
      </c>
      <c r="N34" s="1629">
        <v>0</v>
      </c>
      <c r="O34" s="1264">
        <f t="shared" si="47"/>
        <v>0.4</v>
      </c>
      <c r="P34" s="1265">
        <v>0</v>
      </c>
      <c r="Q34" s="1266">
        <f t="shared" si="48"/>
        <v>0.4</v>
      </c>
      <c r="R34" s="1265">
        <v>0</v>
      </c>
      <c r="S34" s="1266">
        <f t="shared" si="49"/>
        <v>0.2</v>
      </c>
      <c r="T34" s="1265">
        <v>0</v>
      </c>
      <c r="U34" s="1266">
        <f t="shared" si="50"/>
        <v>0</v>
      </c>
      <c r="V34" s="1265">
        <v>0</v>
      </c>
      <c r="W34" s="1266">
        <f t="shared" si="51"/>
        <v>0</v>
      </c>
      <c r="X34" s="1265">
        <v>0</v>
      </c>
      <c r="Y34" s="1266">
        <f t="shared" si="52"/>
        <v>0</v>
      </c>
      <c r="Z34" s="1265">
        <v>0</v>
      </c>
      <c r="AA34" s="1266">
        <f t="shared" si="53"/>
        <v>0</v>
      </c>
      <c r="AB34" s="1265">
        <v>0</v>
      </c>
      <c r="AC34" s="1266">
        <f t="shared" si="54"/>
        <v>0</v>
      </c>
      <c r="AD34" s="1265">
        <v>0</v>
      </c>
      <c r="AE34" s="1266">
        <f t="shared" si="55"/>
        <v>0</v>
      </c>
      <c r="AF34" s="1265">
        <v>0</v>
      </c>
      <c r="AG34" s="1266">
        <f t="shared" si="56"/>
        <v>0</v>
      </c>
      <c r="AH34" s="1496">
        <v>0</v>
      </c>
      <c r="AI34" s="1266">
        <f t="shared" si="57"/>
        <v>0</v>
      </c>
      <c r="AJ34" s="1496">
        <v>0</v>
      </c>
      <c r="AK34" s="1498">
        <f t="shared" si="58"/>
        <v>0</v>
      </c>
    </row>
    <row r="35" spans="1:37" ht="18" customHeight="1" x14ac:dyDescent="0.3">
      <c r="A35" s="553" t="s">
        <v>1015</v>
      </c>
      <c r="B35" s="1629">
        <f>SUM(B31:B34)</f>
        <v>46</v>
      </c>
      <c r="C35" s="1629">
        <f>SUM(C31:C34)</f>
        <v>50</v>
      </c>
      <c r="D35" s="1629">
        <f>SUM(D31:D34)</f>
        <v>42</v>
      </c>
      <c r="E35" s="1629">
        <f>SUM(E31:E34)</f>
        <v>52</v>
      </c>
      <c r="F35" s="1629">
        <f>SUM(F31:F34)</f>
        <v>51</v>
      </c>
      <c r="G35" s="1912">
        <f t="shared" si="43"/>
        <v>48.2</v>
      </c>
      <c r="H35" s="1629">
        <f>SUM(H31:H34)</f>
        <v>48</v>
      </c>
      <c r="I35" s="1912">
        <f t="shared" si="44"/>
        <v>48.6</v>
      </c>
      <c r="J35" s="1629">
        <f>SUM(J31:J34)</f>
        <v>72</v>
      </c>
      <c r="K35" s="1912">
        <f t="shared" si="45"/>
        <v>53</v>
      </c>
      <c r="L35" s="1629">
        <f>SUM(L31:L34)</f>
        <v>77</v>
      </c>
      <c r="M35" s="1912">
        <f t="shared" si="46"/>
        <v>60</v>
      </c>
      <c r="N35" s="1629">
        <f>SUM(N31:N34)</f>
        <v>75</v>
      </c>
      <c r="O35" s="1264">
        <f t="shared" si="47"/>
        <v>64.599999999999994</v>
      </c>
      <c r="P35" s="1265">
        <f>SUM(P31:P34)</f>
        <v>57</v>
      </c>
      <c r="Q35" s="1266">
        <f t="shared" si="48"/>
        <v>65.8</v>
      </c>
      <c r="R35" s="1265">
        <f>SUM(R31:R34)</f>
        <v>68</v>
      </c>
      <c r="S35" s="1266">
        <f t="shared" si="49"/>
        <v>69.8</v>
      </c>
      <c r="T35" s="1265">
        <f>SUM(T31:T34)</f>
        <v>64</v>
      </c>
      <c r="U35" s="1266">
        <f t="shared" si="50"/>
        <v>68.2</v>
      </c>
      <c r="V35" s="1265">
        <f>SUM(V31:V34)</f>
        <v>65</v>
      </c>
      <c r="W35" s="1266">
        <f t="shared" si="51"/>
        <v>65.8</v>
      </c>
      <c r="X35" s="1265">
        <f>SUM(X31:X34)</f>
        <v>73</v>
      </c>
      <c r="Y35" s="1266">
        <f t="shared" si="52"/>
        <v>65.400000000000006</v>
      </c>
      <c r="Z35" s="1265">
        <f>SUM(Z31:Z34)</f>
        <v>84</v>
      </c>
      <c r="AA35" s="1266">
        <f t="shared" si="53"/>
        <v>70.8</v>
      </c>
      <c r="AB35" s="1265">
        <f>SUM(AB31:AB34)</f>
        <v>93</v>
      </c>
      <c r="AC35" s="1266">
        <f t="shared" si="54"/>
        <v>75.8</v>
      </c>
      <c r="AD35" s="1265">
        <f>SUM(AD31:AD34)</f>
        <v>70</v>
      </c>
      <c r="AE35" s="1266">
        <f t="shared" si="55"/>
        <v>77</v>
      </c>
      <c r="AF35" s="1265">
        <f>SUM(AF31:AF34)</f>
        <v>76</v>
      </c>
      <c r="AG35" s="1266">
        <f t="shared" si="56"/>
        <v>79.2</v>
      </c>
      <c r="AH35" s="1496">
        <f>SUM(AH31:AH34)</f>
        <v>62</v>
      </c>
      <c r="AI35" s="1266">
        <f t="shared" si="57"/>
        <v>77</v>
      </c>
      <c r="AJ35" s="1496">
        <f>SUM(AJ31:AJ34)</f>
        <v>57</v>
      </c>
      <c r="AK35" s="1498">
        <f t="shared" si="58"/>
        <v>71.599999999999994</v>
      </c>
    </row>
    <row r="36" spans="1:37" ht="18" customHeight="1" thickBot="1" x14ac:dyDescent="0.35">
      <c r="A36" s="562" t="s">
        <v>415</v>
      </c>
      <c r="B36" s="563">
        <f>+B35+B29+B22+B13</f>
        <v>528</v>
      </c>
      <c r="C36" s="563">
        <f>+C35+C29+C22+C13</f>
        <v>514</v>
      </c>
      <c r="D36" s="563">
        <f>+D35+D29+D22+D13</f>
        <v>474</v>
      </c>
      <c r="E36" s="563">
        <f>+E35+E29+E22+E13</f>
        <v>464</v>
      </c>
      <c r="F36" s="563">
        <f>+F35+F29+F22+F13</f>
        <v>428</v>
      </c>
      <c r="G36" s="1915">
        <f t="shared" si="43"/>
        <v>481.6</v>
      </c>
      <c r="H36" s="563">
        <f>+H35+H29+H22+H13</f>
        <v>402</v>
      </c>
      <c r="I36" s="1915">
        <f t="shared" si="44"/>
        <v>456.4</v>
      </c>
      <c r="J36" s="563">
        <f>+J35+J29+J22+J13</f>
        <v>468</v>
      </c>
      <c r="K36" s="1915">
        <f t="shared" si="45"/>
        <v>447.2</v>
      </c>
      <c r="L36" s="563">
        <f>+L35+L29+L22+L13</f>
        <v>497</v>
      </c>
      <c r="M36" s="1915">
        <f t="shared" si="46"/>
        <v>451.8</v>
      </c>
      <c r="N36" s="563">
        <f>+N35+N29+N22+N13</f>
        <v>591</v>
      </c>
      <c r="O36" s="1916">
        <f t="shared" si="47"/>
        <v>477.2</v>
      </c>
      <c r="P36" s="577">
        <f>+P35+P29+P22+P13</f>
        <v>550</v>
      </c>
      <c r="Q36" s="665">
        <f t="shared" si="48"/>
        <v>501.6</v>
      </c>
      <c r="R36" s="577">
        <f>+R35+R29+R22+R13</f>
        <v>558</v>
      </c>
      <c r="S36" s="665">
        <f t="shared" si="49"/>
        <v>532.79999999999995</v>
      </c>
      <c r="T36" s="577">
        <f>+T35+T29+T22+T13</f>
        <v>500</v>
      </c>
      <c r="U36" s="665">
        <f t="shared" si="50"/>
        <v>539.20000000000005</v>
      </c>
      <c r="V36" s="577">
        <f>+V35+V29+V22+V13</f>
        <v>544</v>
      </c>
      <c r="W36" s="665">
        <f t="shared" si="51"/>
        <v>548.6</v>
      </c>
      <c r="X36" s="577">
        <f>+X35+X29+X22+X13</f>
        <v>616</v>
      </c>
      <c r="Y36" s="665">
        <f t="shared" si="52"/>
        <v>553.6</v>
      </c>
      <c r="Z36" s="577">
        <f>+Z35+Z29+Z22+Z13</f>
        <v>665</v>
      </c>
      <c r="AA36" s="665">
        <f t="shared" si="53"/>
        <v>576.6</v>
      </c>
      <c r="AB36" s="577">
        <f>+AB35+AB29+AB22+AB13</f>
        <v>663</v>
      </c>
      <c r="AC36" s="665">
        <f t="shared" si="54"/>
        <v>597.6</v>
      </c>
      <c r="AD36" s="577">
        <f>+AD35+AD29+AD22+AD13</f>
        <v>665</v>
      </c>
      <c r="AE36" s="665">
        <f t="shared" si="55"/>
        <v>630.6</v>
      </c>
      <c r="AF36" s="577">
        <f>+AF35+AF29+AF22+AF13</f>
        <v>676</v>
      </c>
      <c r="AG36" s="665">
        <f t="shared" si="56"/>
        <v>657</v>
      </c>
      <c r="AH36" s="563">
        <f>+AH35+AH29+AH22+AH13</f>
        <v>676</v>
      </c>
      <c r="AI36" s="665">
        <f t="shared" si="57"/>
        <v>669</v>
      </c>
      <c r="AJ36" s="563">
        <f>+AJ35+AJ29+AJ22+AJ13</f>
        <v>641</v>
      </c>
      <c r="AK36" s="1917">
        <f t="shared" si="58"/>
        <v>664.2</v>
      </c>
    </row>
    <row r="37" spans="1:37" ht="20.25" customHeight="1" thickBot="1" x14ac:dyDescent="0.35">
      <c r="A37" s="2134" t="s">
        <v>416</v>
      </c>
      <c r="B37" s="2135"/>
      <c r="C37" s="2135"/>
      <c r="D37" s="2135"/>
      <c r="E37" s="2135"/>
      <c r="F37" s="2135"/>
      <c r="G37" s="2135"/>
      <c r="H37" s="2135"/>
      <c r="I37" s="2135"/>
      <c r="J37" s="2135"/>
      <c r="K37" s="2135"/>
      <c r="L37" s="2135"/>
      <c r="M37" s="2135"/>
      <c r="N37" s="2135"/>
      <c r="O37" s="2135"/>
      <c r="P37" s="2135"/>
      <c r="Q37" s="2135"/>
      <c r="R37" s="2135"/>
      <c r="S37" s="2135"/>
      <c r="T37" s="2135"/>
      <c r="U37" s="2135"/>
      <c r="V37" s="2135"/>
      <c r="W37" s="2135"/>
      <c r="X37" s="2135"/>
      <c r="Y37" s="2135"/>
      <c r="Z37" s="2135"/>
      <c r="AA37" s="2135"/>
      <c r="AB37" s="2135"/>
      <c r="AC37" s="2135"/>
      <c r="AD37" s="2135"/>
      <c r="AE37" s="2135"/>
      <c r="AF37" s="2135"/>
      <c r="AG37" s="2135"/>
      <c r="AH37" s="2135"/>
      <c r="AI37" s="2135"/>
      <c r="AJ37" s="2135"/>
      <c r="AK37" s="2136"/>
    </row>
    <row r="38" spans="1:37" ht="20.25" customHeight="1" x14ac:dyDescent="0.3">
      <c r="A38" s="549" t="s">
        <v>410</v>
      </c>
      <c r="B38" s="1906">
        <v>1996</v>
      </c>
      <c r="C38" s="1906">
        <v>1997</v>
      </c>
      <c r="D38" s="1906">
        <v>1998</v>
      </c>
      <c r="E38" s="1906">
        <v>1999</v>
      </c>
      <c r="F38" s="1907">
        <v>2000</v>
      </c>
      <c r="G38" s="1908" t="s">
        <v>387</v>
      </c>
      <c r="H38" s="1832">
        <f>F38+1</f>
        <v>2001</v>
      </c>
      <c r="I38" s="1908" t="s">
        <v>387</v>
      </c>
      <c r="J38" s="1832">
        <f>+H38+1</f>
        <v>2002</v>
      </c>
      <c r="K38" s="1908" t="s">
        <v>387</v>
      </c>
      <c r="L38" s="1832">
        <f>J38+1</f>
        <v>2003</v>
      </c>
      <c r="M38" s="1908" t="s">
        <v>387</v>
      </c>
      <c r="N38" s="1832">
        <f>L38+1</f>
        <v>2004</v>
      </c>
      <c r="O38" s="661" t="s">
        <v>387</v>
      </c>
      <c r="P38" s="662">
        <f>N38+1</f>
        <v>2005</v>
      </c>
      <c r="Q38" s="663" t="s">
        <v>387</v>
      </c>
      <c r="R38" s="662">
        <f>P38+1</f>
        <v>2006</v>
      </c>
      <c r="S38" s="663" t="s">
        <v>387</v>
      </c>
      <c r="T38" s="662">
        <f>R38+1</f>
        <v>2007</v>
      </c>
      <c r="U38" s="663" t="s">
        <v>387</v>
      </c>
      <c r="V38" s="662">
        <f>T38+1</f>
        <v>2008</v>
      </c>
      <c r="W38" s="663" t="s">
        <v>387</v>
      </c>
      <c r="X38" s="662">
        <f>V38+1</f>
        <v>2009</v>
      </c>
      <c r="Y38" s="663" t="s">
        <v>387</v>
      </c>
      <c r="Z38" s="662">
        <f>X38+1</f>
        <v>2010</v>
      </c>
      <c r="AA38" s="663" t="s">
        <v>387</v>
      </c>
      <c r="AB38" s="662">
        <f>Z38+1</f>
        <v>2011</v>
      </c>
      <c r="AC38" s="663" t="s">
        <v>387</v>
      </c>
      <c r="AD38" s="662">
        <f>AB38+1</f>
        <v>2012</v>
      </c>
      <c r="AE38" s="663" t="s">
        <v>387</v>
      </c>
      <c r="AF38" s="662">
        <f>AD38+1</f>
        <v>2013</v>
      </c>
      <c r="AG38" s="1918" t="s">
        <v>387</v>
      </c>
      <c r="AH38" s="662">
        <f>AF38+1</f>
        <v>2014</v>
      </c>
      <c r="AI38" s="1923" t="s">
        <v>387</v>
      </c>
      <c r="AJ38" s="662">
        <f>AH38+1</f>
        <v>2015</v>
      </c>
      <c r="AK38" s="663" t="s">
        <v>387</v>
      </c>
    </row>
    <row r="39" spans="1:37" ht="18" customHeight="1" x14ac:dyDescent="0.3">
      <c r="A39" s="551" t="s">
        <v>417</v>
      </c>
      <c r="B39" s="1909"/>
      <c r="C39" s="1909"/>
      <c r="D39" s="1909"/>
      <c r="E39" s="1909"/>
      <c r="F39" s="1910"/>
      <c r="G39" s="1911"/>
      <c r="H39" s="1910"/>
      <c r="I39" s="1911"/>
      <c r="J39" s="1910"/>
      <c r="K39" s="1911"/>
      <c r="L39" s="1910"/>
      <c r="M39" s="1911"/>
      <c r="N39" s="1910"/>
      <c r="O39" s="1261"/>
      <c r="P39" s="1263"/>
      <c r="Q39" s="1262"/>
      <c r="R39" s="1263"/>
      <c r="S39" s="1262"/>
      <c r="T39" s="1263"/>
      <c r="U39" s="1262"/>
      <c r="V39" s="1263"/>
      <c r="W39" s="1262"/>
      <c r="X39" s="1263"/>
      <c r="Y39" s="1262"/>
      <c r="Z39" s="1263"/>
      <c r="AA39" s="1262"/>
      <c r="AB39" s="1263"/>
      <c r="AC39" s="1262"/>
      <c r="AD39" s="1263"/>
      <c r="AE39" s="1262"/>
      <c r="AF39" s="1263"/>
      <c r="AG39" s="1262"/>
      <c r="AH39" s="1500"/>
      <c r="AI39" s="1262"/>
      <c r="AJ39" s="1500"/>
      <c r="AK39" s="1499"/>
    </row>
    <row r="40" spans="1:37" ht="18" customHeight="1" x14ac:dyDescent="0.3">
      <c r="A40" s="1363" t="s">
        <v>1127</v>
      </c>
      <c r="B40" s="1629">
        <v>4</v>
      </c>
      <c r="C40" s="1629">
        <v>4</v>
      </c>
      <c r="D40" s="1629">
        <v>2</v>
      </c>
      <c r="E40" s="1629">
        <v>3</v>
      </c>
      <c r="F40" s="1629">
        <v>4</v>
      </c>
      <c r="G40" s="1912">
        <f>AVERAGE(B40:F40)</f>
        <v>3.4</v>
      </c>
      <c r="H40" s="1629">
        <v>4</v>
      </c>
      <c r="I40" s="1912">
        <f>(H40+F40+E40+D40+C40)/5</f>
        <v>3.4</v>
      </c>
      <c r="J40" s="1629">
        <f>2+1</f>
        <v>3</v>
      </c>
      <c r="K40" s="1912">
        <f>(J40+H40+F40+E40+D40)/5</f>
        <v>3.2</v>
      </c>
      <c r="L40" s="1629">
        <v>0</v>
      </c>
      <c r="M40" s="1912">
        <f>(L40+J40+H40+F40+E40)/5</f>
        <v>2.8</v>
      </c>
      <c r="N40" s="1629">
        <v>0</v>
      </c>
      <c r="O40" s="1264">
        <f>(+N40+L40+J40+H40+F40)/5</f>
        <v>2.2000000000000002</v>
      </c>
      <c r="P40" s="1265">
        <v>0</v>
      </c>
      <c r="Q40" s="1266">
        <f>(P40+N40+L40+J40+H40)/5</f>
        <v>1.4</v>
      </c>
      <c r="R40" s="1265">
        <v>0</v>
      </c>
      <c r="S40" s="1266">
        <f>(R40+P40+N40+L40+J40)/5</f>
        <v>0.6</v>
      </c>
      <c r="T40" s="1265">
        <v>0</v>
      </c>
      <c r="U40" s="1266">
        <f>(T40+R40+P40+N40+L40)/5</f>
        <v>0</v>
      </c>
      <c r="V40" s="1265">
        <v>0</v>
      </c>
      <c r="W40" s="1266">
        <f>(V40+T40+R40+P40+N40)/5</f>
        <v>0</v>
      </c>
      <c r="X40" s="1265">
        <v>0</v>
      </c>
      <c r="Y40" s="1266">
        <f>(X40+V40+T40+R40+P40)/5</f>
        <v>0</v>
      </c>
      <c r="Z40" s="1265">
        <v>0</v>
      </c>
      <c r="AA40" s="1266">
        <f>(Z40+X40+V40+T40+R40)/5</f>
        <v>0</v>
      </c>
      <c r="AB40" s="1265">
        <v>0</v>
      </c>
      <c r="AC40" s="1266">
        <f>(AB40+Z40+X40+V40+T40)/5</f>
        <v>0</v>
      </c>
      <c r="AD40" s="1265">
        <v>0</v>
      </c>
      <c r="AE40" s="1266">
        <f>(AD40+AB40+Z40+X40+V40)/5</f>
        <v>0</v>
      </c>
      <c r="AF40" s="1265">
        <v>0</v>
      </c>
      <c r="AG40" s="1266">
        <f>(AF40+AD40+AB40+Z40+X40)/5</f>
        <v>0</v>
      </c>
      <c r="AH40" s="1496">
        <v>0</v>
      </c>
      <c r="AI40" s="1266">
        <f>(AH40+AF40+AD40+AB40+Z40)/5</f>
        <v>0</v>
      </c>
      <c r="AJ40" s="1496">
        <v>0</v>
      </c>
      <c r="AK40" s="1498">
        <f>(AJ40+AH40+AF40+AD40+AB40)/5</f>
        <v>0</v>
      </c>
    </row>
    <row r="41" spans="1:37" ht="18" customHeight="1" x14ac:dyDescent="0.3">
      <c r="A41" s="552" t="s">
        <v>1128</v>
      </c>
      <c r="B41" s="1629">
        <v>81</v>
      </c>
      <c r="C41" s="1629">
        <v>74</v>
      </c>
      <c r="D41" s="1629">
        <v>75</v>
      </c>
      <c r="E41" s="1629">
        <v>68</v>
      </c>
      <c r="F41" s="1629">
        <v>74</v>
      </c>
      <c r="G41" s="1912">
        <f>AVERAGE(B41:F41)</f>
        <v>74.400000000000006</v>
      </c>
      <c r="H41" s="1629">
        <f>80-1</f>
        <v>79</v>
      </c>
      <c r="I41" s="1912">
        <f>(H41+F41+E41+D41+C41)/5</f>
        <v>74</v>
      </c>
      <c r="J41" s="1629">
        <v>94</v>
      </c>
      <c r="K41" s="1912">
        <f>(J41+H41+F41+E41+D41)/5</f>
        <v>78</v>
      </c>
      <c r="L41" s="1629">
        <v>81</v>
      </c>
      <c r="M41" s="1912">
        <f>(L41+J41+H41+F41+E41)/5</f>
        <v>79.2</v>
      </c>
      <c r="N41" s="1629">
        <v>75</v>
      </c>
      <c r="O41" s="1264">
        <f>(+N41+L41+J41+H41+F41)/5</f>
        <v>80.599999999999994</v>
      </c>
      <c r="P41" s="1265">
        <v>71</v>
      </c>
      <c r="Q41" s="1266">
        <f>(P41+N41+L41+J41+H41)/5</f>
        <v>80</v>
      </c>
      <c r="R41" s="1265">
        <v>68</v>
      </c>
      <c r="S41" s="1266">
        <f>(R41+P41+N41+L41+J41)/5</f>
        <v>77.8</v>
      </c>
      <c r="T41" s="1265">
        <v>65</v>
      </c>
      <c r="U41" s="1266">
        <f>(T41+R41+P41+N41+L41)/5</f>
        <v>72</v>
      </c>
      <c r="V41" s="1265">
        <v>83</v>
      </c>
      <c r="W41" s="1266">
        <f>(V41+T41+R41+P41+N41)/5</f>
        <v>72.400000000000006</v>
      </c>
      <c r="X41" s="1265">
        <v>97</v>
      </c>
      <c r="Y41" s="1266">
        <f>(X41+V41+T41+R41+P41)/5</f>
        <v>76.8</v>
      </c>
      <c r="Z41" s="1265">
        <v>100</v>
      </c>
      <c r="AA41" s="1266">
        <f>(Z41+X41+V41+T41+R41)/5</f>
        <v>82.6</v>
      </c>
      <c r="AB41" s="1265">
        <v>107</v>
      </c>
      <c r="AC41" s="1266">
        <f>(AB41+Z41+X41+V41+T41)/5</f>
        <v>90.4</v>
      </c>
      <c r="AD41" s="1265">
        <v>93</v>
      </c>
      <c r="AE41" s="1266">
        <f>(AD41+AB41+Z41+X41+V41)/5</f>
        <v>96</v>
      </c>
      <c r="AF41" s="1265">
        <v>99</v>
      </c>
      <c r="AG41" s="1266">
        <f>(AF41+AD41+AB41+Z41+X41)/5</f>
        <v>99.2</v>
      </c>
      <c r="AH41" s="1496">
        <v>87</v>
      </c>
      <c r="AI41" s="1266">
        <f>(AH41+AF41+AD41+AB41+Z41)/5</f>
        <v>97.2</v>
      </c>
      <c r="AJ41" s="1496">
        <v>86</v>
      </c>
      <c r="AK41" s="1498">
        <f>(AJ41+AH41+AF41+AD41+AB41)/5</f>
        <v>94.4</v>
      </c>
    </row>
    <row r="42" spans="1:37" ht="18" customHeight="1" x14ac:dyDescent="0.3">
      <c r="A42" s="552" t="s">
        <v>388</v>
      </c>
      <c r="B42" s="1629">
        <v>0</v>
      </c>
      <c r="C42" s="1629">
        <v>0</v>
      </c>
      <c r="D42" s="1629">
        <v>0</v>
      </c>
      <c r="E42" s="1629">
        <v>1</v>
      </c>
      <c r="F42" s="1629">
        <v>0</v>
      </c>
      <c r="G42" s="1912">
        <f>AVERAGE(B42:F42)</f>
        <v>0.2</v>
      </c>
      <c r="H42" s="1629">
        <v>0</v>
      </c>
      <c r="I42" s="1912">
        <f>(H42+F42+E42+D42+C42)/5</f>
        <v>0.2</v>
      </c>
      <c r="J42" s="1629">
        <v>0</v>
      </c>
      <c r="K42" s="1912">
        <f>(J42+H42+F42+E42+D42)/5</f>
        <v>0.2</v>
      </c>
      <c r="L42" s="1629">
        <v>0</v>
      </c>
      <c r="M42" s="1912">
        <f>(L42+J42+H42+F42+E42)/5</f>
        <v>0.2</v>
      </c>
      <c r="N42" s="1629">
        <v>0</v>
      </c>
      <c r="O42" s="1264">
        <f>(+N42+L42+J42+H42+F42)/5</f>
        <v>0</v>
      </c>
      <c r="P42" s="1265">
        <v>0</v>
      </c>
      <c r="Q42" s="1266">
        <f>(P42+N42+L42+J42+H42)/5</f>
        <v>0</v>
      </c>
      <c r="R42" s="1265">
        <v>0</v>
      </c>
      <c r="S42" s="1266">
        <f>(R42+P42+N42+L42+J42)/5</f>
        <v>0</v>
      </c>
      <c r="T42" s="1265">
        <v>0</v>
      </c>
      <c r="U42" s="1266">
        <f>(T42+R42+P42+N42+L42)/5</f>
        <v>0</v>
      </c>
      <c r="V42" s="1265">
        <v>0</v>
      </c>
      <c r="W42" s="1266">
        <f>(V42+T42+R42+P42+N42)/5</f>
        <v>0</v>
      </c>
      <c r="X42" s="1265">
        <v>0</v>
      </c>
      <c r="Y42" s="1266">
        <f>(X42+V42+T42+R42+P42)/5</f>
        <v>0</v>
      </c>
      <c r="Z42" s="1265">
        <v>0</v>
      </c>
      <c r="AA42" s="1266">
        <f>(Z42+X42+V42+T42+R42)/5</f>
        <v>0</v>
      </c>
      <c r="AB42" s="1265">
        <v>0</v>
      </c>
      <c r="AC42" s="1266">
        <f>(AB42+Z42+X42+V42+T42)/5</f>
        <v>0</v>
      </c>
      <c r="AD42" s="1265">
        <v>0</v>
      </c>
      <c r="AE42" s="1266">
        <f>(AD42+AB42+Z42+X42+V42)/5</f>
        <v>0</v>
      </c>
      <c r="AF42" s="1265">
        <v>0</v>
      </c>
      <c r="AG42" s="1266">
        <f>(AF42+AD42+AB42+Z42+X42)/5</f>
        <v>0</v>
      </c>
      <c r="AH42" s="1496">
        <v>0</v>
      </c>
      <c r="AI42" s="1266">
        <f>(AH42+AF42+AD42+AB42+Z42)/5</f>
        <v>0</v>
      </c>
      <c r="AJ42" s="1496">
        <v>0</v>
      </c>
      <c r="AK42" s="1498">
        <f>(AJ42+AH42+AF42+AD42+AB42)/5</f>
        <v>0</v>
      </c>
    </row>
    <row r="43" spans="1:37" ht="18" customHeight="1" x14ac:dyDescent="0.3">
      <c r="A43" s="553" t="s">
        <v>1015</v>
      </c>
      <c r="B43" s="1629">
        <f>SUM(B40:B42)</f>
        <v>85</v>
      </c>
      <c r="C43" s="1629">
        <f>SUM(C40:C42)</f>
        <v>78</v>
      </c>
      <c r="D43" s="1629">
        <f>SUM(D40:D42)</f>
        <v>77</v>
      </c>
      <c r="E43" s="1629">
        <f>SUM(E40:E42)</f>
        <v>72</v>
      </c>
      <c r="F43" s="1629">
        <f>SUM(F40:F42)</f>
        <v>78</v>
      </c>
      <c r="G43" s="1912">
        <f>AVERAGE(B43:F43)</f>
        <v>78</v>
      </c>
      <c r="H43" s="1629">
        <f>SUM(H40:H42)</f>
        <v>83</v>
      </c>
      <c r="I43" s="1912">
        <f>(H43+F43+E43+D43+C43)/5</f>
        <v>77.599999999999994</v>
      </c>
      <c r="J43" s="1629">
        <f>SUM(J40:J42)</f>
        <v>97</v>
      </c>
      <c r="K43" s="1912">
        <f>(J43+H43+F43+E43+D43)/5</f>
        <v>81.400000000000006</v>
      </c>
      <c r="L43" s="1629">
        <f>SUM(L40:L42)</f>
        <v>81</v>
      </c>
      <c r="M43" s="1912">
        <f>(L43+J43+H43+F43+E43)/5</f>
        <v>82.2</v>
      </c>
      <c r="N43" s="1629">
        <f>SUM(N40:N42)</f>
        <v>75</v>
      </c>
      <c r="O43" s="1264">
        <f>(+N43+L43+J43+H43+F43)/5</f>
        <v>82.8</v>
      </c>
      <c r="P43" s="1265">
        <f>SUM(P40:P42)</f>
        <v>71</v>
      </c>
      <c r="Q43" s="1266">
        <f>(P43+N43+L43+J43+H43)/5</f>
        <v>81.400000000000006</v>
      </c>
      <c r="R43" s="1265">
        <f>SUM(R40:R42)</f>
        <v>68</v>
      </c>
      <c r="S43" s="1266">
        <f>(R43+P43+N43+L43+J43)/5</f>
        <v>78.400000000000006</v>
      </c>
      <c r="T43" s="1265">
        <f>SUM(T40:T42)</f>
        <v>65</v>
      </c>
      <c r="U43" s="1266">
        <f>(T43+R43+P43+N43+L43)/5</f>
        <v>72</v>
      </c>
      <c r="V43" s="1265">
        <f>SUM(V40:V42)</f>
        <v>83</v>
      </c>
      <c r="W43" s="1266">
        <f>(V43+T43+R43+P43+N43)/5</f>
        <v>72.400000000000006</v>
      </c>
      <c r="X43" s="1265">
        <f>SUM(X40:X42)</f>
        <v>97</v>
      </c>
      <c r="Y43" s="1266">
        <f>(X43+V43+T43+R43+P43)/5</f>
        <v>76.8</v>
      </c>
      <c r="Z43" s="1265">
        <f>SUM(Z40:Z42)</f>
        <v>100</v>
      </c>
      <c r="AA43" s="1266">
        <f>(Z43+X43+V43+T43+R43)/5</f>
        <v>82.6</v>
      </c>
      <c r="AB43" s="1265">
        <f>SUM(AB40:AB42)</f>
        <v>107</v>
      </c>
      <c r="AC43" s="1266">
        <f>(AB43+Z43+X43+V43+T43)/5</f>
        <v>90.4</v>
      </c>
      <c r="AD43" s="1265">
        <f>SUM(AD40:AD42)</f>
        <v>93</v>
      </c>
      <c r="AE43" s="1266">
        <f>(AD43+AB43+Z43+X43+V43)/5</f>
        <v>96</v>
      </c>
      <c r="AF43" s="1265">
        <f>SUM(AF40:AF42)</f>
        <v>99</v>
      </c>
      <c r="AG43" s="1266">
        <f>(AF43+AD43+AB43+Z43+X43)/5</f>
        <v>99.2</v>
      </c>
      <c r="AH43" s="1496">
        <f>SUM(AH40:AH42)</f>
        <v>87</v>
      </c>
      <c r="AI43" s="1266">
        <f>(AH43+AF43+AD43+AB43+Z43)/5</f>
        <v>97.2</v>
      </c>
      <c r="AJ43" s="1496">
        <f>SUM(AJ40:AJ42)</f>
        <v>86</v>
      </c>
      <c r="AK43" s="1498">
        <f>(AJ43+AH43+AF43+AD43+AB43)/5</f>
        <v>94.4</v>
      </c>
    </row>
    <row r="44" spans="1:37" ht="18" customHeight="1" x14ac:dyDescent="0.3">
      <c r="A44" s="551" t="s">
        <v>418</v>
      </c>
      <c r="B44" s="1909"/>
      <c r="C44" s="1909"/>
      <c r="D44" s="1909"/>
      <c r="E44" s="1909"/>
      <c r="F44" s="1910"/>
      <c r="G44" s="1914"/>
      <c r="H44" s="1910"/>
      <c r="I44" s="1914"/>
      <c r="J44" s="1910"/>
      <c r="K44" s="1914"/>
      <c r="L44" s="1910"/>
      <c r="M44" s="1911"/>
      <c r="N44" s="1910"/>
      <c r="O44" s="1267"/>
      <c r="P44" s="1268"/>
      <c r="Q44" s="1262"/>
      <c r="R44" s="1268"/>
      <c r="S44" s="1262"/>
      <c r="T44" s="1268"/>
      <c r="U44" s="1262"/>
      <c r="V44" s="1268"/>
      <c r="W44" s="1262"/>
      <c r="X44" s="1268"/>
      <c r="Y44" s="1262"/>
      <c r="Z44" s="1268"/>
      <c r="AA44" s="1262"/>
      <c r="AB44" s="1268"/>
      <c r="AC44" s="1262"/>
      <c r="AD44" s="1268"/>
      <c r="AE44" s="1262"/>
      <c r="AF44" s="1268"/>
      <c r="AG44" s="1262"/>
      <c r="AH44" s="1501"/>
      <c r="AI44" s="1262"/>
      <c r="AJ44" s="1501"/>
      <c r="AK44" s="1499"/>
    </row>
    <row r="45" spans="1:37" ht="18" customHeight="1" x14ac:dyDescent="0.3">
      <c r="A45" s="552" t="s">
        <v>1132</v>
      </c>
      <c r="B45" s="1629">
        <v>51</v>
      </c>
      <c r="C45" s="1629">
        <v>54</v>
      </c>
      <c r="D45" s="1629">
        <v>37</v>
      </c>
      <c r="E45" s="1629">
        <v>29</v>
      </c>
      <c r="F45" s="1629">
        <f>31-6</f>
        <v>25</v>
      </c>
      <c r="G45" s="1912">
        <f>AVERAGE(B45:F45)</f>
        <v>39.200000000000003</v>
      </c>
      <c r="H45" s="1629">
        <f>41-8</f>
        <v>33</v>
      </c>
      <c r="I45" s="1912">
        <f>(H45+F45+E45+D45+C45)/5</f>
        <v>35.6</v>
      </c>
      <c r="J45" s="1629">
        <f>38-9</f>
        <v>29</v>
      </c>
      <c r="K45" s="1912">
        <f>(J45+H45+F45+E45+D45)/5</f>
        <v>30.6</v>
      </c>
      <c r="L45" s="1629">
        <f>54-6</f>
        <v>48</v>
      </c>
      <c r="M45" s="1912">
        <f>(L45+J45+H45+F45+E45)/5</f>
        <v>32.799999999999997</v>
      </c>
      <c r="N45" s="1629">
        <v>43</v>
      </c>
      <c r="O45" s="1264">
        <f>(+N45+L45+J45+H45+F45)/5</f>
        <v>35.6</v>
      </c>
      <c r="P45" s="1265">
        <v>53</v>
      </c>
      <c r="Q45" s="1266">
        <f>(P45+N45+L45+J45+H45)/5</f>
        <v>41.2</v>
      </c>
      <c r="R45" s="1265">
        <v>54</v>
      </c>
      <c r="S45" s="1266">
        <f>(R45+P45+N45+L45+J45)/5</f>
        <v>45.4</v>
      </c>
      <c r="T45" s="1265">
        <v>39</v>
      </c>
      <c r="U45" s="1266">
        <f>(T45+R45+P45+N45+L45)/5</f>
        <v>47.4</v>
      </c>
      <c r="V45" s="1265">
        <v>42</v>
      </c>
      <c r="W45" s="1266">
        <f>(V45+T45+R45+P45+N45)/5</f>
        <v>46.2</v>
      </c>
      <c r="X45" s="1265">
        <v>55</v>
      </c>
      <c r="Y45" s="1266">
        <f>(X45+V45+T45+R45+P45)/5</f>
        <v>48.6</v>
      </c>
      <c r="Z45" s="1265">
        <v>62</v>
      </c>
      <c r="AA45" s="1266">
        <f>(Z45+X45+V45+T45+R45)/5</f>
        <v>50.4</v>
      </c>
      <c r="AB45" s="1265">
        <v>50</v>
      </c>
      <c r="AC45" s="1266">
        <f>(AB45+Z45+X45+V45+T45)/5</f>
        <v>49.6</v>
      </c>
      <c r="AD45" s="1265">
        <v>44</v>
      </c>
      <c r="AE45" s="1266">
        <f>(AD45+AB45+Z45+X45+V45)/5</f>
        <v>50.6</v>
      </c>
      <c r="AF45" s="1265">
        <v>41</v>
      </c>
      <c r="AG45" s="1266">
        <f>(AF45+AD45+AB45+Z45+X45)/5</f>
        <v>50.4</v>
      </c>
      <c r="AH45" s="1496">
        <v>34</v>
      </c>
      <c r="AI45" s="1266">
        <f>(AH45+AF45+AD45+AB45+Z45)/5</f>
        <v>46.2</v>
      </c>
      <c r="AJ45" s="1496">
        <v>41</v>
      </c>
      <c r="AK45" s="1498">
        <f>(AJ45+AH45+AF45+AD45+AB45)/5</f>
        <v>42</v>
      </c>
    </row>
    <row r="46" spans="1:37" ht="18" customHeight="1" x14ac:dyDescent="0.3">
      <c r="A46" s="552" t="s">
        <v>774</v>
      </c>
      <c r="B46" s="1629">
        <v>0</v>
      </c>
      <c r="C46" s="1629">
        <v>0</v>
      </c>
      <c r="D46" s="1629">
        <v>0</v>
      </c>
      <c r="E46" s="1629">
        <v>1</v>
      </c>
      <c r="F46" s="1629">
        <v>6</v>
      </c>
      <c r="G46" s="1912">
        <f>AVERAGE(B46:F46)</f>
        <v>1.4</v>
      </c>
      <c r="H46" s="1629">
        <v>8</v>
      </c>
      <c r="I46" s="1912">
        <f>(H46+F46+E46+D46+C46)/5</f>
        <v>3</v>
      </c>
      <c r="J46" s="1629">
        <v>9</v>
      </c>
      <c r="K46" s="1912">
        <f>(J46+H46+F46+E46+D46)/5</f>
        <v>4.8</v>
      </c>
      <c r="L46" s="1629">
        <v>6</v>
      </c>
      <c r="M46" s="1912">
        <f>(L46+J46+H46+F46+E46)/5</f>
        <v>6</v>
      </c>
      <c r="N46" s="1629">
        <v>3</v>
      </c>
      <c r="O46" s="1264">
        <f>(+N46+L46+J46+H46+F46)/5</f>
        <v>6.4</v>
      </c>
      <c r="P46" s="1265">
        <v>3</v>
      </c>
      <c r="Q46" s="1266">
        <f>(P46+N46+L46+J46+H46)/5</f>
        <v>5.8</v>
      </c>
      <c r="R46" s="1265">
        <v>1</v>
      </c>
      <c r="S46" s="1266">
        <f>(R46+P46+N46+L46+J46)/5</f>
        <v>4.4000000000000004</v>
      </c>
      <c r="T46" s="1265">
        <v>0</v>
      </c>
      <c r="U46" s="1266">
        <f>(T46+R46+P46+N46+L46)/5</f>
        <v>2.6</v>
      </c>
      <c r="V46" s="1265">
        <v>1</v>
      </c>
      <c r="W46" s="1266">
        <f>(V46+T46+R46+P46+N46)/5</f>
        <v>1.6</v>
      </c>
      <c r="X46" s="1265">
        <v>0</v>
      </c>
      <c r="Y46" s="1266">
        <f>(X46+V46+T46+R46+P46)/5</f>
        <v>1</v>
      </c>
      <c r="Z46" s="1265">
        <v>0</v>
      </c>
      <c r="AA46" s="1266">
        <f>(Z46+X46+V46+T46+R46)/5</f>
        <v>0.4</v>
      </c>
      <c r="AB46" s="1265">
        <v>0</v>
      </c>
      <c r="AC46" s="1266">
        <f>(AB46+Z46+X46+V46+T46)/5</f>
        <v>0.2</v>
      </c>
      <c r="AD46" s="1265">
        <v>0</v>
      </c>
      <c r="AE46" s="1266">
        <f>(AD46+AB46+Z46+X46+V46)/5</f>
        <v>0.2</v>
      </c>
      <c r="AF46" s="1265">
        <v>0</v>
      </c>
      <c r="AG46" s="1266">
        <f>(AF46+AD46+AB46+Z46+X46)/5</f>
        <v>0</v>
      </c>
      <c r="AH46" s="1496">
        <v>0</v>
      </c>
      <c r="AI46" s="1266">
        <f>(AH46+AF46+AD46+AB46+Z46)/5</f>
        <v>0</v>
      </c>
      <c r="AJ46" s="1496">
        <v>0</v>
      </c>
      <c r="AK46" s="1498">
        <f>(AJ46+AH46+AF46+AD46+AB46)/5</f>
        <v>0</v>
      </c>
    </row>
    <row r="47" spans="1:37" ht="18" customHeight="1" x14ac:dyDescent="0.3">
      <c r="A47" s="552" t="s">
        <v>872</v>
      </c>
      <c r="B47" s="1629">
        <v>0</v>
      </c>
      <c r="C47" s="1629">
        <v>0</v>
      </c>
      <c r="D47" s="1629">
        <v>0</v>
      </c>
      <c r="E47" s="1629">
        <v>0</v>
      </c>
      <c r="F47" s="1629">
        <v>0</v>
      </c>
      <c r="G47" s="1912">
        <f>AVERAGE(B47:F47)</f>
        <v>0</v>
      </c>
      <c r="H47" s="1629">
        <v>0</v>
      </c>
      <c r="I47" s="1912">
        <f>(H47+F47+E47+D47+C47)/5</f>
        <v>0</v>
      </c>
      <c r="J47" s="1629">
        <v>0</v>
      </c>
      <c r="K47" s="1912">
        <f>(J47+H47+F47+E47+D47)/5</f>
        <v>0</v>
      </c>
      <c r="L47" s="1629">
        <v>0</v>
      </c>
      <c r="M47" s="1912">
        <f>(L47+J47+H47+F47+E47)/5</f>
        <v>0</v>
      </c>
      <c r="N47" s="1629">
        <v>0</v>
      </c>
      <c r="O47" s="1264">
        <f>(+N47+L47+J47+H47+F47)/5</f>
        <v>0</v>
      </c>
      <c r="P47" s="1265">
        <v>0</v>
      </c>
      <c r="Q47" s="1266">
        <f>(P47+N47+L47+J47+H47)/5</f>
        <v>0</v>
      </c>
      <c r="R47" s="1265">
        <v>0</v>
      </c>
      <c r="S47" s="1266">
        <f>(R47+P47+N47+L47+J47)/5</f>
        <v>0</v>
      </c>
      <c r="T47" s="1265">
        <v>0</v>
      </c>
      <c r="U47" s="1266">
        <f>(T47+R47+P47+N47+L47)/5</f>
        <v>0</v>
      </c>
      <c r="V47" s="1265">
        <v>0</v>
      </c>
      <c r="W47" s="1266">
        <f>(V47+T47+R47+P47+N47)/5</f>
        <v>0</v>
      </c>
      <c r="X47" s="1265">
        <v>0</v>
      </c>
      <c r="Y47" s="1266">
        <f>(X47+V47+T47+R47+P47)/5</f>
        <v>0</v>
      </c>
      <c r="Z47" s="1265">
        <v>0</v>
      </c>
      <c r="AA47" s="1266">
        <f>(Z47+X47+V47+T47+R47)/5</f>
        <v>0</v>
      </c>
      <c r="AB47" s="1265">
        <v>0</v>
      </c>
      <c r="AC47" s="1266">
        <f>(AB47+Z47+X47+V47+T47)/5</f>
        <v>0</v>
      </c>
      <c r="AD47" s="1265">
        <v>18</v>
      </c>
      <c r="AE47" s="1266">
        <f>(AD47+AB47+Z47+X47+V47)/5</f>
        <v>3.6</v>
      </c>
      <c r="AF47" s="1265">
        <v>11</v>
      </c>
      <c r="AG47" s="1266">
        <f>(AF47+AD47+AB47+Z47+X47)/5</f>
        <v>5.8</v>
      </c>
      <c r="AH47" s="1496">
        <v>10</v>
      </c>
      <c r="AI47" s="1266">
        <f>(AH47+AF47+AD47+AB47+Z47)/5</f>
        <v>7.8</v>
      </c>
      <c r="AJ47" s="1496">
        <v>14</v>
      </c>
      <c r="AK47" s="1498">
        <f>(AJ47+AH47+AF47+AD47+AB47)/5</f>
        <v>10.6</v>
      </c>
    </row>
    <row r="48" spans="1:37" ht="18" customHeight="1" x14ac:dyDescent="0.3">
      <c r="A48" s="552" t="s">
        <v>1133</v>
      </c>
      <c r="B48" s="1629">
        <v>4</v>
      </c>
      <c r="C48" s="1629">
        <v>6</v>
      </c>
      <c r="D48" s="1629">
        <v>5</v>
      </c>
      <c r="E48" s="1629">
        <v>8</v>
      </c>
      <c r="F48" s="1629">
        <v>15</v>
      </c>
      <c r="G48" s="1912">
        <f>AVERAGE(B48:F48)</f>
        <v>7.6</v>
      </c>
      <c r="H48" s="1629">
        <f>13-1</f>
        <v>12</v>
      </c>
      <c r="I48" s="1912">
        <f>(H48+F48+E48+D48+C48)/5</f>
        <v>9.1999999999999993</v>
      </c>
      <c r="J48" s="1629">
        <v>12</v>
      </c>
      <c r="K48" s="1912">
        <f>(J48+H48+F48+E48+D48)/5</f>
        <v>10.4</v>
      </c>
      <c r="L48" s="1629">
        <v>10</v>
      </c>
      <c r="M48" s="1912">
        <f>(L48+J48+H48+F48+E48)/5</f>
        <v>11.4</v>
      </c>
      <c r="N48" s="1629">
        <v>12</v>
      </c>
      <c r="O48" s="1264">
        <f>(+N48+L48+J48+H48+F48)/5</f>
        <v>12.2</v>
      </c>
      <c r="P48" s="1265">
        <v>13</v>
      </c>
      <c r="Q48" s="1266">
        <f>(P48+N48+L48+J48+H48)/5</f>
        <v>11.8</v>
      </c>
      <c r="R48" s="1265">
        <v>12</v>
      </c>
      <c r="S48" s="1266">
        <f>(R48+P48+N48+L48+J48)/5</f>
        <v>11.8</v>
      </c>
      <c r="T48" s="1265">
        <v>12</v>
      </c>
      <c r="U48" s="1266">
        <f>(T48+R48+P48+N48+L48)/5</f>
        <v>11.8</v>
      </c>
      <c r="V48" s="1265">
        <v>10</v>
      </c>
      <c r="W48" s="1266">
        <f>(V48+T48+R48+P48+N48)/5</f>
        <v>11.8</v>
      </c>
      <c r="X48" s="1265">
        <v>8</v>
      </c>
      <c r="Y48" s="1266">
        <f>(X48+V48+T48+R48+P48)/5</f>
        <v>11</v>
      </c>
      <c r="Z48" s="1265">
        <v>11</v>
      </c>
      <c r="AA48" s="1266">
        <f>(Z48+X48+V48+T48+R48)/5</f>
        <v>10.6</v>
      </c>
      <c r="AB48" s="1265">
        <v>15</v>
      </c>
      <c r="AC48" s="1266">
        <f>(AB48+Z48+X48+V48+T48)/5</f>
        <v>11.2</v>
      </c>
      <c r="AD48" s="1265">
        <v>14</v>
      </c>
      <c r="AE48" s="1266">
        <f>(AD48+AB48+Z48+X48+V48)/5</f>
        <v>11.6</v>
      </c>
      <c r="AF48" s="1265">
        <v>11</v>
      </c>
      <c r="AG48" s="1266">
        <f>(AF48+AD48+AB48+Z48+X48)/5</f>
        <v>11.8</v>
      </c>
      <c r="AH48" s="1496">
        <v>11</v>
      </c>
      <c r="AI48" s="1266">
        <f>(AH48+AF48+AD48+AB48+Z48)/5</f>
        <v>12.4</v>
      </c>
      <c r="AJ48" s="1496">
        <v>10</v>
      </c>
      <c r="AK48" s="1498">
        <f>(AJ48+AH48+AF48+AD48+AB48)/5</f>
        <v>12.2</v>
      </c>
    </row>
    <row r="49" spans="1:37" ht="18" customHeight="1" x14ac:dyDescent="0.3">
      <c r="A49" s="553" t="s">
        <v>1015</v>
      </c>
      <c r="B49" s="1629">
        <f>SUM(B45:B48)</f>
        <v>55</v>
      </c>
      <c r="C49" s="1629">
        <f>SUM(C45:C48)</f>
        <v>60</v>
      </c>
      <c r="D49" s="1629">
        <f>SUM(D45:D48)</f>
        <v>42</v>
      </c>
      <c r="E49" s="1629">
        <f>SUM(E45:E48)</f>
        <v>38</v>
      </c>
      <c r="F49" s="1629">
        <f>SUM(F45:F48)</f>
        <v>46</v>
      </c>
      <c r="G49" s="1912">
        <f>AVERAGE(B49:F49)</f>
        <v>48.2</v>
      </c>
      <c r="H49" s="1629">
        <f>SUM(H45:H48)</f>
        <v>53</v>
      </c>
      <c r="I49" s="1912">
        <f>(H49+F49+E49+D49+C49)/5</f>
        <v>47.8</v>
      </c>
      <c r="J49" s="1629">
        <f>SUM(J45:J48)</f>
        <v>50</v>
      </c>
      <c r="K49" s="1912">
        <f>(J49+H49+F49+E49+D49)/5</f>
        <v>45.8</v>
      </c>
      <c r="L49" s="1629">
        <f>SUM(L45:L48)</f>
        <v>64</v>
      </c>
      <c r="M49" s="1912">
        <f>(L49+J49+H49+F49+E49)/5</f>
        <v>50.2</v>
      </c>
      <c r="N49" s="1629">
        <f>SUM(N45:N48)</f>
        <v>58</v>
      </c>
      <c r="O49" s="1264">
        <f>(+N49+L49+J49+H49+F49)/5</f>
        <v>54.2</v>
      </c>
      <c r="P49" s="1629">
        <f>SUM(P45:P48)</f>
        <v>69</v>
      </c>
      <c r="Q49" s="1266">
        <f>(P49+N49+L49+J49+H49)/5</f>
        <v>58.8</v>
      </c>
      <c r="R49" s="1629">
        <f>SUM(R45:R48)</f>
        <v>67</v>
      </c>
      <c r="S49" s="1266">
        <f>(R49+P49+N49+L49+J49)/5</f>
        <v>61.6</v>
      </c>
      <c r="T49" s="1629">
        <f>SUM(T45:T48)</f>
        <v>51</v>
      </c>
      <c r="U49" s="1266">
        <f>(T49+R49+P49+N49+L49)/5</f>
        <v>61.8</v>
      </c>
      <c r="V49" s="1629">
        <f>SUM(V45:V48)</f>
        <v>53</v>
      </c>
      <c r="W49" s="1266">
        <f>(V49+T49+R49+P49+N49)/5</f>
        <v>59.6</v>
      </c>
      <c r="X49" s="1629">
        <f>SUM(X45:X48)</f>
        <v>63</v>
      </c>
      <c r="Y49" s="1266">
        <f>(X49+V49+T49+R49+P49)/5</f>
        <v>60.6</v>
      </c>
      <c r="Z49" s="1629">
        <f>SUM(Z45:Z48)</f>
        <v>73</v>
      </c>
      <c r="AA49" s="1266">
        <f>(Z49+X49+V49+T49+R49)/5</f>
        <v>61.4</v>
      </c>
      <c r="AB49" s="1629">
        <f>SUM(AB45:AB48)</f>
        <v>65</v>
      </c>
      <c r="AC49" s="1266">
        <f>(AB49+Z49+X49+V49+T49)/5</f>
        <v>61</v>
      </c>
      <c r="AD49" s="1629">
        <f>SUM(AD45:AD48)</f>
        <v>76</v>
      </c>
      <c r="AE49" s="1266">
        <f>(AD49+AB49+Z49+X49+V49)/5</f>
        <v>66</v>
      </c>
      <c r="AF49" s="1629">
        <f>SUM(AF45:AF48)</f>
        <v>63</v>
      </c>
      <c r="AG49" s="1266">
        <f>(AF49+AD49+AB49+Z49+X49)/5</f>
        <v>68</v>
      </c>
      <c r="AH49" s="1629">
        <f>SUM(AH45:AH48)</f>
        <v>55</v>
      </c>
      <c r="AI49" s="1266">
        <f>(AH49+AF49+AD49+AB49+Z49)/5</f>
        <v>66.400000000000006</v>
      </c>
      <c r="AJ49" s="1629">
        <f>SUM(AJ45:AJ48)</f>
        <v>65</v>
      </c>
      <c r="AK49" s="1498">
        <f>(AJ49+AH49+AF49+AD49+AB49)/5</f>
        <v>64.8</v>
      </c>
    </row>
    <row r="50" spans="1:37" ht="18" customHeight="1" x14ac:dyDescent="0.3">
      <c r="A50" s="551" t="s">
        <v>419</v>
      </c>
      <c r="B50" s="1909"/>
      <c r="C50" s="1909"/>
      <c r="D50" s="1909"/>
      <c r="E50" s="1909"/>
      <c r="F50" s="1910"/>
      <c r="G50" s="1914"/>
      <c r="H50" s="1910"/>
      <c r="I50" s="1914"/>
      <c r="J50" s="1910"/>
      <c r="K50" s="1914"/>
      <c r="L50" s="1910"/>
      <c r="M50" s="1911"/>
      <c r="N50" s="1910"/>
      <c r="O50" s="1267"/>
      <c r="P50" s="1262"/>
      <c r="Q50" s="1262"/>
      <c r="R50" s="1262"/>
      <c r="S50" s="1262"/>
      <c r="T50" s="1262"/>
      <c r="U50" s="1262"/>
      <c r="V50" s="1262"/>
      <c r="W50" s="1262"/>
      <c r="X50" s="1262"/>
      <c r="Y50" s="1262"/>
      <c r="Z50" s="1262"/>
      <c r="AA50" s="1262"/>
      <c r="AB50" s="1262"/>
      <c r="AC50" s="1262"/>
      <c r="AD50" s="1262"/>
      <c r="AE50" s="1262"/>
      <c r="AF50" s="1262"/>
      <c r="AG50" s="1262"/>
      <c r="AH50" s="1495"/>
      <c r="AI50" s="1262"/>
      <c r="AJ50" s="1495"/>
      <c r="AK50" s="1499"/>
    </row>
    <row r="51" spans="1:37" ht="18" customHeight="1" x14ac:dyDescent="0.3">
      <c r="A51" s="552" t="s">
        <v>1129</v>
      </c>
      <c r="B51" s="1629">
        <v>73</v>
      </c>
      <c r="C51" s="1629">
        <v>63</v>
      </c>
      <c r="D51" s="1629">
        <v>52</v>
      </c>
      <c r="E51" s="1629">
        <v>48</v>
      </c>
      <c r="F51" s="1629">
        <v>59</v>
      </c>
      <c r="G51" s="1912">
        <f>AVERAGE(B51:F51)</f>
        <v>59</v>
      </c>
      <c r="H51" s="1629">
        <v>61</v>
      </c>
      <c r="I51" s="1912">
        <f>(H51+F51+E51+D51+C51)/5</f>
        <v>56.6</v>
      </c>
      <c r="J51" s="1629">
        <v>60</v>
      </c>
      <c r="K51" s="1912">
        <f>(J51+H51+F51+E51+D51)/5</f>
        <v>56</v>
      </c>
      <c r="L51" s="1629">
        <v>80</v>
      </c>
      <c r="M51" s="1912">
        <f>(L51+J51+H51+F51+E51)/5</f>
        <v>61.6</v>
      </c>
      <c r="N51" s="1629">
        <v>73</v>
      </c>
      <c r="O51" s="1264">
        <f>(+N51+L51+J51+H51+F51)/5</f>
        <v>66.599999999999994</v>
      </c>
      <c r="P51" s="1265">
        <v>79</v>
      </c>
      <c r="Q51" s="1266">
        <f>(P51+N51+L51+J51+H51)/5</f>
        <v>70.599999999999994</v>
      </c>
      <c r="R51" s="1265">
        <v>82</v>
      </c>
      <c r="S51" s="1266">
        <f>(R51+P51+N51+L51+J51)/5</f>
        <v>74.8</v>
      </c>
      <c r="T51" s="1265">
        <v>56</v>
      </c>
      <c r="U51" s="1266">
        <f>(T51+R51+P51+N51+L51)/5</f>
        <v>74</v>
      </c>
      <c r="V51" s="1265">
        <v>68</v>
      </c>
      <c r="W51" s="1266">
        <f>(V51+T51+R51+P51+N51)/5</f>
        <v>71.599999999999994</v>
      </c>
      <c r="X51" s="1265">
        <v>83</v>
      </c>
      <c r="Y51" s="1266">
        <f>(X51+V51+T51+R51+P51)/5</f>
        <v>73.599999999999994</v>
      </c>
      <c r="Z51" s="1265">
        <v>74</v>
      </c>
      <c r="AA51" s="1266">
        <f>(Z51+X51+V51+T51+R51)/5</f>
        <v>72.599999999999994</v>
      </c>
      <c r="AB51" s="1265">
        <v>75</v>
      </c>
      <c r="AC51" s="1266">
        <f>(AB51+Z51+X51+V51+T51)/5</f>
        <v>71.2</v>
      </c>
      <c r="AD51" s="1265">
        <v>88</v>
      </c>
      <c r="AE51" s="1266">
        <f>(AD51+AB51+Z51+X51+V51)/5</f>
        <v>77.599999999999994</v>
      </c>
      <c r="AF51" s="1265">
        <v>69</v>
      </c>
      <c r="AG51" s="1266">
        <f>(AF51+AD51+AB51+Z51+X51)/5</f>
        <v>77.8</v>
      </c>
      <c r="AH51" s="1496">
        <v>74</v>
      </c>
      <c r="AI51" s="1266">
        <f>(AH51+AF51+AD51+AB51+Z51)/5</f>
        <v>76</v>
      </c>
      <c r="AJ51" s="1496">
        <v>68</v>
      </c>
      <c r="AK51" s="1498">
        <f>(AJ51+AH51+AF51+AD51+AB51)/5</f>
        <v>74.8</v>
      </c>
    </row>
    <row r="52" spans="1:37" ht="18" customHeight="1" x14ac:dyDescent="0.3">
      <c r="A52" s="552" t="s">
        <v>775</v>
      </c>
      <c r="B52" s="1629">
        <v>0</v>
      </c>
      <c r="C52" s="1629">
        <v>0</v>
      </c>
      <c r="D52" s="1629">
        <v>0</v>
      </c>
      <c r="E52" s="1629">
        <v>0</v>
      </c>
      <c r="F52" s="1629">
        <v>0</v>
      </c>
      <c r="G52" s="1912">
        <f>AVERAGE(B52:F52)</f>
        <v>0</v>
      </c>
      <c r="H52" s="1629">
        <v>6</v>
      </c>
      <c r="I52" s="1912">
        <f>(H52+F52+E52+D52+C52)/5</f>
        <v>1.2</v>
      </c>
      <c r="J52" s="1629">
        <v>3</v>
      </c>
      <c r="K52" s="1912">
        <f>(J52+H52+F52+E52+D52)/5</f>
        <v>1.8</v>
      </c>
      <c r="L52" s="1629">
        <v>5</v>
      </c>
      <c r="M52" s="1912">
        <f>(L52+J52+H52+F52+E52)/5</f>
        <v>2.8</v>
      </c>
      <c r="N52" s="1629">
        <v>11</v>
      </c>
      <c r="O52" s="1264">
        <f>(+N52+L52+J52+H52+F52)/5</f>
        <v>5</v>
      </c>
      <c r="P52" s="1265">
        <v>9</v>
      </c>
      <c r="Q52" s="1266">
        <f>(P52+N52+L52+J52+H52)/5</f>
        <v>6.8</v>
      </c>
      <c r="R52" s="1265">
        <v>5</v>
      </c>
      <c r="S52" s="1266">
        <f>(R52+P52+N52+L52+J52)/5</f>
        <v>6.6</v>
      </c>
      <c r="T52" s="1265">
        <v>4</v>
      </c>
      <c r="U52" s="1266">
        <f>(T52+R52+P52+N52+L52)/5</f>
        <v>6.8</v>
      </c>
      <c r="V52" s="1265">
        <v>0</v>
      </c>
      <c r="W52" s="1266">
        <f>(V52+T52+R52+P52+N52)/5</f>
        <v>5.8</v>
      </c>
      <c r="X52" s="1265">
        <v>0</v>
      </c>
      <c r="Y52" s="1266">
        <f>(X52+V52+T52+R52+P52)/5</f>
        <v>3.6</v>
      </c>
      <c r="Z52" s="1265">
        <v>1</v>
      </c>
      <c r="AA52" s="1266">
        <f>(Z52+X52+V52+T52+R52)/5</f>
        <v>2</v>
      </c>
      <c r="AB52" s="1265">
        <v>0</v>
      </c>
      <c r="AC52" s="1266">
        <f>(AB52+Z52+X52+V52+T52)/5</f>
        <v>1</v>
      </c>
      <c r="AD52" s="1265">
        <v>0</v>
      </c>
      <c r="AE52" s="1266">
        <f>(AD52+AB52+Z52+X52+V52)/5</f>
        <v>0.2</v>
      </c>
      <c r="AF52" s="1265">
        <v>0</v>
      </c>
      <c r="AG52" s="1266">
        <f>(AF52+AD52+AB52+Z52+X52)/5</f>
        <v>0.2</v>
      </c>
      <c r="AH52" s="1496">
        <v>0</v>
      </c>
      <c r="AI52" s="1266">
        <f>(AH52+AF52+AD52+AB52+Z52)/5</f>
        <v>0.2</v>
      </c>
      <c r="AJ52" s="1496">
        <v>0</v>
      </c>
      <c r="AK52" s="1498">
        <f>(AJ52+AH52+AF52+AD52+AB52)/5</f>
        <v>0</v>
      </c>
    </row>
    <row r="53" spans="1:37" ht="18" customHeight="1" x14ac:dyDescent="0.3">
      <c r="A53" s="553" t="s">
        <v>1015</v>
      </c>
      <c r="B53" s="1629">
        <f>+B52+B51</f>
        <v>73</v>
      </c>
      <c r="C53" s="1629">
        <f>+C52+C51</f>
        <v>63</v>
      </c>
      <c r="D53" s="1629">
        <f>+D52+D51</f>
        <v>52</v>
      </c>
      <c r="E53" s="1629">
        <f>+E52+E51</f>
        <v>48</v>
      </c>
      <c r="F53" s="1629">
        <f>+F52+F51</f>
        <v>59</v>
      </c>
      <c r="G53" s="1912">
        <f>AVERAGE(B53:F53)</f>
        <v>59</v>
      </c>
      <c r="H53" s="1629">
        <f>+H52+H51</f>
        <v>67</v>
      </c>
      <c r="I53" s="1912">
        <f>(H53+F53+E53+D53+C53)/5</f>
        <v>57.8</v>
      </c>
      <c r="J53" s="1629">
        <f>+J52+J51</f>
        <v>63</v>
      </c>
      <c r="K53" s="1912">
        <f>(J53+H53+F53+E53+D53)/5</f>
        <v>57.8</v>
      </c>
      <c r="L53" s="1629">
        <f>+L52+L51</f>
        <v>85</v>
      </c>
      <c r="M53" s="1912">
        <f>(L53+J53+H53+F53+E53)/5</f>
        <v>64.400000000000006</v>
      </c>
      <c r="N53" s="1629">
        <f>+N52+N51</f>
        <v>84</v>
      </c>
      <c r="O53" s="1264">
        <f>(+N53+L53+J53+H53+F53)/5</f>
        <v>71.599999999999994</v>
      </c>
      <c r="P53" s="1265">
        <f>+P52+P51</f>
        <v>88</v>
      </c>
      <c r="Q53" s="1266">
        <f>(P53+N53+L53+J53+H53)/5</f>
        <v>77.400000000000006</v>
      </c>
      <c r="R53" s="1265">
        <f>+R52+R51</f>
        <v>87</v>
      </c>
      <c r="S53" s="1266">
        <f>(R53+P53+N53+L53+J53)/5</f>
        <v>81.400000000000006</v>
      </c>
      <c r="T53" s="1265">
        <f>+T52+T51</f>
        <v>60</v>
      </c>
      <c r="U53" s="1266">
        <f>(T53+R53+P53+N53+L53)/5</f>
        <v>80.8</v>
      </c>
      <c r="V53" s="1265">
        <f>+V52+V51</f>
        <v>68</v>
      </c>
      <c r="W53" s="1266">
        <f>(V53+T53+R53+P53+N53)/5</f>
        <v>77.400000000000006</v>
      </c>
      <c r="X53" s="1265">
        <f>+X52+X51</f>
        <v>83</v>
      </c>
      <c r="Y53" s="1266">
        <f>(X53+V53+T53+R53+P53)/5</f>
        <v>77.2</v>
      </c>
      <c r="Z53" s="1265">
        <f>+Z52+Z51</f>
        <v>75</v>
      </c>
      <c r="AA53" s="1266">
        <f>(Z53+X53+V53+T53+R53)/5</f>
        <v>74.599999999999994</v>
      </c>
      <c r="AB53" s="1265">
        <f>+AB52+AB51</f>
        <v>75</v>
      </c>
      <c r="AC53" s="1266">
        <f>(AB53+Z53+X53+V53+T53)/5</f>
        <v>72.2</v>
      </c>
      <c r="AD53" s="1265">
        <f>+AD52+AD51</f>
        <v>88</v>
      </c>
      <c r="AE53" s="1266">
        <f>(AD53+AB53+Z53+X53+V53)/5</f>
        <v>77.8</v>
      </c>
      <c r="AF53" s="1265">
        <f>+AF52+AF51</f>
        <v>69</v>
      </c>
      <c r="AG53" s="1266">
        <f>(AF53+AD53+AB53+Z53+X53)/5</f>
        <v>78</v>
      </c>
      <c r="AH53" s="1496">
        <f>+AH52+AH51</f>
        <v>74</v>
      </c>
      <c r="AI53" s="1266">
        <f>(AH53+AF53+AD53+AB53+Z53)/5</f>
        <v>76.2</v>
      </c>
      <c r="AJ53" s="1496">
        <f>+AJ52+AJ51</f>
        <v>68</v>
      </c>
      <c r="AK53" s="1498">
        <f>(AJ53+AH53+AF53+AD53+AB53)/5</f>
        <v>74.8</v>
      </c>
    </row>
    <row r="54" spans="1:37" ht="18" customHeight="1" x14ac:dyDescent="0.3">
      <c r="A54" s="551" t="s">
        <v>420</v>
      </c>
      <c r="B54" s="1909"/>
      <c r="C54" s="1909"/>
      <c r="D54" s="1909"/>
      <c r="E54" s="1909"/>
      <c r="F54" s="1910"/>
      <c r="G54" s="1914"/>
      <c r="H54" s="1910"/>
      <c r="I54" s="1914"/>
      <c r="J54" s="1910"/>
      <c r="K54" s="1914"/>
      <c r="L54" s="1910"/>
      <c r="M54" s="1911"/>
      <c r="N54" s="1910"/>
      <c r="O54" s="1267"/>
      <c r="P54" s="1262"/>
      <c r="Q54" s="1262"/>
      <c r="R54" s="1262"/>
      <c r="S54" s="1262"/>
      <c r="T54" s="1262"/>
      <c r="U54" s="1262"/>
      <c r="V54" s="1262"/>
      <c r="W54" s="1262"/>
      <c r="X54" s="1262"/>
      <c r="Y54" s="1262"/>
      <c r="Z54" s="1262"/>
      <c r="AA54" s="1262"/>
      <c r="AB54" s="1262"/>
      <c r="AC54" s="1262"/>
      <c r="AD54" s="1262"/>
      <c r="AE54" s="1262"/>
      <c r="AF54" s="1262"/>
      <c r="AG54" s="1262"/>
      <c r="AH54" s="1495"/>
      <c r="AI54" s="1262"/>
      <c r="AJ54" s="1495"/>
      <c r="AK54" s="1499"/>
    </row>
    <row r="55" spans="1:37" ht="18" customHeight="1" x14ac:dyDescent="0.3">
      <c r="A55" s="552" t="s">
        <v>1123</v>
      </c>
      <c r="B55" s="1629">
        <v>49</v>
      </c>
      <c r="C55" s="1629">
        <v>70</v>
      </c>
      <c r="D55" s="1629">
        <v>58</v>
      </c>
      <c r="E55" s="1629">
        <v>66</v>
      </c>
      <c r="F55" s="1629">
        <v>59</v>
      </c>
      <c r="G55" s="1912">
        <f>AVERAGE(B55:F55)</f>
        <v>60.4</v>
      </c>
      <c r="H55" s="1629">
        <v>76</v>
      </c>
      <c r="I55" s="1912">
        <f>(H55+F55+E55+D55+C55)/5</f>
        <v>65.8</v>
      </c>
      <c r="J55" s="1629">
        <v>75</v>
      </c>
      <c r="K55" s="1912">
        <f>(J55+H55+F55+E55+D55)/5</f>
        <v>66.8</v>
      </c>
      <c r="L55" s="1629">
        <v>85</v>
      </c>
      <c r="M55" s="1912">
        <f>(L55+J55+H55+F55+E55)/5</f>
        <v>72.2</v>
      </c>
      <c r="N55" s="1629">
        <f>12+61</f>
        <v>73</v>
      </c>
      <c r="O55" s="1264">
        <f>(+N55+L55+J55+H55+F55)/5</f>
        <v>73.599999999999994</v>
      </c>
      <c r="P55" s="1265">
        <v>83</v>
      </c>
      <c r="Q55" s="1266">
        <f>(P55+N55+L55+J55+H55)/5</f>
        <v>78.400000000000006</v>
      </c>
      <c r="R55" s="1265">
        <v>75</v>
      </c>
      <c r="S55" s="1266">
        <f>(R55+P55+N55+L55+J55)/5</f>
        <v>78.2</v>
      </c>
      <c r="T55" s="1265">
        <v>96</v>
      </c>
      <c r="U55" s="1266">
        <f>(T55+R55+P55+N55+L55)/5</f>
        <v>82.4</v>
      </c>
      <c r="V55" s="1265">
        <v>107</v>
      </c>
      <c r="W55" s="1266">
        <f>(V55+T55+R55+P55+N55)/5</f>
        <v>86.8</v>
      </c>
      <c r="X55" s="1265">
        <v>132</v>
      </c>
      <c r="Y55" s="1266">
        <f>(X55+V55+T55+R55+P55)/5</f>
        <v>98.6</v>
      </c>
      <c r="Z55" s="1265">
        <v>147</v>
      </c>
      <c r="AA55" s="1266">
        <f>(Z55+X55+V55+T55+R55)/5</f>
        <v>111.4</v>
      </c>
      <c r="AB55" s="1265">
        <v>143</v>
      </c>
      <c r="AC55" s="1266">
        <f>(AB55+Z55+X55+V55+T55)/5</f>
        <v>125</v>
      </c>
      <c r="AD55" s="1265">
        <v>152</v>
      </c>
      <c r="AE55" s="1266">
        <f>(AD55+AB55+Z55+X55+V55)/5</f>
        <v>136.19999999999999</v>
      </c>
      <c r="AF55" s="1265">
        <v>133</v>
      </c>
      <c r="AG55" s="1266">
        <f>(AF55+AD55+AB55+Z55+X55)/5</f>
        <v>141.4</v>
      </c>
      <c r="AH55" s="1496">
        <v>115</v>
      </c>
      <c r="AI55" s="1266">
        <f>(AH55+AF55+AD55+AB55+Z55)/5</f>
        <v>138</v>
      </c>
      <c r="AJ55" s="1496">
        <v>118</v>
      </c>
      <c r="AK55" s="1498">
        <f>(AJ55+AH55+AF55+AD55+AB55)/5</f>
        <v>132.19999999999999</v>
      </c>
    </row>
    <row r="56" spans="1:37" ht="18" customHeight="1" x14ac:dyDescent="0.3">
      <c r="A56" s="552" t="s">
        <v>1367</v>
      </c>
      <c r="B56" s="1629">
        <v>0</v>
      </c>
      <c r="C56" s="1629">
        <v>0</v>
      </c>
      <c r="D56" s="1629">
        <v>0</v>
      </c>
      <c r="E56" s="1629">
        <v>0</v>
      </c>
      <c r="F56" s="1629">
        <v>0</v>
      </c>
      <c r="G56" s="1912">
        <f>AVERAGE(B56:F56)</f>
        <v>0</v>
      </c>
      <c r="H56" s="1629">
        <v>0</v>
      </c>
      <c r="I56" s="1912">
        <f>(H56+F56+E56+D56+C56)/5</f>
        <v>0</v>
      </c>
      <c r="J56" s="1629">
        <v>4</v>
      </c>
      <c r="K56" s="1912">
        <f>(J56+H56+F56+E56+D56)/5</f>
        <v>0.8</v>
      </c>
      <c r="L56" s="1629">
        <v>0</v>
      </c>
      <c r="M56" s="1912">
        <f>(L56+J56+H56+F56+E56)/5</f>
        <v>0.8</v>
      </c>
      <c r="N56" s="1629">
        <v>0</v>
      </c>
      <c r="O56" s="1264">
        <f>(+N56+L56+J56+H56+F56)/5</f>
        <v>0.8</v>
      </c>
      <c r="P56" s="1265">
        <v>0</v>
      </c>
      <c r="Q56" s="1266">
        <f>(P56+N56+L56+J56+H56)/5</f>
        <v>0.8</v>
      </c>
      <c r="R56" s="1265">
        <v>0</v>
      </c>
      <c r="S56" s="1266">
        <f>(R56+P56+N56+L56+J56)/5</f>
        <v>0.8</v>
      </c>
      <c r="T56" s="1265">
        <v>0</v>
      </c>
      <c r="U56" s="1266">
        <f>(T56+R56+P56+N56+L56)/5</f>
        <v>0</v>
      </c>
      <c r="V56" s="1265">
        <v>0</v>
      </c>
      <c r="W56" s="1266">
        <f>(V56+T56+R56+P56+N56)/5</f>
        <v>0</v>
      </c>
      <c r="X56" s="1265">
        <v>0</v>
      </c>
      <c r="Y56" s="1266">
        <f>(X56+V56+T56+R56+P56)/5</f>
        <v>0</v>
      </c>
      <c r="Z56" s="1265">
        <v>0</v>
      </c>
      <c r="AA56" s="1266">
        <f>(Z56+X56+V56+T56+R56)/5</f>
        <v>0</v>
      </c>
      <c r="AB56" s="1265">
        <v>0</v>
      </c>
      <c r="AC56" s="1266">
        <f>(AB56+Z56+X56+V56+T56)/5</f>
        <v>0</v>
      </c>
      <c r="AD56" s="1265">
        <v>0</v>
      </c>
      <c r="AE56" s="1266">
        <f>(AD56+AB56+Z56+X56+V56)/5</f>
        <v>0</v>
      </c>
      <c r="AF56" s="1265">
        <v>0</v>
      </c>
      <c r="AG56" s="1266">
        <f>(AF56+AD56+AB56+Z56+X56)/5</f>
        <v>0</v>
      </c>
      <c r="AH56" s="1496">
        <v>0</v>
      </c>
      <c r="AI56" s="1266">
        <f>(AH56+AF56+AD56+AB56+Z56)/5</f>
        <v>0</v>
      </c>
      <c r="AJ56" s="1496">
        <v>0</v>
      </c>
      <c r="AK56" s="1498">
        <f>(AJ56+AH56+AF56+AD56+AB56)/5</f>
        <v>0</v>
      </c>
    </row>
    <row r="57" spans="1:37" ht="18" customHeight="1" x14ac:dyDescent="0.3">
      <c r="A57" s="552" t="s">
        <v>1124</v>
      </c>
      <c r="B57" s="1629">
        <v>0</v>
      </c>
      <c r="C57" s="1629">
        <v>0</v>
      </c>
      <c r="D57" s="1629">
        <v>22</v>
      </c>
      <c r="E57" s="1629">
        <v>23</v>
      </c>
      <c r="F57" s="1629">
        <v>36</v>
      </c>
      <c r="G57" s="1912">
        <f>AVERAGE(B57:F57)</f>
        <v>16.2</v>
      </c>
      <c r="H57" s="1629">
        <f>25-1</f>
        <v>24</v>
      </c>
      <c r="I57" s="1912">
        <f>(H57+F57+E57+D57+C57)/5</f>
        <v>21</v>
      </c>
      <c r="J57" s="1629">
        <v>27</v>
      </c>
      <c r="K57" s="1912">
        <f>(J57+H57+F57+E57+D57)/5</f>
        <v>26.4</v>
      </c>
      <c r="L57" s="1629">
        <v>31</v>
      </c>
      <c r="M57" s="1912">
        <f>(L57+J57+H57+F57+E57)/5</f>
        <v>28.2</v>
      </c>
      <c r="N57" s="1629">
        <v>31</v>
      </c>
      <c r="O57" s="1264">
        <f>(+N57+L57+J57+H57+F57)/5</f>
        <v>29.8</v>
      </c>
      <c r="P57" s="1265">
        <v>17</v>
      </c>
      <c r="Q57" s="1266">
        <f>(P57+N57+L57+J57+H57)/5</f>
        <v>26</v>
      </c>
      <c r="R57" s="1265">
        <v>17</v>
      </c>
      <c r="S57" s="1266">
        <f>(R57+P57+N57+L57+J57)/5</f>
        <v>24.6</v>
      </c>
      <c r="T57" s="1265">
        <v>18</v>
      </c>
      <c r="U57" s="1266">
        <f>(T57+R57+P57+N57+L57)/5</f>
        <v>22.8</v>
      </c>
      <c r="V57" s="1265">
        <v>17</v>
      </c>
      <c r="W57" s="1266">
        <f>(V57+T57+R57+P57+N57)/5</f>
        <v>20</v>
      </c>
      <c r="X57" s="1265">
        <v>22</v>
      </c>
      <c r="Y57" s="1266">
        <f>(X57+V57+T57+R57+P57)/5</f>
        <v>18.2</v>
      </c>
      <c r="Z57" s="1265">
        <v>24</v>
      </c>
      <c r="AA57" s="1266">
        <f>(Z57+X57+V57+T57+R57)/5</f>
        <v>19.600000000000001</v>
      </c>
      <c r="AB57" s="1265">
        <v>17</v>
      </c>
      <c r="AC57" s="1266">
        <f>(AB57+Z57+X57+V57+T57)/5</f>
        <v>19.600000000000001</v>
      </c>
      <c r="AD57" s="1265">
        <v>21</v>
      </c>
      <c r="AE57" s="1266">
        <f>(AD57+AB57+Z57+X57+V57)/5</f>
        <v>20.2</v>
      </c>
      <c r="AF57" s="1265">
        <v>23</v>
      </c>
      <c r="AG57" s="1266">
        <f>(AF57+AD57+AB57+Z57+X57)/5</f>
        <v>21.4</v>
      </c>
      <c r="AH57" s="1496">
        <v>16</v>
      </c>
      <c r="AI57" s="1266">
        <f>(AH57+AF57+AD57+AB57+Z57)/5</f>
        <v>20.2</v>
      </c>
      <c r="AJ57" s="1496">
        <v>9</v>
      </c>
      <c r="AK57" s="1498">
        <f>(AJ57+AH57+AF57+AD57+AB57)/5</f>
        <v>17.2</v>
      </c>
    </row>
    <row r="58" spans="1:37" ht="18" customHeight="1" x14ac:dyDescent="0.3">
      <c r="A58" s="553" t="s">
        <v>1015</v>
      </c>
      <c r="B58" s="1629">
        <f>SUM(B55:B57)</f>
        <v>49</v>
      </c>
      <c r="C58" s="1629">
        <f>SUM(C55:C57)</f>
        <v>70</v>
      </c>
      <c r="D58" s="1629">
        <f>SUM(D55:D57)</f>
        <v>80</v>
      </c>
      <c r="E58" s="1629">
        <f>SUM(E55:E57)</f>
        <v>89</v>
      </c>
      <c r="F58" s="1629">
        <f>SUM(F55:F57)</f>
        <v>95</v>
      </c>
      <c r="G58" s="1912">
        <f>AVERAGE(B58:F58)</f>
        <v>76.599999999999994</v>
      </c>
      <c r="H58" s="1629">
        <f>SUM(H55:H57)</f>
        <v>100</v>
      </c>
      <c r="I58" s="1912">
        <f>(H58+F58+E58+D58+C58)/5</f>
        <v>86.8</v>
      </c>
      <c r="J58" s="1629">
        <f>SUM(J55:J57)</f>
        <v>106</v>
      </c>
      <c r="K58" s="1912">
        <f>(J58+H58+F58+E58+D58)/5</f>
        <v>94</v>
      </c>
      <c r="L58" s="1629">
        <f>SUM(L55:L57)</f>
        <v>116</v>
      </c>
      <c r="M58" s="1912">
        <f>(L58+J58+H58+F58+E58)/5</f>
        <v>101.2</v>
      </c>
      <c r="N58" s="1629">
        <f>SUM(N55:N57)</f>
        <v>104</v>
      </c>
      <c r="O58" s="1264">
        <f>(+N58+L58+J58+H58+F58)/5</f>
        <v>104.2</v>
      </c>
      <c r="P58" s="1265">
        <f>SUM(P55:P57)</f>
        <v>100</v>
      </c>
      <c r="Q58" s="1266">
        <f>(P58+N58+L58+J58+H58)/5</f>
        <v>105.2</v>
      </c>
      <c r="R58" s="1265">
        <f>SUM(R55:R57)</f>
        <v>92</v>
      </c>
      <c r="S58" s="1266">
        <f>(R58+P58+N58+L58+J58)/5</f>
        <v>103.6</v>
      </c>
      <c r="T58" s="1265">
        <f>SUM(T55:T57)</f>
        <v>114</v>
      </c>
      <c r="U58" s="1266">
        <f>(T58+R58+P58+N58+L58)/5</f>
        <v>105.2</v>
      </c>
      <c r="V58" s="1265">
        <f>SUM(V55:V57)</f>
        <v>124</v>
      </c>
      <c r="W58" s="1266">
        <f>(V58+T58+R58+P58+N58)/5</f>
        <v>106.8</v>
      </c>
      <c r="X58" s="1265">
        <f>SUM(X55:X57)</f>
        <v>154</v>
      </c>
      <c r="Y58" s="1266">
        <f>(X58+V58+T58+R58+P58)/5</f>
        <v>116.8</v>
      </c>
      <c r="Z58" s="1265">
        <f>SUM(Z55:Z57)</f>
        <v>171</v>
      </c>
      <c r="AA58" s="1266">
        <f>(Z58+X58+V58+T58+R58)/5</f>
        <v>131</v>
      </c>
      <c r="AB58" s="1265">
        <f>SUM(AB55:AB57)</f>
        <v>160</v>
      </c>
      <c r="AC58" s="1266">
        <f>(AB58+Z58+X58+V58+T58)/5</f>
        <v>144.6</v>
      </c>
      <c r="AD58" s="1265">
        <f>SUM(AD55:AD57)</f>
        <v>173</v>
      </c>
      <c r="AE58" s="1266">
        <f>(AD58+AB58+Z58+X58+V58)/5</f>
        <v>156.4</v>
      </c>
      <c r="AF58" s="1265">
        <f>SUM(AF55:AF57)</f>
        <v>156</v>
      </c>
      <c r="AG58" s="1266">
        <f>(AF58+AD58+AB58+Z58+X58)/5</f>
        <v>162.80000000000001</v>
      </c>
      <c r="AH58" s="1496">
        <f>SUM(AH55:AH57)</f>
        <v>131</v>
      </c>
      <c r="AI58" s="1266">
        <f>(AH58+AF58+AD58+AB58+Z58)/5</f>
        <v>158.19999999999999</v>
      </c>
      <c r="AJ58" s="1496">
        <f>SUM(AJ55:AJ57)</f>
        <v>127</v>
      </c>
      <c r="AK58" s="1498">
        <f>(AJ58+AH58+AF58+AD58+AB58)/5</f>
        <v>149.4</v>
      </c>
    </row>
    <row r="59" spans="1:37" ht="18" customHeight="1" x14ac:dyDescent="0.3">
      <c r="A59" s="551" t="s">
        <v>422</v>
      </c>
      <c r="B59" s="1909"/>
      <c r="C59" s="1909"/>
      <c r="D59" s="1909"/>
      <c r="E59" s="1909"/>
      <c r="F59" s="1910"/>
      <c r="G59" s="1914"/>
      <c r="H59" s="1910"/>
      <c r="I59" s="1914"/>
      <c r="J59" s="1910"/>
      <c r="K59" s="1914"/>
      <c r="L59" s="1910"/>
      <c r="M59" s="1911"/>
      <c r="N59" s="1910"/>
      <c r="O59" s="1267"/>
      <c r="P59" s="1262"/>
      <c r="Q59" s="1262"/>
      <c r="R59" s="1262"/>
      <c r="S59" s="1262"/>
      <c r="T59" s="1262"/>
      <c r="U59" s="1262"/>
      <c r="V59" s="1262"/>
      <c r="W59" s="1262"/>
      <c r="X59" s="1262"/>
      <c r="Y59" s="1262"/>
      <c r="Z59" s="1262"/>
      <c r="AA59" s="1262"/>
      <c r="AB59" s="1262"/>
      <c r="AC59" s="1262"/>
      <c r="AD59" s="1262"/>
      <c r="AE59" s="1262"/>
      <c r="AF59" s="1262"/>
      <c r="AG59" s="1262"/>
      <c r="AH59" s="1495"/>
      <c r="AI59" s="1262"/>
      <c r="AJ59" s="1495"/>
      <c r="AK59" s="1499"/>
    </row>
    <row r="60" spans="1:37" ht="18" customHeight="1" x14ac:dyDescent="0.3">
      <c r="A60" s="552" t="s">
        <v>1125</v>
      </c>
      <c r="B60" s="1629">
        <v>20</v>
      </c>
      <c r="C60" s="1629">
        <v>18</v>
      </c>
      <c r="D60" s="1629">
        <v>16</v>
      </c>
      <c r="E60" s="1629">
        <v>18</v>
      </c>
      <c r="F60" s="1629">
        <v>24</v>
      </c>
      <c r="G60" s="1912">
        <f t="shared" ref="G60:G71" si="59">AVERAGE(B60:F60)</f>
        <v>19.2</v>
      </c>
      <c r="H60" s="1629">
        <v>24</v>
      </c>
      <c r="I60" s="1912">
        <f t="shared" ref="I60:I71" si="60">(H60+F60+E60+D60+C60)/5</f>
        <v>20</v>
      </c>
      <c r="J60" s="1629">
        <v>27</v>
      </c>
      <c r="K60" s="1912">
        <f t="shared" ref="K60:K71" si="61">(J60+H60+F60+E60+D60)/5</f>
        <v>21.8</v>
      </c>
      <c r="L60" s="1629">
        <v>31</v>
      </c>
      <c r="M60" s="1912">
        <f t="shared" ref="M60:M71" si="62">(L60+J60+H60+F60+E60)/5</f>
        <v>24.8</v>
      </c>
      <c r="N60" s="1629">
        <v>42</v>
      </c>
      <c r="O60" s="1264">
        <f t="shared" ref="O60:O71" si="63">(+N60+L60+J60+H60+F60)/5</f>
        <v>29.6</v>
      </c>
      <c r="P60" s="1265">
        <v>31</v>
      </c>
      <c r="Q60" s="1266">
        <f t="shared" ref="Q60:Q71" si="64">(P60+N60+L60+J60+H60)/5</f>
        <v>31</v>
      </c>
      <c r="R60" s="1265">
        <v>39</v>
      </c>
      <c r="S60" s="1266">
        <f t="shared" ref="S60:S71" si="65">(R60+P60+N60+L60+J60)/5</f>
        <v>34</v>
      </c>
      <c r="T60" s="1265">
        <v>44</v>
      </c>
      <c r="U60" s="1266">
        <f t="shared" ref="U60:U71" si="66">(T60+R60+P60+N60+L60)/5</f>
        <v>37.4</v>
      </c>
      <c r="V60" s="1265">
        <v>49</v>
      </c>
      <c r="W60" s="1266">
        <f t="shared" ref="W60:W71" si="67">(V60+T60+R60+P60+N60)/5</f>
        <v>41</v>
      </c>
      <c r="X60" s="1265">
        <v>14</v>
      </c>
      <c r="Y60" s="1266">
        <f t="shared" ref="Y60:Y71" si="68">(X60+V60+T60+R60+P60)/5</f>
        <v>35.4</v>
      </c>
      <c r="Z60" s="1265">
        <v>19</v>
      </c>
      <c r="AA60" s="1266">
        <f t="shared" ref="AA60:AA71" si="69">(Z60+X60+V60+T60+R60)/5</f>
        <v>33</v>
      </c>
      <c r="AB60" s="1265">
        <v>19</v>
      </c>
      <c r="AC60" s="1266">
        <f t="shared" ref="AC60:AC71" si="70">(AB60+Z60+X60+V60+T60)/5</f>
        <v>29</v>
      </c>
      <c r="AD60" s="1265">
        <v>21</v>
      </c>
      <c r="AE60" s="1266">
        <f t="shared" ref="AE60:AE71" si="71">(AD60+AB60+Z60+X60+V60)/5</f>
        <v>24.4</v>
      </c>
      <c r="AF60" s="1265">
        <v>0</v>
      </c>
      <c r="AG60" s="1266">
        <f t="shared" ref="AG60:AG71" si="72">(AF60+AD60+AB60+Z60+X60)/5</f>
        <v>14.6</v>
      </c>
      <c r="AH60" s="1496">
        <v>0</v>
      </c>
      <c r="AI60" s="1266">
        <f t="shared" ref="AI60:AI71" si="73">(AH60+AF60+AD60+AB60+Z60)/5</f>
        <v>11.8</v>
      </c>
      <c r="AJ60" s="1496">
        <v>0</v>
      </c>
      <c r="AK60" s="1498">
        <f t="shared" ref="AK60:AK71" si="74">(AJ60+AH60+AF60+AD60+AB60)/5</f>
        <v>8</v>
      </c>
    </row>
    <row r="61" spans="1:37" ht="18" customHeight="1" x14ac:dyDescent="0.3">
      <c r="A61" s="552" t="s">
        <v>1629</v>
      </c>
      <c r="B61" s="1629">
        <v>0</v>
      </c>
      <c r="C61" s="1629">
        <v>0</v>
      </c>
      <c r="D61" s="1629">
        <v>0</v>
      </c>
      <c r="E61" s="1629">
        <v>0</v>
      </c>
      <c r="F61" s="1629">
        <v>0</v>
      </c>
      <c r="G61" s="1912">
        <f t="shared" si="59"/>
        <v>0</v>
      </c>
      <c r="H61" s="1629">
        <v>0</v>
      </c>
      <c r="I61" s="1912">
        <f t="shared" si="60"/>
        <v>0</v>
      </c>
      <c r="J61" s="1629">
        <v>0</v>
      </c>
      <c r="K61" s="1912">
        <f t="shared" si="61"/>
        <v>0</v>
      </c>
      <c r="L61" s="1629">
        <v>0</v>
      </c>
      <c r="M61" s="1912">
        <f t="shared" si="62"/>
        <v>0</v>
      </c>
      <c r="N61" s="1629">
        <v>0</v>
      </c>
      <c r="O61" s="1264">
        <f t="shared" si="63"/>
        <v>0</v>
      </c>
      <c r="P61" s="1265">
        <v>0</v>
      </c>
      <c r="Q61" s="1266">
        <f t="shared" si="64"/>
        <v>0</v>
      </c>
      <c r="R61" s="1265">
        <v>0</v>
      </c>
      <c r="S61" s="1266">
        <f t="shared" si="65"/>
        <v>0</v>
      </c>
      <c r="T61" s="1265">
        <v>0</v>
      </c>
      <c r="U61" s="1266">
        <f t="shared" si="66"/>
        <v>0</v>
      </c>
      <c r="V61" s="1265">
        <v>0</v>
      </c>
      <c r="W61" s="1266">
        <f t="shared" si="67"/>
        <v>0</v>
      </c>
      <c r="X61" s="1265">
        <v>0</v>
      </c>
      <c r="Y61" s="1266">
        <f t="shared" si="68"/>
        <v>0</v>
      </c>
      <c r="Z61" s="1265">
        <v>0</v>
      </c>
      <c r="AA61" s="1266">
        <f t="shared" si="69"/>
        <v>0</v>
      </c>
      <c r="AB61" s="1265">
        <v>0</v>
      </c>
      <c r="AC61" s="1266">
        <f t="shared" si="70"/>
        <v>0</v>
      </c>
      <c r="AD61" s="1265">
        <v>0</v>
      </c>
      <c r="AE61" s="1266">
        <f t="shared" si="71"/>
        <v>0</v>
      </c>
      <c r="AF61" s="1265">
        <v>0</v>
      </c>
      <c r="AG61" s="1266">
        <f t="shared" si="72"/>
        <v>0</v>
      </c>
      <c r="AH61" s="1496">
        <v>0</v>
      </c>
      <c r="AI61" s="1266">
        <f t="shared" si="73"/>
        <v>0</v>
      </c>
      <c r="AJ61" s="1496">
        <v>0</v>
      </c>
      <c r="AK61" s="1498">
        <f t="shared" si="74"/>
        <v>0</v>
      </c>
    </row>
    <row r="62" spans="1:37" ht="18" customHeight="1" x14ac:dyDescent="0.3">
      <c r="A62" s="552" t="s">
        <v>1565</v>
      </c>
      <c r="B62" s="1629">
        <v>0</v>
      </c>
      <c r="C62" s="1629">
        <v>0</v>
      </c>
      <c r="D62" s="1629">
        <v>0</v>
      </c>
      <c r="E62" s="1629">
        <v>0</v>
      </c>
      <c r="F62" s="1629">
        <v>0</v>
      </c>
      <c r="G62" s="1912">
        <f t="shared" si="59"/>
        <v>0</v>
      </c>
      <c r="H62" s="1629">
        <v>0</v>
      </c>
      <c r="I62" s="1912">
        <f t="shared" si="60"/>
        <v>0</v>
      </c>
      <c r="J62" s="1629">
        <v>0</v>
      </c>
      <c r="K62" s="1912">
        <f t="shared" si="61"/>
        <v>0</v>
      </c>
      <c r="L62" s="1629">
        <v>0</v>
      </c>
      <c r="M62" s="1912">
        <f t="shared" si="62"/>
        <v>0</v>
      </c>
      <c r="N62" s="1629">
        <v>0</v>
      </c>
      <c r="O62" s="1264">
        <f t="shared" si="63"/>
        <v>0</v>
      </c>
      <c r="P62" s="1265">
        <v>0</v>
      </c>
      <c r="Q62" s="1266">
        <f t="shared" si="64"/>
        <v>0</v>
      </c>
      <c r="R62" s="1265">
        <v>0</v>
      </c>
      <c r="S62" s="1266">
        <f t="shared" si="65"/>
        <v>0</v>
      </c>
      <c r="T62" s="1265">
        <v>0</v>
      </c>
      <c r="U62" s="1266">
        <f t="shared" si="66"/>
        <v>0</v>
      </c>
      <c r="V62" s="1265">
        <v>0</v>
      </c>
      <c r="W62" s="1266">
        <f t="shared" si="67"/>
        <v>0</v>
      </c>
      <c r="X62" s="1265">
        <v>0</v>
      </c>
      <c r="Y62" s="1266">
        <f t="shared" si="68"/>
        <v>0</v>
      </c>
      <c r="Z62" s="1265">
        <v>0</v>
      </c>
      <c r="AA62" s="1266">
        <f t="shared" si="69"/>
        <v>0</v>
      </c>
      <c r="AB62" s="1265">
        <v>0</v>
      </c>
      <c r="AC62" s="1266">
        <f t="shared" si="70"/>
        <v>0</v>
      </c>
      <c r="AD62" s="1265">
        <v>2</v>
      </c>
      <c r="AE62" s="1266">
        <f t="shared" si="71"/>
        <v>0.4</v>
      </c>
      <c r="AF62" s="1265">
        <v>10</v>
      </c>
      <c r="AG62" s="1266">
        <f t="shared" si="72"/>
        <v>2.4</v>
      </c>
      <c r="AH62" s="1496">
        <v>7</v>
      </c>
      <c r="AI62" s="1266">
        <f t="shared" si="73"/>
        <v>3.8</v>
      </c>
      <c r="AJ62" s="1496">
        <v>11</v>
      </c>
      <c r="AK62" s="1498">
        <f t="shared" si="74"/>
        <v>6</v>
      </c>
    </row>
    <row r="63" spans="1:37" ht="18" customHeight="1" x14ac:dyDescent="0.3">
      <c r="A63" s="552" t="s">
        <v>1573</v>
      </c>
      <c r="B63" s="1629">
        <v>0</v>
      </c>
      <c r="C63" s="1629">
        <v>0</v>
      </c>
      <c r="D63" s="1629">
        <v>0</v>
      </c>
      <c r="E63" s="1629">
        <v>0</v>
      </c>
      <c r="F63" s="1629">
        <v>0</v>
      </c>
      <c r="G63" s="1912">
        <f t="shared" si="59"/>
        <v>0</v>
      </c>
      <c r="H63" s="1629">
        <v>0</v>
      </c>
      <c r="I63" s="1912">
        <f t="shared" si="60"/>
        <v>0</v>
      </c>
      <c r="J63" s="1629">
        <v>0</v>
      </c>
      <c r="K63" s="1912">
        <f t="shared" si="61"/>
        <v>0</v>
      </c>
      <c r="L63" s="1629">
        <v>0</v>
      </c>
      <c r="M63" s="1912">
        <f t="shared" si="62"/>
        <v>0</v>
      </c>
      <c r="N63" s="1629">
        <v>0</v>
      </c>
      <c r="O63" s="1264">
        <f t="shared" si="63"/>
        <v>0</v>
      </c>
      <c r="P63" s="1265">
        <v>0</v>
      </c>
      <c r="Q63" s="1266">
        <f t="shared" si="64"/>
        <v>0</v>
      </c>
      <c r="R63" s="1265">
        <v>0</v>
      </c>
      <c r="S63" s="1266">
        <f t="shared" si="65"/>
        <v>0</v>
      </c>
      <c r="T63" s="1265">
        <v>0</v>
      </c>
      <c r="U63" s="1266">
        <f t="shared" si="66"/>
        <v>0</v>
      </c>
      <c r="V63" s="1265">
        <v>0</v>
      </c>
      <c r="W63" s="1266">
        <f t="shared" si="67"/>
        <v>0</v>
      </c>
      <c r="X63" s="1265">
        <v>0</v>
      </c>
      <c r="Y63" s="1266">
        <f t="shared" si="68"/>
        <v>0</v>
      </c>
      <c r="Z63" s="1265">
        <v>0</v>
      </c>
      <c r="AA63" s="1266">
        <f t="shared" si="69"/>
        <v>0</v>
      </c>
      <c r="AB63" s="1265">
        <v>0</v>
      </c>
      <c r="AC63" s="1266">
        <f t="shared" si="70"/>
        <v>0</v>
      </c>
      <c r="AD63" s="1265">
        <v>0</v>
      </c>
      <c r="AE63" s="1266">
        <f t="shared" si="71"/>
        <v>0</v>
      </c>
      <c r="AF63" s="1265">
        <v>6</v>
      </c>
      <c r="AG63" s="1266">
        <f t="shared" si="72"/>
        <v>1.2</v>
      </c>
      <c r="AH63" s="1496">
        <v>6</v>
      </c>
      <c r="AI63" s="1266">
        <f t="shared" si="73"/>
        <v>2.4</v>
      </c>
      <c r="AJ63" s="1496">
        <v>4</v>
      </c>
      <c r="AK63" s="1498">
        <f t="shared" si="74"/>
        <v>3.2</v>
      </c>
    </row>
    <row r="64" spans="1:37" ht="18" customHeight="1" x14ac:dyDescent="0.3">
      <c r="A64" s="552" t="s">
        <v>1574</v>
      </c>
      <c r="B64" s="1629">
        <v>0</v>
      </c>
      <c r="C64" s="1629">
        <v>0</v>
      </c>
      <c r="D64" s="1629">
        <v>0</v>
      </c>
      <c r="E64" s="1629">
        <v>0</v>
      </c>
      <c r="F64" s="1629">
        <v>0</v>
      </c>
      <c r="G64" s="1912">
        <f t="shared" si="59"/>
        <v>0</v>
      </c>
      <c r="H64" s="1629">
        <v>0</v>
      </c>
      <c r="I64" s="1912">
        <f t="shared" si="60"/>
        <v>0</v>
      </c>
      <c r="J64" s="1629">
        <v>0</v>
      </c>
      <c r="K64" s="1912">
        <f t="shared" si="61"/>
        <v>0</v>
      </c>
      <c r="L64" s="1629">
        <v>0</v>
      </c>
      <c r="M64" s="1912">
        <f t="shared" si="62"/>
        <v>0</v>
      </c>
      <c r="N64" s="1629">
        <v>0</v>
      </c>
      <c r="O64" s="1264">
        <f t="shared" si="63"/>
        <v>0</v>
      </c>
      <c r="P64" s="1265">
        <v>0</v>
      </c>
      <c r="Q64" s="1266">
        <f t="shared" si="64"/>
        <v>0</v>
      </c>
      <c r="R64" s="1265">
        <v>0</v>
      </c>
      <c r="S64" s="1266">
        <f t="shared" si="65"/>
        <v>0</v>
      </c>
      <c r="T64" s="1265">
        <v>0</v>
      </c>
      <c r="U64" s="1266">
        <f t="shared" si="66"/>
        <v>0</v>
      </c>
      <c r="V64" s="1265">
        <v>0</v>
      </c>
      <c r="W64" s="1266">
        <f t="shared" si="67"/>
        <v>0</v>
      </c>
      <c r="X64" s="1265">
        <v>0</v>
      </c>
      <c r="Y64" s="1266">
        <f t="shared" si="68"/>
        <v>0</v>
      </c>
      <c r="Z64" s="1265">
        <v>0</v>
      </c>
      <c r="AA64" s="1266">
        <f t="shared" si="69"/>
        <v>0</v>
      </c>
      <c r="AB64" s="1265">
        <v>0</v>
      </c>
      <c r="AC64" s="1266">
        <f t="shared" si="70"/>
        <v>0</v>
      </c>
      <c r="AD64" s="1265">
        <v>0</v>
      </c>
      <c r="AE64" s="1266">
        <f t="shared" si="71"/>
        <v>0</v>
      </c>
      <c r="AF64" s="1265">
        <v>4</v>
      </c>
      <c r="AG64" s="1266">
        <f t="shared" si="72"/>
        <v>0.8</v>
      </c>
      <c r="AH64" s="1496">
        <v>5</v>
      </c>
      <c r="AI64" s="1266">
        <f t="shared" si="73"/>
        <v>1.8</v>
      </c>
      <c r="AJ64" s="1496">
        <v>9</v>
      </c>
      <c r="AK64" s="1498">
        <f t="shared" si="74"/>
        <v>3.6</v>
      </c>
    </row>
    <row r="65" spans="1:37" ht="18" customHeight="1" x14ac:dyDescent="0.3">
      <c r="A65" s="552" t="s">
        <v>1126</v>
      </c>
      <c r="B65" s="1629">
        <v>24</v>
      </c>
      <c r="C65" s="1629">
        <v>26</v>
      </c>
      <c r="D65" s="1629">
        <v>21</v>
      </c>
      <c r="E65" s="1629">
        <v>22</v>
      </c>
      <c r="F65" s="1629">
        <v>20</v>
      </c>
      <c r="G65" s="1912">
        <f t="shared" si="59"/>
        <v>22.6</v>
      </c>
      <c r="H65" s="1629">
        <v>24</v>
      </c>
      <c r="I65" s="1912">
        <f t="shared" si="60"/>
        <v>22.6</v>
      </c>
      <c r="J65" s="1629">
        <v>20</v>
      </c>
      <c r="K65" s="1912">
        <f t="shared" si="61"/>
        <v>21.4</v>
      </c>
      <c r="L65" s="1629">
        <v>8</v>
      </c>
      <c r="M65" s="1912">
        <f t="shared" si="62"/>
        <v>18.8</v>
      </c>
      <c r="N65" s="1629">
        <v>0</v>
      </c>
      <c r="O65" s="1264">
        <f t="shared" si="63"/>
        <v>14.4</v>
      </c>
      <c r="P65" s="1265">
        <v>0</v>
      </c>
      <c r="Q65" s="1266">
        <f t="shared" si="64"/>
        <v>10.4</v>
      </c>
      <c r="R65" s="1265">
        <v>0</v>
      </c>
      <c r="S65" s="1266">
        <f t="shared" si="65"/>
        <v>5.6</v>
      </c>
      <c r="T65" s="1265">
        <v>0</v>
      </c>
      <c r="U65" s="1266">
        <f t="shared" si="66"/>
        <v>1.6</v>
      </c>
      <c r="V65" s="1265">
        <v>0</v>
      </c>
      <c r="W65" s="1266">
        <f t="shared" si="67"/>
        <v>0</v>
      </c>
      <c r="X65" s="1265">
        <v>30</v>
      </c>
      <c r="Y65" s="1266">
        <f t="shared" si="68"/>
        <v>6</v>
      </c>
      <c r="Z65" s="1265">
        <v>24</v>
      </c>
      <c r="AA65" s="1266">
        <f t="shared" si="69"/>
        <v>10.8</v>
      </c>
      <c r="AB65" s="1265">
        <v>20</v>
      </c>
      <c r="AC65" s="1266">
        <f t="shared" si="70"/>
        <v>14.8</v>
      </c>
      <c r="AD65" s="1265">
        <v>16</v>
      </c>
      <c r="AE65" s="1266">
        <f t="shared" si="71"/>
        <v>18</v>
      </c>
      <c r="AF65" s="1265">
        <v>0</v>
      </c>
      <c r="AG65" s="1266">
        <f t="shared" si="72"/>
        <v>18</v>
      </c>
      <c r="AH65" s="1496">
        <v>0</v>
      </c>
      <c r="AI65" s="1266">
        <f t="shared" si="73"/>
        <v>12</v>
      </c>
      <c r="AJ65" s="1496">
        <v>0</v>
      </c>
      <c r="AK65" s="1498">
        <f t="shared" si="74"/>
        <v>7.2</v>
      </c>
    </row>
    <row r="66" spans="1:37" ht="18" customHeight="1" x14ac:dyDescent="0.3">
      <c r="A66" s="552" t="s">
        <v>1562</v>
      </c>
      <c r="B66" s="1629">
        <v>0</v>
      </c>
      <c r="C66" s="1629">
        <v>0</v>
      </c>
      <c r="D66" s="1629">
        <v>0</v>
      </c>
      <c r="E66" s="1629">
        <v>0</v>
      </c>
      <c r="F66" s="1629">
        <v>0</v>
      </c>
      <c r="G66" s="1912">
        <f t="shared" si="59"/>
        <v>0</v>
      </c>
      <c r="H66" s="1629">
        <v>0</v>
      </c>
      <c r="I66" s="1912">
        <f t="shared" si="60"/>
        <v>0</v>
      </c>
      <c r="J66" s="1629">
        <v>0</v>
      </c>
      <c r="K66" s="1912">
        <f t="shared" si="61"/>
        <v>0</v>
      </c>
      <c r="L66" s="1629">
        <v>0</v>
      </c>
      <c r="M66" s="1912">
        <f t="shared" si="62"/>
        <v>0</v>
      </c>
      <c r="N66" s="1629">
        <v>0</v>
      </c>
      <c r="O66" s="1264">
        <f t="shared" si="63"/>
        <v>0</v>
      </c>
      <c r="P66" s="1265">
        <v>0</v>
      </c>
      <c r="Q66" s="1266">
        <f t="shared" si="64"/>
        <v>0</v>
      </c>
      <c r="R66" s="1265">
        <v>0</v>
      </c>
      <c r="S66" s="1266">
        <f t="shared" si="65"/>
        <v>0</v>
      </c>
      <c r="T66" s="1265">
        <v>0</v>
      </c>
      <c r="U66" s="1266">
        <f t="shared" si="66"/>
        <v>0</v>
      </c>
      <c r="V66" s="1265">
        <v>0</v>
      </c>
      <c r="W66" s="1266">
        <f t="shared" si="67"/>
        <v>0</v>
      </c>
      <c r="X66" s="1265">
        <v>0</v>
      </c>
      <c r="Y66" s="1266">
        <f t="shared" si="68"/>
        <v>0</v>
      </c>
      <c r="Z66" s="1265">
        <v>0</v>
      </c>
      <c r="AA66" s="1266">
        <f t="shared" si="69"/>
        <v>0</v>
      </c>
      <c r="AB66" s="1265">
        <v>0</v>
      </c>
      <c r="AC66" s="1266">
        <f t="shared" si="70"/>
        <v>0</v>
      </c>
      <c r="AD66" s="1265">
        <v>1</v>
      </c>
      <c r="AE66" s="1266">
        <f t="shared" si="71"/>
        <v>0.2</v>
      </c>
      <c r="AF66" s="1265">
        <v>10</v>
      </c>
      <c r="AG66" s="1266">
        <f t="shared" si="72"/>
        <v>2.2000000000000002</v>
      </c>
      <c r="AH66" s="1496">
        <v>10</v>
      </c>
      <c r="AI66" s="1266">
        <f t="shared" si="73"/>
        <v>4.2</v>
      </c>
      <c r="AJ66" s="1496">
        <v>10</v>
      </c>
      <c r="AK66" s="1498">
        <f t="shared" si="74"/>
        <v>6.2</v>
      </c>
    </row>
    <row r="67" spans="1:37" ht="18" customHeight="1" x14ac:dyDescent="0.3">
      <c r="A67" s="552" t="s">
        <v>1563</v>
      </c>
      <c r="B67" s="1629">
        <v>0</v>
      </c>
      <c r="C67" s="1629">
        <v>0</v>
      </c>
      <c r="D67" s="1629">
        <v>0</v>
      </c>
      <c r="E67" s="1629">
        <v>0</v>
      </c>
      <c r="F67" s="1629">
        <v>0</v>
      </c>
      <c r="G67" s="1912">
        <f t="shared" si="59"/>
        <v>0</v>
      </c>
      <c r="H67" s="1629">
        <v>0</v>
      </c>
      <c r="I67" s="1912">
        <f t="shared" si="60"/>
        <v>0</v>
      </c>
      <c r="J67" s="1629">
        <v>0</v>
      </c>
      <c r="K67" s="1912">
        <f t="shared" si="61"/>
        <v>0</v>
      </c>
      <c r="L67" s="1629">
        <v>0</v>
      </c>
      <c r="M67" s="1912">
        <f t="shared" si="62"/>
        <v>0</v>
      </c>
      <c r="N67" s="1629">
        <v>0</v>
      </c>
      <c r="O67" s="1264">
        <f t="shared" si="63"/>
        <v>0</v>
      </c>
      <c r="P67" s="1265">
        <v>0</v>
      </c>
      <c r="Q67" s="1266">
        <f t="shared" si="64"/>
        <v>0</v>
      </c>
      <c r="R67" s="1265">
        <v>0</v>
      </c>
      <c r="S67" s="1266">
        <f t="shared" si="65"/>
        <v>0</v>
      </c>
      <c r="T67" s="1265">
        <v>0</v>
      </c>
      <c r="U67" s="1266">
        <f t="shared" si="66"/>
        <v>0</v>
      </c>
      <c r="V67" s="1265">
        <v>0</v>
      </c>
      <c r="W67" s="1266">
        <f t="shared" si="67"/>
        <v>0</v>
      </c>
      <c r="X67" s="1265">
        <v>0</v>
      </c>
      <c r="Y67" s="1266">
        <f t="shared" si="68"/>
        <v>0</v>
      </c>
      <c r="Z67" s="1265">
        <v>0</v>
      </c>
      <c r="AA67" s="1266">
        <f t="shared" si="69"/>
        <v>0</v>
      </c>
      <c r="AB67" s="1265">
        <v>0</v>
      </c>
      <c r="AC67" s="1266">
        <f t="shared" si="70"/>
        <v>0</v>
      </c>
      <c r="AD67" s="1265">
        <v>4</v>
      </c>
      <c r="AE67" s="1266">
        <f t="shared" si="71"/>
        <v>0.8</v>
      </c>
      <c r="AF67" s="1265">
        <v>13</v>
      </c>
      <c r="AG67" s="1266">
        <f t="shared" si="72"/>
        <v>3.4</v>
      </c>
      <c r="AH67" s="1496">
        <v>15</v>
      </c>
      <c r="AI67" s="1266">
        <f t="shared" si="73"/>
        <v>6.4</v>
      </c>
      <c r="AJ67" s="1496">
        <v>15</v>
      </c>
      <c r="AK67" s="1498">
        <f t="shared" si="74"/>
        <v>9.4</v>
      </c>
    </row>
    <row r="68" spans="1:37" ht="18" customHeight="1" x14ac:dyDescent="0.3">
      <c r="A68" s="552" t="s">
        <v>1564</v>
      </c>
      <c r="B68" s="1629">
        <v>0</v>
      </c>
      <c r="C68" s="1629">
        <v>0</v>
      </c>
      <c r="D68" s="1629">
        <v>0</v>
      </c>
      <c r="E68" s="1629">
        <v>0</v>
      </c>
      <c r="F68" s="1629">
        <v>0</v>
      </c>
      <c r="G68" s="1912">
        <f t="shared" si="59"/>
        <v>0</v>
      </c>
      <c r="H68" s="1629">
        <v>0</v>
      </c>
      <c r="I68" s="1912">
        <f t="shared" si="60"/>
        <v>0</v>
      </c>
      <c r="J68" s="1629">
        <v>0</v>
      </c>
      <c r="K68" s="1912">
        <f t="shared" si="61"/>
        <v>0</v>
      </c>
      <c r="L68" s="1629">
        <v>0</v>
      </c>
      <c r="M68" s="1912">
        <f t="shared" si="62"/>
        <v>0</v>
      </c>
      <c r="N68" s="1629">
        <v>0</v>
      </c>
      <c r="O68" s="1264">
        <f t="shared" si="63"/>
        <v>0</v>
      </c>
      <c r="P68" s="1265">
        <v>0</v>
      </c>
      <c r="Q68" s="1266">
        <f t="shared" si="64"/>
        <v>0</v>
      </c>
      <c r="R68" s="1265">
        <v>0</v>
      </c>
      <c r="S68" s="1266">
        <f t="shared" si="65"/>
        <v>0</v>
      </c>
      <c r="T68" s="1265">
        <v>0</v>
      </c>
      <c r="U68" s="1266">
        <f t="shared" si="66"/>
        <v>0</v>
      </c>
      <c r="V68" s="1265">
        <v>0</v>
      </c>
      <c r="W68" s="1266">
        <f t="shared" si="67"/>
        <v>0</v>
      </c>
      <c r="X68" s="1265">
        <v>0</v>
      </c>
      <c r="Y68" s="1266">
        <f t="shared" si="68"/>
        <v>0</v>
      </c>
      <c r="Z68" s="1265">
        <v>0</v>
      </c>
      <c r="AA68" s="1266">
        <f t="shared" si="69"/>
        <v>0</v>
      </c>
      <c r="AB68" s="1265">
        <v>0</v>
      </c>
      <c r="AC68" s="1266">
        <f t="shared" si="70"/>
        <v>0</v>
      </c>
      <c r="AD68" s="1265">
        <v>1</v>
      </c>
      <c r="AE68" s="1266">
        <f t="shared" si="71"/>
        <v>0.2</v>
      </c>
      <c r="AF68" s="1265">
        <v>3</v>
      </c>
      <c r="AG68" s="1266">
        <f t="shared" si="72"/>
        <v>0.8</v>
      </c>
      <c r="AH68" s="1496">
        <v>1</v>
      </c>
      <c r="AI68" s="1266">
        <f t="shared" si="73"/>
        <v>1</v>
      </c>
      <c r="AJ68" s="1496">
        <v>1</v>
      </c>
      <c r="AK68" s="1498">
        <f t="shared" si="74"/>
        <v>1.2</v>
      </c>
    </row>
    <row r="69" spans="1:37" ht="18" customHeight="1" x14ac:dyDescent="0.3">
      <c r="A69" s="552" t="s">
        <v>1630</v>
      </c>
      <c r="B69" s="1629">
        <v>0</v>
      </c>
      <c r="C69" s="1629">
        <v>0</v>
      </c>
      <c r="D69" s="1629">
        <v>0</v>
      </c>
      <c r="E69" s="1629">
        <v>0</v>
      </c>
      <c r="F69" s="1629">
        <v>0</v>
      </c>
      <c r="G69" s="1912">
        <f t="shared" si="59"/>
        <v>0</v>
      </c>
      <c r="H69" s="1629">
        <v>0</v>
      </c>
      <c r="I69" s="1912">
        <f t="shared" si="60"/>
        <v>0</v>
      </c>
      <c r="J69" s="1629">
        <v>0</v>
      </c>
      <c r="K69" s="1912">
        <f t="shared" si="61"/>
        <v>0</v>
      </c>
      <c r="L69" s="1629">
        <v>0</v>
      </c>
      <c r="M69" s="1912">
        <f t="shared" si="62"/>
        <v>0</v>
      </c>
      <c r="N69" s="1629">
        <v>0</v>
      </c>
      <c r="O69" s="1264">
        <f t="shared" si="63"/>
        <v>0</v>
      </c>
      <c r="P69" s="1629">
        <v>0</v>
      </c>
      <c r="Q69" s="1266">
        <f t="shared" si="64"/>
        <v>0</v>
      </c>
      <c r="R69" s="1629">
        <v>0</v>
      </c>
      <c r="S69" s="1266">
        <f t="shared" si="65"/>
        <v>0</v>
      </c>
      <c r="T69" s="1629">
        <v>0</v>
      </c>
      <c r="U69" s="1266">
        <f t="shared" si="66"/>
        <v>0</v>
      </c>
      <c r="V69" s="1629">
        <v>0</v>
      </c>
      <c r="W69" s="1266">
        <f t="shared" si="67"/>
        <v>0</v>
      </c>
      <c r="X69" s="1629">
        <v>0</v>
      </c>
      <c r="Y69" s="1266">
        <f t="shared" si="68"/>
        <v>0</v>
      </c>
      <c r="Z69" s="1629">
        <v>0</v>
      </c>
      <c r="AA69" s="1266">
        <f t="shared" si="69"/>
        <v>0</v>
      </c>
      <c r="AB69" s="1629">
        <v>0</v>
      </c>
      <c r="AC69" s="1266">
        <f t="shared" si="70"/>
        <v>0</v>
      </c>
      <c r="AD69" s="1629">
        <v>0</v>
      </c>
      <c r="AE69" s="1266">
        <f t="shared" si="71"/>
        <v>0</v>
      </c>
      <c r="AF69" s="1629">
        <v>0</v>
      </c>
      <c r="AG69" s="1266">
        <f t="shared" si="72"/>
        <v>0</v>
      </c>
      <c r="AH69" s="1629">
        <v>0</v>
      </c>
      <c r="AI69" s="1266">
        <f t="shared" si="73"/>
        <v>0</v>
      </c>
      <c r="AJ69" s="1629">
        <v>0</v>
      </c>
      <c r="AK69" s="1498">
        <f t="shared" si="74"/>
        <v>0</v>
      </c>
    </row>
    <row r="70" spans="1:37" ht="18" customHeight="1" x14ac:dyDescent="0.3">
      <c r="A70" s="553" t="s">
        <v>1015</v>
      </c>
      <c r="B70" s="1629">
        <f>SUM(B60:B69)</f>
        <v>44</v>
      </c>
      <c r="C70" s="1629">
        <f>SUM(C60:C69)</f>
        <v>44</v>
      </c>
      <c r="D70" s="1629">
        <f>SUM(D60:D69)</f>
        <v>37</v>
      </c>
      <c r="E70" s="1629">
        <f>SUM(E60:E69)</f>
        <v>40</v>
      </c>
      <c r="F70" s="1629">
        <f>SUM(F60:F69)</f>
        <v>44</v>
      </c>
      <c r="G70" s="1912">
        <f t="shared" si="59"/>
        <v>41.8</v>
      </c>
      <c r="H70" s="1629">
        <f>SUM(H60:H69)</f>
        <v>48</v>
      </c>
      <c r="I70" s="1912">
        <f t="shared" si="60"/>
        <v>42.6</v>
      </c>
      <c r="J70" s="1629">
        <f>SUM(J60:J69)</f>
        <v>47</v>
      </c>
      <c r="K70" s="1912">
        <f t="shared" si="61"/>
        <v>43.2</v>
      </c>
      <c r="L70" s="1629">
        <f>SUM(L60:L69)</f>
        <v>39</v>
      </c>
      <c r="M70" s="1912">
        <f t="shared" si="62"/>
        <v>43.6</v>
      </c>
      <c r="N70" s="1629">
        <f>SUM(N60:N69)</f>
        <v>42</v>
      </c>
      <c r="O70" s="1264">
        <f t="shared" si="63"/>
        <v>44</v>
      </c>
      <c r="P70" s="1629">
        <f>SUM(P60:P69)</f>
        <v>31</v>
      </c>
      <c r="Q70" s="1266">
        <f t="shared" si="64"/>
        <v>41.4</v>
      </c>
      <c r="R70" s="1629">
        <f>SUM(R60:R69)</f>
        <v>39</v>
      </c>
      <c r="S70" s="1266">
        <f t="shared" si="65"/>
        <v>39.6</v>
      </c>
      <c r="T70" s="1629">
        <f>SUM(T60:T69)</f>
        <v>44</v>
      </c>
      <c r="U70" s="1266">
        <f t="shared" si="66"/>
        <v>39</v>
      </c>
      <c r="V70" s="1629">
        <f>SUM(V60:V69)</f>
        <v>49</v>
      </c>
      <c r="W70" s="1266">
        <f t="shared" si="67"/>
        <v>41</v>
      </c>
      <c r="X70" s="1629">
        <f>SUM(X60:X69)</f>
        <v>44</v>
      </c>
      <c r="Y70" s="1266">
        <f t="shared" si="68"/>
        <v>41.4</v>
      </c>
      <c r="Z70" s="1629">
        <f>SUM(Z60:Z69)</f>
        <v>43</v>
      </c>
      <c r="AA70" s="1266">
        <f t="shared" si="69"/>
        <v>43.8</v>
      </c>
      <c r="AB70" s="1629">
        <f>SUM(AB60:AB69)</f>
        <v>39</v>
      </c>
      <c r="AC70" s="1266">
        <f t="shared" si="70"/>
        <v>43.8</v>
      </c>
      <c r="AD70" s="1629">
        <f>SUM(AD60:AD69)</f>
        <v>45</v>
      </c>
      <c r="AE70" s="1266">
        <f t="shared" si="71"/>
        <v>44</v>
      </c>
      <c r="AF70" s="1629">
        <f>SUM(AF60:AF69)</f>
        <v>46</v>
      </c>
      <c r="AG70" s="1266">
        <f t="shared" si="72"/>
        <v>43.4</v>
      </c>
      <c r="AH70" s="1629">
        <f>SUM(AH60:AH69)</f>
        <v>44</v>
      </c>
      <c r="AI70" s="1266">
        <f t="shared" si="73"/>
        <v>43.4</v>
      </c>
      <c r="AJ70" s="1629">
        <f>SUM(AJ60:AJ69)</f>
        <v>50</v>
      </c>
      <c r="AK70" s="1498">
        <f t="shared" si="74"/>
        <v>44.8</v>
      </c>
    </row>
    <row r="71" spans="1:37" ht="18" customHeight="1" thickBot="1" x14ac:dyDescent="0.35">
      <c r="A71" s="562" t="s">
        <v>423</v>
      </c>
      <c r="B71" s="563">
        <f>+B70+B58+B53+B49+B43</f>
        <v>306</v>
      </c>
      <c r="C71" s="563">
        <f>+C70+C58+C53+C49+C43</f>
        <v>315</v>
      </c>
      <c r="D71" s="563">
        <f>+D70+D58+D53+D49+D43</f>
        <v>288</v>
      </c>
      <c r="E71" s="563">
        <f>+E70+E58+E53+E49+E43</f>
        <v>287</v>
      </c>
      <c r="F71" s="563">
        <f>+F70+F58+F53+F49+F43</f>
        <v>322</v>
      </c>
      <c r="G71" s="1915">
        <f t="shared" si="59"/>
        <v>303.60000000000002</v>
      </c>
      <c r="H71" s="563">
        <f>+H70+H58+H53+H49+H43</f>
        <v>351</v>
      </c>
      <c r="I71" s="1915">
        <f t="shared" si="60"/>
        <v>312.60000000000002</v>
      </c>
      <c r="J71" s="563">
        <f>+J70+J58+J53+J49+J43</f>
        <v>363</v>
      </c>
      <c r="K71" s="1915">
        <f t="shared" si="61"/>
        <v>322.2</v>
      </c>
      <c r="L71" s="563">
        <f>+L70+L58+L53+L49+L43</f>
        <v>385</v>
      </c>
      <c r="M71" s="1915">
        <f t="shared" si="62"/>
        <v>341.6</v>
      </c>
      <c r="N71" s="563">
        <f>+N70+N58+N53+N49+N43</f>
        <v>363</v>
      </c>
      <c r="O71" s="1916">
        <f t="shared" si="63"/>
        <v>356.8</v>
      </c>
      <c r="P71" s="577">
        <f>+P70+P58+P53+P49+P43</f>
        <v>359</v>
      </c>
      <c r="Q71" s="665">
        <f t="shared" si="64"/>
        <v>364.2</v>
      </c>
      <c r="R71" s="577">
        <f>+R70+R58+R53+R49+R43</f>
        <v>353</v>
      </c>
      <c r="S71" s="665">
        <f t="shared" si="65"/>
        <v>364.6</v>
      </c>
      <c r="T71" s="577">
        <f>+T70+T58+T53+T49+T43</f>
        <v>334</v>
      </c>
      <c r="U71" s="665">
        <f t="shared" si="66"/>
        <v>358.8</v>
      </c>
      <c r="V71" s="577">
        <f>+V70+V58+V53+V49+V43</f>
        <v>377</v>
      </c>
      <c r="W71" s="665">
        <f t="shared" si="67"/>
        <v>357.2</v>
      </c>
      <c r="X71" s="577">
        <f>+X70+X58+X53+X49+X43</f>
        <v>441</v>
      </c>
      <c r="Y71" s="665">
        <f t="shared" si="68"/>
        <v>372.8</v>
      </c>
      <c r="Z71" s="577">
        <f>+Z70+Z58+Z53+Z49+Z43</f>
        <v>462</v>
      </c>
      <c r="AA71" s="665">
        <f t="shared" si="69"/>
        <v>393.4</v>
      </c>
      <c r="AB71" s="577">
        <f>+AB70+AB58+AB53+AB49+AB43</f>
        <v>446</v>
      </c>
      <c r="AC71" s="665">
        <f t="shared" si="70"/>
        <v>412</v>
      </c>
      <c r="AD71" s="577">
        <f>+AD70+AD58+AD53+AD49+AD43</f>
        <v>475</v>
      </c>
      <c r="AE71" s="665">
        <f t="shared" si="71"/>
        <v>440.2</v>
      </c>
      <c r="AF71" s="577">
        <f>+AF70+AF58+AF53+AF49+AF43</f>
        <v>433</v>
      </c>
      <c r="AG71" s="665">
        <f t="shared" si="72"/>
        <v>451.4</v>
      </c>
      <c r="AH71" s="563">
        <f>+AH70+AH58+AH53+AH49+AH43</f>
        <v>391</v>
      </c>
      <c r="AI71" s="665">
        <f t="shared" si="73"/>
        <v>441.4</v>
      </c>
      <c r="AJ71" s="563">
        <f>+AJ70+AJ58+AJ53+AJ49+AJ43</f>
        <v>396</v>
      </c>
      <c r="AK71" s="1917">
        <f t="shared" si="74"/>
        <v>428.2</v>
      </c>
    </row>
    <row r="72" spans="1:37" ht="20.25" customHeight="1" thickBot="1" x14ac:dyDescent="0.35">
      <c r="A72" s="2134" t="s">
        <v>424</v>
      </c>
      <c r="B72" s="2135"/>
      <c r="C72" s="2135"/>
      <c r="D72" s="2135"/>
      <c r="E72" s="2135"/>
      <c r="F72" s="2135"/>
      <c r="G72" s="2135"/>
      <c r="H72" s="2135"/>
      <c r="I72" s="2135"/>
      <c r="J72" s="2135"/>
      <c r="K72" s="2135"/>
      <c r="L72" s="2135"/>
      <c r="M72" s="2135"/>
      <c r="N72" s="2135"/>
      <c r="O72" s="2135"/>
      <c r="P72" s="2135"/>
      <c r="Q72" s="2135"/>
      <c r="R72" s="2135"/>
      <c r="S72" s="2135"/>
      <c r="T72" s="2135"/>
      <c r="U72" s="2135"/>
      <c r="V72" s="2135"/>
      <c r="W72" s="2135"/>
      <c r="X72" s="2135"/>
      <c r="Y72" s="2135"/>
      <c r="Z72" s="2135"/>
      <c r="AA72" s="2135"/>
      <c r="AB72" s="2135"/>
      <c r="AC72" s="2135"/>
      <c r="AD72" s="2135"/>
      <c r="AE72" s="2135"/>
      <c r="AF72" s="2135"/>
      <c r="AG72" s="2135"/>
      <c r="AH72" s="2135"/>
      <c r="AI72" s="2135"/>
      <c r="AJ72" s="2135"/>
      <c r="AK72" s="2136"/>
    </row>
    <row r="73" spans="1:37" ht="20.25" customHeight="1" x14ac:dyDescent="0.3">
      <c r="A73" s="549" t="s">
        <v>410</v>
      </c>
      <c r="B73" s="1906">
        <v>1996</v>
      </c>
      <c r="C73" s="1906">
        <v>1997</v>
      </c>
      <c r="D73" s="1906">
        <v>1998</v>
      </c>
      <c r="E73" s="1906">
        <v>1999</v>
      </c>
      <c r="F73" s="1907">
        <v>2000</v>
      </c>
      <c r="G73" s="1908" t="s">
        <v>387</v>
      </c>
      <c r="H73" s="1832">
        <f>F73+1</f>
        <v>2001</v>
      </c>
      <c r="I73" s="1908" t="s">
        <v>387</v>
      </c>
      <c r="J73" s="1832">
        <f>+H73+1</f>
        <v>2002</v>
      </c>
      <c r="K73" s="1908" t="s">
        <v>387</v>
      </c>
      <c r="L73" s="1832">
        <f>J73+1</f>
        <v>2003</v>
      </c>
      <c r="M73" s="1908" t="s">
        <v>387</v>
      </c>
      <c r="N73" s="1832">
        <f>L73+1</f>
        <v>2004</v>
      </c>
      <c r="O73" s="661" t="s">
        <v>387</v>
      </c>
      <c r="P73" s="662">
        <f>N73+1</f>
        <v>2005</v>
      </c>
      <c r="Q73" s="663" t="s">
        <v>387</v>
      </c>
      <c r="R73" s="662">
        <f>P73+1</f>
        <v>2006</v>
      </c>
      <c r="S73" s="663" t="s">
        <v>387</v>
      </c>
      <c r="T73" s="662">
        <f>R73+1</f>
        <v>2007</v>
      </c>
      <c r="U73" s="663" t="s">
        <v>387</v>
      </c>
      <c r="V73" s="662">
        <f>T73+1</f>
        <v>2008</v>
      </c>
      <c r="W73" s="663" t="s">
        <v>387</v>
      </c>
      <c r="X73" s="662">
        <f>V73+1</f>
        <v>2009</v>
      </c>
      <c r="Y73" s="663" t="s">
        <v>387</v>
      </c>
      <c r="Z73" s="662">
        <f>X73+1</f>
        <v>2010</v>
      </c>
      <c r="AA73" s="663" t="s">
        <v>387</v>
      </c>
      <c r="AB73" s="662">
        <f>Z73+1</f>
        <v>2011</v>
      </c>
      <c r="AC73" s="663" t="s">
        <v>387</v>
      </c>
      <c r="AD73" s="662">
        <f>AB73+1</f>
        <v>2012</v>
      </c>
      <c r="AE73" s="663" t="s">
        <v>387</v>
      </c>
      <c r="AF73" s="662">
        <f>AD73+1</f>
        <v>2013</v>
      </c>
      <c r="AG73" s="1918" t="s">
        <v>387</v>
      </c>
      <c r="AH73" s="662">
        <f>AF73+1</f>
        <v>2014</v>
      </c>
      <c r="AI73" s="1923" t="s">
        <v>387</v>
      </c>
      <c r="AJ73" s="662">
        <f>AH73+1</f>
        <v>2015</v>
      </c>
      <c r="AK73" s="663" t="s">
        <v>387</v>
      </c>
    </row>
    <row r="74" spans="1:37" ht="18" customHeight="1" x14ac:dyDescent="0.3">
      <c r="A74" s="551" t="s">
        <v>1024</v>
      </c>
      <c r="B74" s="1909"/>
      <c r="C74" s="1909"/>
      <c r="D74" s="1909"/>
      <c r="E74" s="1909"/>
      <c r="F74" s="1910"/>
      <c r="G74" s="1911"/>
      <c r="H74" s="1910"/>
      <c r="I74" s="1911"/>
      <c r="J74" s="1910"/>
      <c r="K74" s="1911"/>
      <c r="L74" s="1910"/>
      <c r="M74" s="1911"/>
      <c r="N74" s="1910"/>
      <c r="O74" s="1261"/>
      <c r="P74" s="1262"/>
      <c r="Q74" s="1262"/>
      <c r="R74" s="1262"/>
      <c r="S74" s="1262"/>
      <c r="T74" s="1262"/>
      <c r="U74" s="1262"/>
      <c r="V74" s="1262"/>
      <c r="W74" s="1262"/>
      <c r="X74" s="1262"/>
      <c r="Y74" s="1262"/>
      <c r="Z74" s="1262"/>
      <c r="AA74" s="1262"/>
      <c r="AB74" s="1262"/>
      <c r="AC74" s="1262"/>
      <c r="AD74" s="1262"/>
      <c r="AE74" s="1262"/>
      <c r="AF74" s="1262"/>
      <c r="AG74" s="1262"/>
      <c r="AH74" s="1495"/>
      <c r="AI74" s="1262"/>
      <c r="AJ74" s="1495"/>
      <c r="AK74" s="1499"/>
    </row>
    <row r="75" spans="1:37" ht="18" customHeight="1" x14ac:dyDescent="0.3">
      <c r="A75" s="552" t="s">
        <v>1165</v>
      </c>
      <c r="B75" s="1629">
        <v>7</v>
      </c>
      <c r="C75" s="1629">
        <v>9</v>
      </c>
      <c r="D75" s="1629">
        <v>10</v>
      </c>
      <c r="E75" s="1629">
        <v>7</v>
      </c>
      <c r="F75" s="1629">
        <v>0</v>
      </c>
      <c r="G75" s="1912">
        <f t="shared" ref="G75:G93" si="75">AVERAGE(B75:F75)</f>
        <v>6.6</v>
      </c>
      <c r="H75" s="1629">
        <v>11</v>
      </c>
      <c r="I75" s="1912">
        <f t="shared" ref="I75:I93" si="76">(H75+F75+E75+D75+C75)/5</f>
        <v>7.4</v>
      </c>
      <c r="J75" s="1629">
        <v>12</v>
      </c>
      <c r="K75" s="1912">
        <f t="shared" ref="K75:K93" si="77">(J75+H75+F75+E75+D75)/5</f>
        <v>8</v>
      </c>
      <c r="L75" s="1629">
        <v>9</v>
      </c>
      <c r="M75" s="1912">
        <f t="shared" ref="M75:M93" si="78">(L75+J75+H75+F75+E75)/5</f>
        <v>7.8</v>
      </c>
      <c r="N75" s="1629">
        <v>7</v>
      </c>
      <c r="O75" s="1264">
        <f t="shared" ref="O75:O93" si="79">(+N75+L75+J75+H75+F75)/5</f>
        <v>7.8</v>
      </c>
      <c r="P75" s="1265">
        <v>6</v>
      </c>
      <c r="Q75" s="1266">
        <f t="shared" ref="Q75:Q93" si="80">(P75+N75+L75+J75+H75)/5</f>
        <v>9</v>
      </c>
      <c r="R75" s="1265">
        <v>11</v>
      </c>
      <c r="S75" s="1266">
        <f t="shared" ref="S75:S93" si="81">(R75+P75+N75+L75+J75)/5</f>
        <v>9</v>
      </c>
      <c r="T75" s="1265">
        <v>10</v>
      </c>
      <c r="U75" s="1266">
        <f t="shared" ref="U75:U84" si="82">(T75+R75+P75+N75+L75)/5</f>
        <v>8.6</v>
      </c>
      <c r="V75" s="1265">
        <v>17</v>
      </c>
      <c r="W75" s="1266">
        <f t="shared" ref="W75:W85" si="83">(V75+T75+R75+P75+N75)/5</f>
        <v>10.199999999999999</v>
      </c>
      <c r="X75" s="1265">
        <v>5</v>
      </c>
      <c r="Y75" s="1266">
        <f t="shared" ref="Y75:Y85" si="84">(X75+V75+T75+R75+P75)/5</f>
        <v>9.8000000000000007</v>
      </c>
      <c r="Z75" s="1265">
        <v>13</v>
      </c>
      <c r="AA75" s="1266">
        <f t="shared" ref="AA75:AA85" si="85">(Z75+X75+V75+T75+R75)/5</f>
        <v>11.2</v>
      </c>
      <c r="AB75" s="1265">
        <v>5</v>
      </c>
      <c r="AC75" s="1266">
        <f t="shared" ref="AC75:AC85" si="86">(AB75+Z75+X75+V75+T75)/5</f>
        <v>10</v>
      </c>
      <c r="AD75" s="1265">
        <v>7</v>
      </c>
      <c r="AE75" s="1266">
        <f t="shared" ref="AE75:AE89" si="87">(AD75+AB75+Z75+X75+V75)/5</f>
        <v>9.4</v>
      </c>
      <c r="AF75" s="1265">
        <v>5</v>
      </c>
      <c r="AG75" s="1266">
        <f t="shared" ref="AG75:AG89" si="88">(AF75+AD75+AB75+Z75+X75)/5</f>
        <v>7</v>
      </c>
      <c r="AH75" s="1496">
        <v>4</v>
      </c>
      <c r="AI75" s="1266">
        <f t="shared" ref="AI75:AI89" si="89">(AH75+AF75+AD75+AB75+Z75)/5</f>
        <v>6.8</v>
      </c>
      <c r="AJ75" s="1496">
        <v>0</v>
      </c>
      <c r="AK75" s="1498">
        <f t="shared" ref="AK75:AK89" si="90">(AJ75+AH75+AF75+AD75+AB75)/5</f>
        <v>4.2</v>
      </c>
    </row>
    <row r="76" spans="1:37" ht="18" customHeight="1" x14ac:dyDescent="0.3">
      <c r="A76" s="552" t="s">
        <v>389</v>
      </c>
      <c r="B76" s="1629">
        <v>6</v>
      </c>
      <c r="C76" s="1629">
        <v>7</v>
      </c>
      <c r="D76" s="1629">
        <v>5</v>
      </c>
      <c r="E76" s="1629">
        <v>0</v>
      </c>
      <c r="F76" s="1629">
        <v>0</v>
      </c>
      <c r="G76" s="1912">
        <f t="shared" si="75"/>
        <v>3.6</v>
      </c>
      <c r="H76" s="1629">
        <v>0</v>
      </c>
      <c r="I76" s="1912">
        <f t="shared" si="76"/>
        <v>2.4</v>
      </c>
      <c r="J76" s="1629">
        <v>0</v>
      </c>
      <c r="K76" s="1912">
        <f t="shared" si="77"/>
        <v>1</v>
      </c>
      <c r="L76" s="1629">
        <v>0</v>
      </c>
      <c r="M76" s="1912">
        <f t="shared" si="78"/>
        <v>0</v>
      </c>
      <c r="N76" s="1629">
        <v>0</v>
      </c>
      <c r="O76" s="1264">
        <f t="shared" si="79"/>
        <v>0</v>
      </c>
      <c r="P76" s="1265">
        <v>0</v>
      </c>
      <c r="Q76" s="1266">
        <f t="shared" si="80"/>
        <v>0</v>
      </c>
      <c r="R76" s="1265">
        <v>0</v>
      </c>
      <c r="S76" s="1266">
        <f t="shared" si="81"/>
        <v>0</v>
      </c>
      <c r="T76" s="1265">
        <v>0</v>
      </c>
      <c r="U76" s="1266">
        <f t="shared" si="82"/>
        <v>0</v>
      </c>
      <c r="V76" s="1265">
        <v>0</v>
      </c>
      <c r="W76" s="1266">
        <f t="shared" si="83"/>
        <v>0</v>
      </c>
      <c r="X76" s="1265">
        <v>0</v>
      </c>
      <c r="Y76" s="1266">
        <f t="shared" si="84"/>
        <v>0</v>
      </c>
      <c r="Z76" s="1265">
        <v>0</v>
      </c>
      <c r="AA76" s="1266">
        <f t="shared" si="85"/>
        <v>0</v>
      </c>
      <c r="AB76" s="1265">
        <v>0</v>
      </c>
      <c r="AC76" s="1266">
        <f t="shared" si="86"/>
        <v>0</v>
      </c>
      <c r="AD76" s="1265">
        <v>0</v>
      </c>
      <c r="AE76" s="1266">
        <f t="shared" si="87"/>
        <v>0</v>
      </c>
      <c r="AF76" s="1265">
        <v>0</v>
      </c>
      <c r="AG76" s="1266">
        <f t="shared" si="88"/>
        <v>0</v>
      </c>
      <c r="AH76" s="1496">
        <v>0</v>
      </c>
      <c r="AI76" s="1266">
        <f t="shared" si="89"/>
        <v>0</v>
      </c>
      <c r="AJ76" s="1496">
        <v>0</v>
      </c>
      <c r="AK76" s="1498">
        <f t="shared" si="90"/>
        <v>0</v>
      </c>
    </row>
    <row r="77" spans="1:37" ht="18" customHeight="1" x14ac:dyDescent="0.3">
      <c r="A77" s="552" t="s">
        <v>390</v>
      </c>
      <c r="B77" s="1629">
        <v>4</v>
      </c>
      <c r="C77" s="1629">
        <v>3</v>
      </c>
      <c r="D77" s="1629">
        <v>2</v>
      </c>
      <c r="E77" s="1629">
        <v>1</v>
      </c>
      <c r="F77" s="1629">
        <v>0</v>
      </c>
      <c r="G77" s="1912">
        <f t="shared" si="75"/>
        <v>2</v>
      </c>
      <c r="H77" s="1629">
        <v>0</v>
      </c>
      <c r="I77" s="1912">
        <f t="shared" si="76"/>
        <v>1.2</v>
      </c>
      <c r="J77" s="1629">
        <v>0</v>
      </c>
      <c r="K77" s="1912">
        <f t="shared" si="77"/>
        <v>0.6</v>
      </c>
      <c r="L77" s="1629">
        <v>0</v>
      </c>
      <c r="M77" s="1912">
        <f t="shared" si="78"/>
        <v>0.2</v>
      </c>
      <c r="N77" s="1629">
        <v>0</v>
      </c>
      <c r="O77" s="1264">
        <f t="shared" si="79"/>
        <v>0</v>
      </c>
      <c r="P77" s="1265">
        <v>0</v>
      </c>
      <c r="Q77" s="1266">
        <f t="shared" si="80"/>
        <v>0</v>
      </c>
      <c r="R77" s="1265">
        <v>0</v>
      </c>
      <c r="S77" s="1266">
        <f t="shared" si="81"/>
        <v>0</v>
      </c>
      <c r="T77" s="1265">
        <v>0</v>
      </c>
      <c r="U77" s="1266">
        <f t="shared" si="82"/>
        <v>0</v>
      </c>
      <c r="V77" s="1265">
        <v>0</v>
      </c>
      <c r="W77" s="1266">
        <f t="shared" si="83"/>
        <v>0</v>
      </c>
      <c r="X77" s="1265">
        <v>0</v>
      </c>
      <c r="Y77" s="1266">
        <f t="shared" si="84"/>
        <v>0</v>
      </c>
      <c r="Z77" s="1265">
        <v>0</v>
      </c>
      <c r="AA77" s="1266">
        <f t="shared" si="85"/>
        <v>0</v>
      </c>
      <c r="AB77" s="1265">
        <v>0</v>
      </c>
      <c r="AC77" s="1266">
        <f t="shared" si="86"/>
        <v>0</v>
      </c>
      <c r="AD77" s="1265">
        <v>0</v>
      </c>
      <c r="AE77" s="1266">
        <f t="shared" si="87"/>
        <v>0</v>
      </c>
      <c r="AF77" s="1265">
        <v>0</v>
      </c>
      <c r="AG77" s="1266">
        <f t="shared" si="88"/>
        <v>0</v>
      </c>
      <c r="AH77" s="1496">
        <v>0</v>
      </c>
      <c r="AI77" s="1266">
        <f t="shared" si="89"/>
        <v>0</v>
      </c>
      <c r="AJ77" s="1496">
        <v>0</v>
      </c>
      <c r="AK77" s="1498">
        <f t="shared" si="90"/>
        <v>0</v>
      </c>
    </row>
    <row r="78" spans="1:37" ht="18" customHeight="1" x14ac:dyDescent="0.3">
      <c r="A78" s="552" t="s">
        <v>1166</v>
      </c>
      <c r="B78" s="1629">
        <v>102</v>
      </c>
      <c r="C78" s="1629">
        <v>98</v>
      </c>
      <c r="D78" s="1629">
        <v>85</v>
      </c>
      <c r="E78" s="1629">
        <v>76</v>
      </c>
      <c r="F78" s="1629">
        <v>79</v>
      </c>
      <c r="G78" s="1912">
        <f t="shared" si="75"/>
        <v>88</v>
      </c>
      <c r="H78" s="1629">
        <f>98+8</f>
        <v>106</v>
      </c>
      <c r="I78" s="1912">
        <f t="shared" si="76"/>
        <v>88.8</v>
      </c>
      <c r="J78" s="1629">
        <f>113+2</f>
        <v>115</v>
      </c>
      <c r="K78" s="1912">
        <f t="shared" si="77"/>
        <v>92.2</v>
      </c>
      <c r="L78" s="1629">
        <f>121-3</f>
        <v>118</v>
      </c>
      <c r="M78" s="1912">
        <f t="shared" si="78"/>
        <v>98.8</v>
      </c>
      <c r="N78" s="1629">
        <v>112</v>
      </c>
      <c r="O78" s="1264">
        <f t="shared" si="79"/>
        <v>106</v>
      </c>
      <c r="P78" s="1265">
        <v>129</v>
      </c>
      <c r="Q78" s="1266">
        <f t="shared" si="80"/>
        <v>116</v>
      </c>
      <c r="R78" s="1265">
        <v>125</v>
      </c>
      <c r="S78" s="1266">
        <f t="shared" si="81"/>
        <v>119.8</v>
      </c>
      <c r="T78" s="1265">
        <v>145</v>
      </c>
      <c r="U78" s="1266">
        <f t="shared" si="82"/>
        <v>125.8</v>
      </c>
      <c r="V78" s="1265">
        <v>142</v>
      </c>
      <c r="W78" s="1266">
        <f t="shared" si="83"/>
        <v>130.6</v>
      </c>
      <c r="X78" s="1265">
        <v>162</v>
      </c>
      <c r="Y78" s="1266">
        <f t="shared" si="84"/>
        <v>140.6</v>
      </c>
      <c r="Z78" s="1265">
        <v>160</v>
      </c>
      <c r="AA78" s="1266">
        <f t="shared" si="85"/>
        <v>146.80000000000001</v>
      </c>
      <c r="AB78" s="1265">
        <v>157</v>
      </c>
      <c r="AC78" s="1266">
        <f t="shared" si="86"/>
        <v>153.19999999999999</v>
      </c>
      <c r="AD78" s="1265">
        <v>142</v>
      </c>
      <c r="AE78" s="1266">
        <f t="shared" si="87"/>
        <v>152.6</v>
      </c>
      <c r="AF78" s="1265">
        <v>146</v>
      </c>
      <c r="AG78" s="1266">
        <f t="shared" si="88"/>
        <v>153.4</v>
      </c>
      <c r="AH78" s="1496">
        <v>131</v>
      </c>
      <c r="AI78" s="1266">
        <f t="shared" si="89"/>
        <v>147.19999999999999</v>
      </c>
      <c r="AJ78" s="1496">
        <v>142</v>
      </c>
      <c r="AK78" s="1498">
        <f t="shared" si="90"/>
        <v>143.6</v>
      </c>
    </row>
    <row r="79" spans="1:37" ht="18" customHeight="1" x14ac:dyDescent="0.3">
      <c r="A79" s="552" t="s">
        <v>523</v>
      </c>
      <c r="B79" s="1629">
        <v>0</v>
      </c>
      <c r="C79" s="1629">
        <v>0</v>
      </c>
      <c r="D79" s="1629">
        <v>0</v>
      </c>
      <c r="E79" s="1629">
        <v>0</v>
      </c>
      <c r="F79" s="1629">
        <v>0</v>
      </c>
      <c r="G79" s="1912">
        <f t="shared" si="75"/>
        <v>0</v>
      </c>
      <c r="H79" s="1629">
        <v>0</v>
      </c>
      <c r="I79" s="1912">
        <f t="shared" si="76"/>
        <v>0</v>
      </c>
      <c r="J79" s="1629">
        <v>0</v>
      </c>
      <c r="K79" s="1912">
        <f t="shared" si="77"/>
        <v>0</v>
      </c>
      <c r="L79" s="1629">
        <v>3</v>
      </c>
      <c r="M79" s="1912">
        <f t="shared" si="78"/>
        <v>0.6</v>
      </c>
      <c r="N79" s="1629">
        <v>3</v>
      </c>
      <c r="O79" s="1264">
        <f t="shared" si="79"/>
        <v>1.2</v>
      </c>
      <c r="P79" s="1265">
        <v>2</v>
      </c>
      <c r="Q79" s="1266">
        <f t="shared" si="80"/>
        <v>1.6</v>
      </c>
      <c r="R79" s="1265">
        <v>3</v>
      </c>
      <c r="S79" s="1266">
        <f t="shared" si="81"/>
        <v>2.2000000000000002</v>
      </c>
      <c r="T79" s="1265">
        <v>5</v>
      </c>
      <c r="U79" s="1266">
        <f t="shared" si="82"/>
        <v>3.2</v>
      </c>
      <c r="V79" s="1265">
        <v>6</v>
      </c>
      <c r="W79" s="1266">
        <f t="shared" si="83"/>
        <v>3.8</v>
      </c>
      <c r="X79" s="1265">
        <v>5</v>
      </c>
      <c r="Y79" s="1266">
        <f t="shared" si="84"/>
        <v>4.2</v>
      </c>
      <c r="Z79" s="1265">
        <v>2</v>
      </c>
      <c r="AA79" s="1266">
        <f t="shared" si="85"/>
        <v>4.2</v>
      </c>
      <c r="AB79" s="1265">
        <v>5</v>
      </c>
      <c r="AC79" s="1266">
        <f t="shared" si="86"/>
        <v>4.5999999999999996</v>
      </c>
      <c r="AD79" s="1265">
        <v>7</v>
      </c>
      <c r="AE79" s="1266">
        <f t="shared" si="87"/>
        <v>5</v>
      </c>
      <c r="AF79" s="1265">
        <v>7</v>
      </c>
      <c r="AG79" s="1266">
        <f t="shared" si="88"/>
        <v>5.2</v>
      </c>
      <c r="AH79" s="1496">
        <v>10</v>
      </c>
      <c r="AI79" s="1266">
        <f t="shared" si="89"/>
        <v>6.2</v>
      </c>
      <c r="AJ79" s="1496">
        <v>9</v>
      </c>
      <c r="AK79" s="1498">
        <f t="shared" si="90"/>
        <v>7.6</v>
      </c>
    </row>
    <row r="80" spans="1:37" ht="18" customHeight="1" x14ac:dyDescent="0.3">
      <c r="A80" s="552" t="s">
        <v>1167</v>
      </c>
      <c r="B80" s="1629">
        <v>196</v>
      </c>
      <c r="C80" s="1629">
        <v>185</v>
      </c>
      <c r="D80" s="1629">
        <v>167</v>
      </c>
      <c r="E80" s="1629">
        <v>167</v>
      </c>
      <c r="F80" s="1629">
        <v>189</v>
      </c>
      <c r="G80" s="1912">
        <f t="shared" si="75"/>
        <v>180.8</v>
      </c>
      <c r="H80" s="1629">
        <v>208</v>
      </c>
      <c r="I80" s="1912">
        <f t="shared" si="76"/>
        <v>183.2</v>
      </c>
      <c r="J80" s="1629">
        <v>222</v>
      </c>
      <c r="K80" s="1912">
        <f t="shared" si="77"/>
        <v>190.6</v>
      </c>
      <c r="L80" s="1629">
        <f>269-57</f>
        <v>212</v>
      </c>
      <c r="M80" s="1912">
        <f t="shared" si="78"/>
        <v>199.6</v>
      </c>
      <c r="N80" s="1629">
        <v>168</v>
      </c>
      <c r="O80" s="1264">
        <f t="shared" si="79"/>
        <v>199.8</v>
      </c>
      <c r="P80" s="1265">
        <v>197</v>
      </c>
      <c r="Q80" s="1266">
        <f t="shared" si="80"/>
        <v>201.4</v>
      </c>
      <c r="R80" s="1265">
        <v>177</v>
      </c>
      <c r="S80" s="1266">
        <f t="shared" si="81"/>
        <v>195.2</v>
      </c>
      <c r="T80" s="1265">
        <v>138</v>
      </c>
      <c r="U80" s="1266">
        <f t="shared" si="82"/>
        <v>178.4</v>
      </c>
      <c r="V80" s="1265">
        <v>142</v>
      </c>
      <c r="W80" s="1266">
        <f t="shared" si="83"/>
        <v>164.4</v>
      </c>
      <c r="X80" s="1265">
        <v>180</v>
      </c>
      <c r="Y80" s="1266">
        <f t="shared" si="84"/>
        <v>166.8</v>
      </c>
      <c r="Z80" s="1265">
        <v>135</v>
      </c>
      <c r="AA80" s="1266">
        <f t="shared" si="85"/>
        <v>154.4</v>
      </c>
      <c r="AB80" s="1265">
        <v>112</v>
      </c>
      <c r="AC80" s="1266">
        <f t="shared" si="86"/>
        <v>141.4</v>
      </c>
      <c r="AD80" s="1265">
        <v>107</v>
      </c>
      <c r="AE80" s="1266">
        <f t="shared" si="87"/>
        <v>135.19999999999999</v>
      </c>
      <c r="AF80" s="1265">
        <v>89</v>
      </c>
      <c r="AG80" s="1266">
        <f t="shared" si="88"/>
        <v>124.6</v>
      </c>
      <c r="AH80" s="1496">
        <v>87</v>
      </c>
      <c r="AI80" s="1266">
        <f t="shared" si="89"/>
        <v>106</v>
      </c>
      <c r="AJ80" s="1496">
        <v>101</v>
      </c>
      <c r="AK80" s="1498">
        <f t="shared" si="90"/>
        <v>99.2</v>
      </c>
    </row>
    <row r="81" spans="1:37" ht="18" customHeight="1" x14ac:dyDescent="0.3">
      <c r="A81" s="552" t="s">
        <v>1168</v>
      </c>
      <c r="B81" s="1629">
        <v>32</v>
      </c>
      <c r="C81" s="1629">
        <v>37</v>
      </c>
      <c r="D81" s="1629">
        <v>33</v>
      </c>
      <c r="E81" s="1629">
        <v>34</v>
      </c>
      <c r="F81" s="1629">
        <v>65</v>
      </c>
      <c r="G81" s="1912">
        <f t="shared" si="75"/>
        <v>40.200000000000003</v>
      </c>
      <c r="H81" s="1629">
        <v>62</v>
      </c>
      <c r="I81" s="1912">
        <f t="shared" si="76"/>
        <v>46.2</v>
      </c>
      <c r="J81" s="1629">
        <v>57</v>
      </c>
      <c r="K81" s="1912">
        <f t="shared" si="77"/>
        <v>50.2</v>
      </c>
      <c r="L81" s="1629">
        <v>57</v>
      </c>
      <c r="M81" s="1912">
        <f t="shared" si="78"/>
        <v>55</v>
      </c>
      <c r="N81" s="1629">
        <v>46</v>
      </c>
      <c r="O81" s="1264">
        <f t="shared" si="79"/>
        <v>57.4</v>
      </c>
      <c r="P81" s="1265">
        <v>28</v>
      </c>
      <c r="Q81" s="1266">
        <f t="shared" si="80"/>
        <v>50</v>
      </c>
      <c r="R81" s="1265">
        <v>8</v>
      </c>
      <c r="S81" s="1266">
        <f t="shared" si="81"/>
        <v>39.200000000000003</v>
      </c>
      <c r="T81" s="1265">
        <v>17</v>
      </c>
      <c r="U81" s="1266">
        <f t="shared" si="82"/>
        <v>31.2</v>
      </c>
      <c r="V81" s="1265">
        <v>17</v>
      </c>
      <c r="W81" s="1266">
        <f t="shared" si="83"/>
        <v>23.2</v>
      </c>
      <c r="X81" s="1265">
        <v>2</v>
      </c>
      <c r="Y81" s="1266">
        <f t="shared" si="84"/>
        <v>14.4</v>
      </c>
      <c r="Z81" s="1265">
        <v>1</v>
      </c>
      <c r="AA81" s="1266">
        <f t="shared" si="85"/>
        <v>9</v>
      </c>
      <c r="AB81" s="1265">
        <v>2</v>
      </c>
      <c r="AC81" s="1266">
        <f t="shared" si="86"/>
        <v>7.8</v>
      </c>
      <c r="AD81" s="1265">
        <v>0</v>
      </c>
      <c r="AE81" s="1266">
        <f t="shared" si="87"/>
        <v>4.4000000000000004</v>
      </c>
      <c r="AF81" s="1265">
        <v>0</v>
      </c>
      <c r="AG81" s="1266">
        <f t="shared" si="88"/>
        <v>1</v>
      </c>
      <c r="AH81" s="1496">
        <v>0</v>
      </c>
      <c r="AI81" s="1266">
        <f t="shared" si="89"/>
        <v>0.6</v>
      </c>
      <c r="AJ81" s="1496">
        <v>0</v>
      </c>
      <c r="AK81" s="1498">
        <f t="shared" si="90"/>
        <v>0.4</v>
      </c>
    </row>
    <row r="82" spans="1:37" ht="18" customHeight="1" x14ac:dyDescent="0.3">
      <c r="A82" s="1507" t="s">
        <v>497</v>
      </c>
      <c r="B82" s="1837">
        <v>0</v>
      </c>
      <c r="C82" s="1837">
        <v>0</v>
      </c>
      <c r="D82" s="1837">
        <v>0</v>
      </c>
      <c r="E82" s="1837">
        <v>0</v>
      </c>
      <c r="F82" s="1837">
        <v>0</v>
      </c>
      <c r="G82" s="1919">
        <f t="shared" si="75"/>
        <v>0</v>
      </c>
      <c r="H82" s="1837">
        <v>0</v>
      </c>
      <c r="I82" s="1919">
        <f t="shared" si="76"/>
        <v>0</v>
      </c>
      <c r="J82" s="1837">
        <v>0</v>
      </c>
      <c r="K82" s="1919">
        <f t="shared" si="77"/>
        <v>0</v>
      </c>
      <c r="L82" s="1837">
        <v>0</v>
      </c>
      <c r="M82" s="1919">
        <f t="shared" si="78"/>
        <v>0</v>
      </c>
      <c r="N82" s="1837">
        <v>0</v>
      </c>
      <c r="O82" s="1269">
        <f t="shared" si="79"/>
        <v>0</v>
      </c>
      <c r="P82" s="1270">
        <v>0</v>
      </c>
      <c r="Q82" s="1271">
        <f t="shared" si="80"/>
        <v>0</v>
      </c>
      <c r="R82" s="1270">
        <v>0</v>
      </c>
      <c r="S82" s="1271">
        <f t="shared" si="81"/>
        <v>0</v>
      </c>
      <c r="T82" s="1270">
        <v>0</v>
      </c>
      <c r="U82" s="1271">
        <f t="shared" si="82"/>
        <v>0</v>
      </c>
      <c r="V82" s="1270">
        <v>0</v>
      </c>
      <c r="W82" s="1271">
        <f t="shared" si="83"/>
        <v>0</v>
      </c>
      <c r="X82" s="1270">
        <v>0</v>
      </c>
      <c r="Y82" s="1271">
        <f t="shared" si="84"/>
        <v>0</v>
      </c>
      <c r="Z82" s="1270">
        <v>0</v>
      </c>
      <c r="AA82" s="1271">
        <f t="shared" si="85"/>
        <v>0</v>
      </c>
      <c r="AB82" s="1270">
        <v>0</v>
      </c>
      <c r="AC82" s="1271">
        <f t="shared" si="86"/>
        <v>0</v>
      </c>
      <c r="AD82" s="1270">
        <v>0</v>
      </c>
      <c r="AE82" s="1271">
        <f t="shared" si="87"/>
        <v>0</v>
      </c>
      <c r="AF82" s="1270">
        <v>0</v>
      </c>
      <c r="AG82" s="1271">
        <f t="shared" si="88"/>
        <v>0</v>
      </c>
      <c r="AH82" s="1502">
        <v>0</v>
      </c>
      <c r="AI82" s="1271">
        <f t="shared" si="89"/>
        <v>0</v>
      </c>
      <c r="AJ82" s="1502">
        <v>0</v>
      </c>
      <c r="AK82" s="1508">
        <f t="shared" si="90"/>
        <v>0</v>
      </c>
    </row>
    <row r="83" spans="1:37" ht="18" customHeight="1" x14ac:dyDescent="0.3">
      <c r="A83" s="1507" t="s">
        <v>498</v>
      </c>
      <c r="B83" s="1837">
        <v>0</v>
      </c>
      <c r="C83" s="1837">
        <v>0</v>
      </c>
      <c r="D83" s="1837">
        <v>0</v>
      </c>
      <c r="E83" s="1837">
        <v>0</v>
      </c>
      <c r="F83" s="1837">
        <v>0</v>
      </c>
      <c r="G83" s="1919">
        <f t="shared" si="75"/>
        <v>0</v>
      </c>
      <c r="H83" s="1837">
        <v>0</v>
      </c>
      <c r="I83" s="1919">
        <f t="shared" si="76"/>
        <v>0</v>
      </c>
      <c r="J83" s="1837">
        <v>0</v>
      </c>
      <c r="K83" s="1919">
        <f t="shared" si="77"/>
        <v>0</v>
      </c>
      <c r="L83" s="1837">
        <v>0</v>
      </c>
      <c r="M83" s="1919">
        <f t="shared" si="78"/>
        <v>0</v>
      </c>
      <c r="N83" s="1837">
        <v>0</v>
      </c>
      <c r="O83" s="1269">
        <f t="shared" si="79"/>
        <v>0</v>
      </c>
      <c r="P83" s="1270">
        <v>0</v>
      </c>
      <c r="Q83" s="1271">
        <f t="shared" si="80"/>
        <v>0</v>
      </c>
      <c r="R83" s="1270">
        <v>0</v>
      </c>
      <c r="S83" s="1271">
        <f t="shared" si="81"/>
        <v>0</v>
      </c>
      <c r="T83" s="1270">
        <v>0</v>
      </c>
      <c r="U83" s="1271">
        <f t="shared" si="82"/>
        <v>0</v>
      </c>
      <c r="V83" s="1270">
        <v>0</v>
      </c>
      <c r="W83" s="1271">
        <f t="shared" si="83"/>
        <v>0</v>
      </c>
      <c r="X83" s="1270">
        <v>0</v>
      </c>
      <c r="Y83" s="1271">
        <f t="shared" si="84"/>
        <v>0</v>
      </c>
      <c r="Z83" s="1270">
        <v>0</v>
      </c>
      <c r="AA83" s="1271">
        <f t="shared" si="85"/>
        <v>0</v>
      </c>
      <c r="AB83" s="1270">
        <v>0</v>
      </c>
      <c r="AC83" s="1271">
        <f t="shared" si="86"/>
        <v>0</v>
      </c>
      <c r="AD83" s="1270">
        <v>0</v>
      </c>
      <c r="AE83" s="1271">
        <f t="shared" si="87"/>
        <v>0</v>
      </c>
      <c r="AF83" s="1270">
        <v>0</v>
      </c>
      <c r="AG83" s="1271">
        <f t="shared" si="88"/>
        <v>0</v>
      </c>
      <c r="AH83" s="1502">
        <v>0</v>
      </c>
      <c r="AI83" s="1271">
        <f t="shared" si="89"/>
        <v>0</v>
      </c>
      <c r="AJ83" s="1502">
        <v>0</v>
      </c>
      <c r="AK83" s="1508">
        <f t="shared" si="90"/>
        <v>0</v>
      </c>
    </row>
    <row r="84" spans="1:37" ht="18" customHeight="1" x14ac:dyDescent="0.3">
      <c r="A84" s="552" t="s">
        <v>873</v>
      </c>
      <c r="B84" s="1837">
        <v>0</v>
      </c>
      <c r="C84" s="1837">
        <v>0</v>
      </c>
      <c r="D84" s="1837">
        <v>0</v>
      </c>
      <c r="E84" s="1837">
        <v>0</v>
      </c>
      <c r="F84" s="1837">
        <v>0</v>
      </c>
      <c r="G84" s="1919">
        <f t="shared" si="75"/>
        <v>0</v>
      </c>
      <c r="H84" s="1837">
        <v>0</v>
      </c>
      <c r="I84" s="1919">
        <f t="shared" si="76"/>
        <v>0</v>
      </c>
      <c r="J84" s="1837">
        <v>0</v>
      </c>
      <c r="K84" s="1919">
        <f t="shared" si="77"/>
        <v>0</v>
      </c>
      <c r="L84" s="1837">
        <v>0</v>
      </c>
      <c r="M84" s="1919">
        <f t="shared" si="78"/>
        <v>0</v>
      </c>
      <c r="N84" s="1837">
        <v>0</v>
      </c>
      <c r="O84" s="1269">
        <f t="shared" si="79"/>
        <v>0</v>
      </c>
      <c r="P84" s="1270">
        <v>0</v>
      </c>
      <c r="Q84" s="1271">
        <f t="shared" si="80"/>
        <v>0</v>
      </c>
      <c r="R84" s="1270">
        <v>0</v>
      </c>
      <c r="S84" s="1271">
        <f t="shared" si="81"/>
        <v>0</v>
      </c>
      <c r="T84" s="1270">
        <v>0</v>
      </c>
      <c r="U84" s="1271">
        <f t="shared" si="82"/>
        <v>0</v>
      </c>
      <c r="V84" s="1270">
        <v>7</v>
      </c>
      <c r="W84" s="1271">
        <f t="shared" si="83"/>
        <v>1.4</v>
      </c>
      <c r="X84" s="1270">
        <v>10</v>
      </c>
      <c r="Y84" s="1271">
        <f t="shared" si="84"/>
        <v>3.4</v>
      </c>
      <c r="Z84" s="1270">
        <v>8</v>
      </c>
      <c r="AA84" s="1271">
        <f t="shared" si="85"/>
        <v>5</v>
      </c>
      <c r="AB84" s="1270">
        <v>8</v>
      </c>
      <c r="AC84" s="1271">
        <f t="shared" si="86"/>
        <v>6.6</v>
      </c>
      <c r="AD84" s="1270">
        <v>1</v>
      </c>
      <c r="AE84" s="1271">
        <f t="shared" si="87"/>
        <v>6.8</v>
      </c>
      <c r="AF84" s="1270">
        <v>0</v>
      </c>
      <c r="AG84" s="1271">
        <f t="shared" si="88"/>
        <v>5.4</v>
      </c>
      <c r="AH84" s="1502">
        <v>0</v>
      </c>
      <c r="AI84" s="1271">
        <f t="shared" si="89"/>
        <v>3.4</v>
      </c>
      <c r="AJ84" s="1502">
        <v>0</v>
      </c>
      <c r="AK84" s="1508">
        <f t="shared" si="90"/>
        <v>1.8</v>
      </c>
    </row>
    <row r="85" spans="1:37" ht="18" customHeight="1" x14ac:dyDescent="0.3">
      <c r="A85" s="552" t="s">
        <v>1557</v>
      </c>
      <c r="B85" s="1837">
        <v>0</v>
      </c>
      <c r="C85" s="1837">
        <v>0</v>
      </c>
      <c r="D85" s="1837">
        <v>0</v>
      </c>
      <c r="E85" s="1837">
        <v>0</v>
      </c>
      <c r="F85" s="1837">
        <v>0</v>
      </c>
      <c r="G85" s="1919">
        <f t="shared" si="75"/>
        <v>0</v>
      </c>
      <c r="H85" s="1837">
        <v>0</v>
      </c>
      <c r="I85" s="1919">
        <f>(H85+F85+E85+D85+C85)/5</f>
        <v>0</v>
      </c>
      <c r="J85" s="1837">
        <v>0</v>
      </c>
      <c r="K85" s="1919">
        <f>(J85+H85+F85+E85+D85)/5</f>
        <v>0</v>
      </c>
      <c r="L85" s="1837">
        <v>0</v>
      </c>
      <c r="M85" s="1919">
        <f>(L85+J85+H85+F85+E85)/5</f>
        <v>0</v>
      </c>
      <c r="N85" s="1837">
        <v>0</v>
      </c>
      <c r="O85" s="1269">
        <f>(+N85+L85+J85+H85+F85)/5</f>
        <v>0</v>
      </c>
      <c r="P85" s="1270">
        <v>0</v>
      </c>
      <c r="Q85" s="1271">
        <f>(P85+N85+L85+J85+H85)/5</f>
        <v>0</v>
      </c>
      <c r="R85" s="1270">
        <v>0</v>
      </c>
      <c r="S85" s="1271">
        <f>(R85+P85+N85+L85+J85)/5</f>
        <v>0</v>
      </c>
      <c r="T85" s="1270">
        <v>0</v>
      </c>
      <c r="U85" s="1271">
        <f t="shared" ref="U85:U93" si="91">(T85+R85+P85+N85+L85)/5</f>
        <v>0</v>
      </c>
      <c r="V85" s="1270">
        <v>0</v>
      </c>
      <c r="W85" s="1271">
        <f t="shared" si="83"/>
        <v>0</v>
      </c>
      <c r="X85" s="1270">
        <v>0</v>
      </c>
      <c r="Y85" s="1271">
        <f t="shared" si="84"/>
        <v>0</v>
      </c>
      <c r="Z85" s="1270">
        <v>0</v>
      </c>
      <c r="AA85" s="1271">
        <f t="shared" si="85"/>
        <v>0</v>
      </c>
      <c r="AB85" s="1270">
        <v>0</v>
      </c>
      <c r="AC85" s="1271">
        <f t="shared" si="86"/>
        <v>0</v>
      </c>
      <c r="AD85" s="1270">
        <v>7</v>
      </c>
      <c r="AE85" s="1271">
        <f t="shared" si="87"/>
        <v>1.4</v>
      </c>
      <c r="AF85" s="1270">
        <v>6</v>
      </c>
      <c r="AG85" s="1271">
        <f t="shared" si="88"/>
        <v>2.6</v>
      </c>
      <c r="AH85" s="1502">
        <v>4</v>
      </c>
      <c r="AI85" s="1271">
        <f t="shared" si="89"/>
        <v>3.4</v>
      </c>
      <c r="AJ85" s="1502">
        <v>10</v>
      </c>
      <c r="AK85" s="1508">
        <f t="shared" si="90"/>
        <v>5.4</v>
      </c>
    </row>
    <row r="86" spans="1:37" ht="18" customHeight="1" x14ac:dyDescent="0.3">
      <c r="A86" s="552" t="s">
        <v>1558</v>
      </c>
      <c r="B86" s="1837">
        <v>0</v>
      </c>
      <c r="C86" s="1837">
        <v>0</v>
      </c>
      <c r="D86" s="1837">
        <v>0</v>
      </c>
      <c r="E86" s="1837">
        <v>0</v>
      </c>
      <c r="F86" s="1837">
        <v>0</v>
      </c>
      <c r="G86" s="1919">
        <f t="shared" si="75"/>
        <v>0</v>
      </c>
      <c r="H86" s="1837">
        <v>0</v>
      </c>
      <c r="I86" s="1919">
        <f>(H86+F86+E86+D86+C86)/5</f>
        <v>0</v>
      </c>
      <c r="J86" s="1837">
        <v>0</v>
      </c>
      <c r="K86" s="1919">
        <f>(J86+H86+F86+E86+D86)/5</f>
        <v>0</v>
      </c>
      <c r="L86" s="1837">
        <v>0</v>
      </c>
      <c r="M86" s="1919">
        <f>(L86+J86+H86+F86+E86)/5</f>
        <v>0</v>
      </c>
      <c r="N86" s="1837">
        <v>0</v>
      </c>
      <c r="O86" s="1269">
        <f>(+N86+L86+J86+H86+F86)/5</f>
        <v>0</v>
      </c>
      <c r="P86" s="1270">
        <v>0</v>
      </c>
      <c r="Q86" s="1271">
        <f>(P86+N86+L86+J86+H86)/5</f>
        <v>0</v>
      </c>
      <c r="R86" s="1270">
        <v>0</v>
      </c>
      <c r="S86" s="1271">
        <f>(R86+P86+N86+L86+J86)/5</f>
        <v>0</v>
      </c>
      <c r="T86" s="1270">
        <v>0</v>
      </c>
      <c r="U86" s="1271">
        <f t="shared" si="91"/>
        <v>0</v>
      </c>
      <c r="V86" s="1270">
        <v>0</v>
      </c>
      <c r="W86" s="1271">
        <f t="shared" ref="W86:W93" si="92">(V86+T86+R86+P86+N86)/5</f>
        <v>0</v>
      </c>
      <c r="X86" s="1270">
        <v>0</v>
      </c>
      <c r="Y86" s="1271">
        <f t="shared" ref="Y86:Y93" si="93">(X86+V86+T86+R86+P86)/5</f>
        <v>0</v>
      </c>
      <c r="Z86" s="1270">
        <v>0</v>
      </c>
      <c r="AA86" s="1271">
        <f t="shared" ref="AA86:AA93" si="94">(Z86+X86+V86+T86+R86)/5</f>
        <v>0</v>
      </c>
      <c r="AB86" s="1270">
        <v>0</v>
      </c>
      <c r="AC86" s="1271">
        <f t="shared" ref="AC86:AC93" si="95">(AB86+Z86+X86+V86+T86)/5</f>
        <v>0</v>
      </c>
      <c r="AD86" s="1270">
        <v>9</v>
      </c>
      <c r="AE86" s="1271">
        <f t="shared" si="87"/>
        <v>1.8</v>
      </c>
      <c r="AF86" s="1270">
        <v>18</v>
      </c>
      <c r="AG86" s="1271">
        <f t="shared" si="88"/>
        <v>5.4</v>
      </c>
      <c r="AH86" s="1502">
        <v>7</v>
      </c>
      <c r="AI86" s="1271">
        <f t="shared" si="89"/>
        <v>6.8</v>
      </c>
      <c r="AJ86" s="1502">
        <v>2</v>
      </c>
      <c r="AK86" s="1508">
        <f t="shared" si="90"/>
        <v>7.2</v>
      </c>
    </row>
    <row r="87" spans="1:37" ht="18" customHeight="1" x14ac:dyDescent="0.3">
      <c r="A87" s="552" t="s">
        <v>1559</v>
      </c>
      <c r="B87" s="1837">
        <v>0</v>
      </c>
      <c r="C87" s="1837">
        <v>0</v>
      </c>
      <c r="D87" s="1837">
        <v>0</v>
      </c>
      <c r="E87" s="1837">
        <v>0</v>
      </c>
      <c r="F87" s="1837">
        <v>0</v>
      </c>
      <c r="G87" s="1919">
        <f t="shared" si="75"/>
        <v>0</v>
      </c>
      <c r="H87" s="1837">
        <v>0</v>
      </c>
      <c r="I87" s="1919">
        <f>(H87+F87+E87+D87+C87)/5</f>
        <v>0</v>
      </c>
      <c r="J87" s="1837">
        <v>0</v>
      </c>
      <c r="K87" s="1919">
        <f>(J87+H87+F87+E87+D87)/5</f>
        <v>0</v>
      </c>
      <c r="L87" s="1837">
        <v>0</v>
      </c>
      <c r="M87" s="1919">
        <f>(L87+J87+H87+F87+E87)/5</f>
        <v>0</v>
      </c>
      <c r="N87" s="1837">
        <v>0</v>
      </c>
      <c r="O87" s="1269">
        <f>(+N87+L87+J87+H87+F87)/5</f>
        <v>0</v>
      </c>
      <c r="P87" s="1270">
        <v>0</v>
      </c>
      <c r="Q87" s="1271">
        <f>(P87+N87+L87+J87+H87)/5</f>
        <v>0</v>
      </c>
      <c r="R87" s="1270">
        <v>0</v>
      </c>
      <c r="S87" s="1271">
        <f>(R87+P87+N87+L87+J87)/5</f>
        <v>0</v>
      </c>
      <c r="T87" s="1270">
        <v>0</v>
      </c>
      <c r="U87" s="1271">
        <f t="shared" si="91"/>
        <v>0</v>
      </c>
      <c r="V87" s="1270">
        <v>0</v>
      </c>
      <c r="W87" s="1271">
        <f t="shared" si="92"/>
        <v>0</v>
      </c>
      <c r="X87" s="1270">
        <v>0</v>
      </c>
      <c r="Y87" s="1271">
        <f t="shared" si="93"/>
        <v>0</v>
      </c>
      <c r="Z87" s="1270">
        <v>0</v>
      </c>
      <c r="AA87" s="1271">
        <f t="shared" si="94"/>
        <v>0</v>
      </c>
      <c r="AB87" s="1270">
        <v>0</v>
      </c>
      <c r="AC87" s="1271">
        <f t="shared" si="95"/>
        <v>0</v>
      </c>
      <c r="AD87" s="1270">
        <v>6</v>
      </c>
      <c r="AE87" s="1271">
        <f t="shared" si="87"/>
        <v>1.2</v>
      </c>
      <c r="AF87" s="1270">
        <v>7</v>
      </c>
      <c r="AG87" s="1271">
        <f t="shared" si="88"/>
        <v>2.6</v>
      </c>
      <c r="AH87" s="1502">
        <v>6</v>
      </c>
      <c r="AI87" s="1271">
        <f t="shared" si="89"/>
        <v>3.8</v>
      </c>
      <c r="AJ87" s="1502">
        <v>6</v>
      </c>
      <c r="AK87" s="1508">
        <f t="shared" si="90"/>
        <v>5</v>
      </c>
    </row>
    <row r="88" spans="1:37" ht="18" customHeight="1" x14ac:dyDescent="0.3">
      <c r="A88" s="552" t="s">
        <v>1560</v>
      </c>
      <c r="B88" s="1837"/>
      <c r="C88" s="1837">
        <v>0</v>
      </c>
      <c r="D88" s="1837">
        <v>0</v>
      </c>
      <c r="E88" s="1837">
        <v>0</v>
      </c>
      <c r="F88" s="1837">
        <v>0</v>
      </c>
      <c r="G88" s="1919">
        <f t="shared" si="75"/>
        <v>0</v>
      </c>
      <c r="H88" s="1837">
        <v>0</v>
      </c>
      <c r="I88" s="1919">
        <f>(H88+F88+E88+D88+C88)/5</f>
        <v>0</v>
      </c>
      <c r="J88" s="1837">
        <v>0</v>
      </c>
      <c r="K88" s="1919">
        <f>(J88+H88+F88+E88+D88)/5</f>
        <v>0</v>
      </c>
      <c r="L88" s="1837">
        <v>0</v>
      </c>
      <c r="M88" s="1919">
        <f>(L88+J88+H88+F88+E88)/5</f>
        <v>0</v>
      </c>
      <c r="N88" s="1837">
        <v>0</v>
      </c>
      <c r="O88" s="1269">
        <f>(+N88+L88+J88+H88+F88)/5</f>
        <v>0</v>
      </c>
      <c r="P88" s="1270">
        <v>0</v>
      </c>
      <c r="Q88" s="1271">
        <f>(P88+N88+L88+J88+H88)/5</f>
        <v>0</v>
      </c>
      <c r="R88" s="1270">
        <v>0</v>
      </c>
      <c r="S88" s="1271">
        <f>(R88+P88+N88+L88+J88)/5</f>
        <v>0</v>
      </c>
      <c r="T88" s="1270">
        <v>0</v>
      </c>
      <c r="U88" s="1271">
        <f t="shared" si="91"/>
        <v>0</v>
      </c>
      <c r="V88" s="1270">
        <v>0</v>
      </c>
      <c r="W88" s="1271">
        <f t="shared" si="92"/>
        <v>0</v>
      </c>
      <c r="X88" s="1270">
        <v>0</v>
      </c>
      <c r="Y88" s="1271">
        <f t="shared" si="93"/>
        <v>0</v>
      </c>
      <c r="Z88" s="1270">
        <v>0</v>
      </c>
      <c r="AA88" s="1271">
        <f t="shared" si="94"/>
        <v>0</v>
      </c>
      <c r="AB88" s="1270">
        <v>0</v>
      </c>
      <c r="AC88" s="1271">
        <f t="shared" si="95"/>
        <v>0</v>
      </c>
      <c r="AD88" s="1270">
        <v>2</v>
      </c>
      <c r="AE88" s="1271">
        <f t="shared" si="87"/>
        <v>0.4</v>
      </c>
      <c r="AF88" s="1270">
        <v>2</v>
      </c>
      <c r="AG88" s="1271">
        <f t="shared" si="88"/>
        <v>0.8</v>
      </c>
      <c r="AH88" s="1502">
        <v>0</v>
      </c>
      <c r="AI88" s="1271">
        <f t="shared" si="89"/>
        <v>0.8</v>
      </c>
      <c r="AJ88" s="1502">
        <v>1</v>
      </c>
      <c r="AK88" s="1508">
        <f t="shared" si="90"/>
        <v>1</v>
      </c>
    </row>
    <row r="89" spans="1:37" ht="18" customHeight="1" x14ac:dyDescent="0.3">
      <c r="A89" s="552" t="s">
        <v>1561</v>
      </c>
      <c r="B89" s="1837">
        <v>0</v>
      </c>
      <c r="C89" s="1837">
        <v>0</v>
      </c>
      <c r="D89" s="1837">
        <v>0</v>
      </c>
      <c r="E89" s="1837">
        <v>0</v>
      </c>
      <c r="F89" s="1837">
        <v>0</v>
      </c>
      <c r="G89" s="1919">
        <f t="shared" si="75"/>
        <v>0</v>
      </c>
      <c r="H89" s="1837">
        <v>0</v>
      </c>
      <c r="I89" s="1919">
        <f>(H89+F89+E89+D89+C89)/5</f>
        <v>0</v>
      </c>
      <c r="J89" s="1837">
        <v>0</v>
      </c>
      <c r="K89" s="1919">
        <f>(J89+H89+F89+E89+D89)/5</f>
        <v>0</v>
      </c>
      <c r="L89" s="1837">
        <v>0</v>
      </c>
      <c r="M89" s="1919">
        <f>(L89+J89+H89+F89+E89)/5</f>
        <v>0</v>
      </c>
      <c r="N89" s="1837">
        <v>0</v>
      </c>
      <c r="O89" s="1269">
        <f>(+N89+L89+J89+H89+F89)/5</f>
        <v>0</v>
      </c>
      <c r="P89" s="1270">
        <v>0</v>
      </c>
      <c r="Q89" s="1271">
        <f>(P89+N89+L89+J89+H89)/5</f>
        <v>0</v>
      </c>
      <c r="R89" s="1270">
        <v>0</v>
      </c>
      <c r="S89" s="1271">
        <f>(R89+P89+N89+L89+J89)/5</f>
        <v>0</v>
      </c>
      <c r="T89" s="1270">
        <v>0</v>
      </c>
      <c r="U89" s="1271">
        <f t="shared" si="91"/>
        <v>0</v>
      </c>
      <c r="V89" s="1270">
        <v>0</v>
      </c>
      <c r="W89" s="1271">
        <f t="shared" si="92"/>
        <v>0</v>
      </c>
      <c r="X89" s="1270">
        <v>0</v>
      </c>
      <c r="Y89" s="1271">
        <f t="shared" si="93"/>
        <v>0</v>
      </c>
      <c r="Z89" s="1270">
        <v>0</v>
      </c>
      <c r="AA89" s="1271">
        <f t="shared" si="94"/>
        <v>0</v>
      </c>
      <c r="AB89" s="1270">
        <v>0</v>
      </c>
      <c r="AC89" s="1271">
        <f t="shared" si="95"/>
        <v>0</v>
      </c>
      <c r="AD89" s="1270">
        <v>6</v>
      </c>
      <c r="AE89" s="1271">
        <f t="shared" si="87"/>
        <v>1.2</v>
      </c>
      <c r="AF89" s="1270">
        <v>7</v>
      </c>
      <c r="AG89" s="1271">
        <f t="shared" si="88"/>
        <v>2.6</v>
      </c>
      <c r="AH89" s="1502">
        <v>9</v>
      </c>
      <c r="AI89" s="1271">
        <f t="shared" si="89"/>
        <v>4.4000000000000004</v>
      </c>
      <c r="AJ89" s="1502">
        <v>6</v>
      </c>
      <c r="AK89" s="1508">
        <f t="shared" si="90"/>
        <v>5.6</v>
      </c>
    </row>
    <row r="90" spans="1:37" ht="18" customHeight="1" x14ac:dyDescent="0.3">
      <c r="A90" s="552" t="s">
        <v>922</v>
      </c>
      <c r="B90" s="1629">
        <v>0</v>
      </c>
      <c r="C90" s="1629">
        <v>0</v>
      </c>
      <c r="D90" s="1629">
        <v>0</v>
      </c>
      <c r="E90" s="1629">
        <v>0</v>
      </c>
      <c r="F90" s="1629">
        <v>0</v>
      </c>
      <c r="G90" s="1912">
        <f t="shared" si="75"/>
        <v>0</v>
      </c>
      <c r="H90" s="1629">
        <v>0</v>
      </c>
      <c r="I90" s="1912">
        <f t="shared" si="76"/>
        <v>0</v>
      </c>
      <c r="J90" s="1629">
        <v>0</v>
      </c>
      <c r="K90" s="1912">
        <f t="shared" si="77"/>
        <v>0</v>
      </c>
      <c r="L90" s="1629">
        <v>0</v>
      </c>
      <c r="M90" s="1912">
        <f t="shared" si="78"/>
        <v>0</v>
      </c>
      <c r="N90" s="1629">
        <v>47</v>
      </c>
      <c r="O90" s="1264">
        <f t="shared" si="79"/>
        <v>9.4</v>
      </c>
      <c r="P90" s="1265">
        <v>0</v>
      </c>
      <c r="Q90" s="1266">
        <f t="shared" si="80"/>
        <v>9.4</v>
      </c>
      <c r="R90" s="1265">
        <v>0</v>
      </c>
      <c r="S90" s="1266">
        <f t="shared" si="81"/>
        <v>9.4</v>
      </c>
      <c r="T90" s="1265">
        <v>0</v>
      </c>
      <c r="U90" s="1266">
        <f t="shared" si="91"/>
        <v>9.4</v>
      </c>
      <c r="V90" s="1265">
        <v>0</v>
      </c>
      <c r="W90" s="1266">
        <f t="shared" si="92"/>
        <v>9.4</v>
      </c>
      <c r="X90" s="1265">
        <v>0</v>
      </c>
      <c r="Y90" s="1266">
        <f t="shared" si="93"/>
        <v>0</v>
      </c>
      <c r="Z90" s="1265">
        <v>0</v>
      </c>
      <c r="AA90" s="1266">
        <f t="shared" si="94"/>
        <v>0</v>
      </c>
      <c r="AB90" s="1265">
        <v>0</v>
      </c>
      <c r="AC90" s="1266">
        <f t="shared" si="95"/>
        <v>0</v>
      </c>
      <c r="AD90" s="1265">
        <v>0</v>
      </c>
      <c r="AE90" s="1266">
        <f>(AD90+AB90+Z90+X90+V90)/5</f>
        <v>0</v>
      </c>
      <c r="AF90" s="1265">
        <v>0</v>
      </c>
      <c r="AG90" s="1266">
        <f>(AF90+AD90+AB90+Z90+X90)/5</f>
        <v>0</v>
      </c>
      <c r="AH90" s="1496">
        <v>0</v>
      </c>
      <c r="AI90" s="1266">
        <f>(AH90+AF90+AD90+AB90+Z90)/5</f>
        <v>0</v>
      </c>
      <c r="AJ90" s="1496">
        <v>0</v>
      </c>
      <c r="AK90" s="1498">
        <f>(AJ90+AH90+AF90+AD90+AB90)/5</f>
        <v>0</v>
      </c>
    </row>
    <row r="91" spans="1:37" ht="18" customHeight="1" x14ac:dyDescent="0.3">
      <c r="A91" s="552" t="s">
        <v>1169</v>
      </c>
      <c r="B91" s="1629">
        <v>77</v>
      </c>
      <c r="C91" s="1629">
        <v>72</v>
      </c>
      <c r="D91" s="1629">
        <v>41</v>
      </c>
      <c r="E91" s="1629">
        <v>36</v>
      </c>
      <c r="F91" s="1629">
        <v>25</v>
      </c>
      <c r="G91" s="1912">
        <f t="shared" si="75"/>
        <v>50.2</v>
      </c>
      <c r="H91" s="1629">
        <v>32</v>
      </c>
      <c r="I91" s="1912">
        <f t="shared" si="76"/>
        <v>41.2</v>
      </c>
      <c r="J91" s="1629">
        <v>41</v>
      </c>
      <c r="K91" s="1912">
        <f t="shared" si="77"/>
        <v>35</v>
      </c>
      <c r="L91" s="1629">
        <v>44</v>
      </c>
      <c r="M91" s="1912">
        <f t="shared" si="78"/>
        <v>35.6</v>
      </c>
      <c r="N91" s="1629">
        <v>42</v>
      </c>
      <c r="O91" s="1264">
        <f t="shared" si="79"/>
        <v>36.799999999999997</v>
      </c>
      <c r="P91" s="1265">
        <v>38</v>
      </c>
      <c r="Q91" s="1266">
        <f t="shared" si="80"/>
        <v>39.4</v>
      </c>
      <c r="R91" s="1265">
        <v>41</v>
      </c>
      <c r="S91" s="1266">
        <f t="shared" si="81"/>
        <v>41.2</v>
      </c>
      <c r="T91" s="1265">
        <v>45</v>
      </c>
      <c r="U91" s="1266">
        <f t="shared" si="91"/>
        <v>42</v>
      </c>
      <c r="V91" s="1265">
        <v>48</v>
      </c>
      <c r="W91" s="1266">
        <f t="shared" si="92"/>
        <v>42.8</v>
      </c>
      <c r="X91" s="1265">
        <v>45</v>
      </c>
      <c r="Y91" s="1266">
        <f t="shared" si="93"/>
        <v>43.4</v>
      </c>
      <c r="Z91" s="1265">
        <v>52</v>
      </c>
      <c r="AA91" s="1266">
        <f t="shared" si="94"/>
        <v>46.2</v>
      </c>
      <c r="AB91" s="1265">
        <v>64</v>
      </c>
      <c r="AC91" s="1266">
        <f t="shared" si="95"/>
        <v>50.8</v>
      </c>
      <c r="AD91" s="1265">
        <v>62</v>
      </c>
      <c r="AE91" s="1266">
        <f>(AD91+AB91+Z91+X91+V91)/5</f>
        <v>54.2</v>
      </c>
      <c r="AF91" s="1265">
        <v>60</v>
      </c>
      <c r="AG91" s="1266">
        <f>(AF91+AD91+AB91+Z91+X91)/5</f>
        <v>56.6</v>
      </c>
      <c r="AH91" s="1496">
        <v>68</v>
      </c>
      <c r="AI91" s="1266">
        <f>(AH91+AF91+AD91+AB91+Z91)/5</f>
        <v>61.2</v>
      </c>
      <c r="AJ91" s="1496">
        <v>69</v>
      </c>
      <c r="AK91" s="1498">
        <f>(AJ91+AH91+AF91+AD91+AB91)/5</f>
        <v>64.599999999999994</v>
      </c>
    </row>
    <row r="92" spans="1:37" ht="18" customHeight="1" x14ac:dyDescent="0.3">
      <c r="A92" s="552" t="s">
        <v>1760</v>
      </c>
      <c r="B92" s="1629">
        <v>137</v>
      </c>
      <c r="C92" s="1629">
        <v>159</v>
      </c>
      <c r="D92" s="1629">
        <v>119</v>
      </c>
      <c r="E92" s="1629">
        <v>372</v>
      </c>
      <c r="F92" s="1629">
        <v>434</v>
      </c>
      <c r="G92" s="1912">
        <f t="shared" si="75"/>
        <v>244.2</v>
      </c>
      <c r="H92" s="1629">
        <f>141-2</f>
        <v>139</v>
      </c>
      <c r="I92" s="1912">
        <f t="shared" si="76"/>
        <v>244.6</v>
      </c>
      <c r="J92" s="1629">
        <v>265</v>
      </c>
      <c r="K92" s="1912">
        <f t="shared" si="77"/>
        <v>265.8</v>
      </c>
      <c r="L92" s="1629">
        <f>255-5</f>
        <v>250</v>
      </c>
      <c r="M92" s="1912">
        <f t="shared" si="78"/>
        <v>292</v>
      </c>
      <c r="N92" s="1629">
        <v>132</v>
      </c>
      <c r="O92" s="1264">
        <f t="shared" si="79"/>
        <v>244</v>
      </c>
      <c r="P92" s="1265">
        <v>57</v>
      </c>
      <c r="Q92" s="1266">
        <f t="shared" si="80"/>
        <v>168.6</v>
      </c>
      <c r="R92" s="1265">
        <v>21</v>
      </c>
      <c r="S92" s="1266">
        <f t="shared" si="81"/>
        <v>145</v>
      </c>
      <c r="T92" s="1265">
        <v>21</v>
      </c>
      <c r="U92" s="1266">
        <f t="shared" si="91"/>
        <v>96.2</v>
      </c>
      <c r="V92" s="1265">
        <v>33</v>
      </c>
      <c r="W92" s="1266">
        <f t="shared" si="92"/>
        <v>52.8</v>
      </c>
      <c r="X92" s="1265">
        <v>32</v>
      </c>
      <c r="Y92" s="1266">
        <f t="shared" si="93"/>
        <v>32.799999999999997</v>
      </c>
      <c r="Z92" s="1265">
        <v>42</v>
      </c>
      <c r="AA92" s="1266">
        <f t="shared" si="94"/>
        <v>29.8</v>
      </c>
      <c r="AB92" s="1265">
        <v>16</v>
      </c>
      <c r="AC92" s="1266">
        <f t="shared" si="95"/>
        <v>28.8</v>
      </c>
      <c r="AD92" s="1265">
        <v>42</v>
      </c>
      <c r="AE92" s="1266">
        <f>(AD92+AB92+Z92+X92+V92)/5</f>
        <v>33</v>
      </c>
      <c r="AF92" s="1265">
        <v>40</v>
      </c>
      <c r="AG92" s="1266">
        <f>(AF92+AD92+AB92+Z92+X92)/5</f>
        <v>34.4</v>
      </c>
      <c r="AH92" s="1496">
        <v>30</v>
      </c>
      <c r="AI92" s="1266">
        <f>(AH92+AF92+AD92+AB92+Z92)/5</f>
        <v>34</v>
      </c>
      <c r="AJ92" s="1496">
        <v>7</v>
      </c>
      <c r="AK92" s="1498">
        <f>(AJ92+AH92+AF92+AD92+AB92)/5</f>
        <v>27</v>
      </c>
    </row>
    <row r="93" spans="1:37" ht="18" customHeight="1" x14ac:dyDescent="0.3">
      <c r="A93" s="553" t="s">
        <v>1015</v>
      </c>
      <c r="B93" s="1629">
        <f>SUM(B75:B92)</f>
        <v>561</v>
      </c>
      <c r="C93" s="1629">
        <f>SUM(C75:C92)</f>
        <v>570</v>
      </c>
      <c r="D93" s="1629">
        <f>SUM(D75:D92)</f>
        <v>462</v>
      </c>
      <c r="E93" s="1629">
        <f>SUM(E75:E92)</f>
        <v>693</v>
      </c>
      <c r="F93" s="1629">
        <f>SUM(F75:F92)</f>
        <v>792</v>
      </c>
      <c r="G93" s="1912">
        <f t="shared" si="75"/>
        <v>615.6</v>
      </c>
      <c r="H93" s="1629">
        <f>SUM(H75:H92)</f>
        <v>558</v>
      </c>
      <c r="I93" s="1912">
        <f t="shared" si="76"/>
        <v>615</v>
      </c>
      <c r="J93" s="1629">
        <f>SUM(J75:J92)</f>
        <v>712</v>
      </c>
      <c r="K93" s="1912">
        <f t="shared" si="77"/>
        <v>643.4</v>
      </c>
      <c r="L93" s="1629">
        <f>SUM(L75:L92)</f>
        <v>693</v>
      </c>
      <c r="M93" s="1912">
        <f t="shared" si="78"/>
        <v>689.6</v>
      </c>
      <c r="N93" s="1629">
        <f>SUM(N75:N92)</f>
        <v>557</v>
      </c>
      <c r="O93" s="1264">
        <f t="shared" si="79"/>
        <v>662.4</v>
      </c>
      <c r="P93" s="1265">
        <f>SUM(P75:P92)</f>
        <v>457</v>
      </c>
      <c r="Q93" s="1266">
        <f t="shared" si="80"/>
        <v>595.4</v>
      </c>
      <c r="R93" s="1265">
        <f>SUM(R75:R92)</f>
        <v>386</v>
      </c>
      <c r="S93" s="1266">
        <f t="shared" si="81"/>
        <v>561</v>
      </c>
      <c r="T93" s="1265">
        <f>SUM(T75:T92)</f>
        <v>381</v>
      </c>
      <c r="U93" s="1266">
        <f t="shared" si="91"/>
        <v>494.8</v>
      </c>
      <c r="V93" s="1265">
        <f>SUM(V75:V92)</f>
        <v>412</v>
      </c>
      <c r="W93" s="1266">
        <f t="shared" si="92"/>
        <v>438.6</v>
      </c>
      <c r="X93" s="1265">
        <f>SUM(X75:X92)</f>
        <v>441</v>
      </c>
      <c r="Y93" s="1266">
        <f t="shared" si="93"/>
        <v>415.4</v>
      </c>
      <c r="Z93" s="1265">
        <f>SUM(Z75:Z92)</f>
        <v>413</v>
      </c>
      <c r="AA93" s="1266">
        <f t="shared" si="94"/>
        <v>406.6</v>
      </c>
      <c r="AB93" s="1265">
        <f>SUM(AB75:AB92)</f>
        <v>369</v>
      </c>
      <c r="AC93" s="1266">
        <f t="shared" si="95"/>
        <v>403.2</v>
      </c>
      <c r="AD93" s="1265">
        <f>SUM(AD75:AD92)</f>
        <v>398</v>
      </c>
      <c r="AE93" s="1266">
        <f>(AD93+AB93+Z93+X93+V93)/5</f>
        <v>406.6</v>
      </c>
      <c r="AF93" s="1265">
        <f>SUM(AF75:AF92)</f>
        <v>387</v>
      </c>
      <c r="AG93" s="1266">
        <f>(AF93+AD93+AB93+Z93+X93)/5</f>
        <v>401.6</v>
      </c>
      <c r="AH93" s="1496">
        <f>SUM(AH75:AH92)</f>
        <v>356</v>
      </c>
      <c r="AI93" s="1266">
        <f>(AH93+AF93+AD93+AB93+Z93)/5</f>
        <v>384.6</v>
      </c>
      <c r="AJ93" s="1496">
        <f>SUM(AJ75:AJ92)</f>
        <v>353</v>
      </c>
      <c r="AK93" s="1498">
        <f>(AJ93+AH93+AF93+AD93+AB93)/5</f>
        <v>372.6</v>
      </c>
    </row>
    <row r="94" spans="1:37" ht="18" customHeight="1" x14ac:dyDescent="0.3">
      <c r="A94" s="551" t="s">
        <v>425</v>
      </c>
      <c r="B94" s="1909"/>
      <c r="C94" s="1909"/>
      <c r="D94" s="1909"/>
      <c r="E94" s="1909"/>
      <c r="F94" s="1910"/>
      <c r="G94" s="1914"/>
      <c r="H94" s="1910"/>
      <c r="I94" s="1914"/>
      <c r="J94" s="1910"/>
      <c r="K94" s="1914"/>
      <c r="L94" s="1910"/>
      <c r="M94" s="1911"/>
      <c r="N94" s="1910"/>
      <c r="O94" s="1267"/>
      <c r="P94" s="1262"/>
      <c r="Q94" s="1262"/>
      <c r="R94" s="1262"/>
      <c r="S94" s="1262"/>
      <c r="T94" s="1262"/>
      <c r="U94" s="1262"/>
      <c r="V94" s="1262"/>
      <c r="W94" s="1262"/>
      <c r="X94" s="1262"/>
      <c r="Y94" s="1262"/>
      <c r="Z94" s="1262"/>
      <c r="AA94" s="1262"/>
      <c r="AB94" s="1262"/>
      <c r="AC94" s="1262"/>
      <c r="AD94" s="1262"/>
      <c r="AE94" s="1262"/>
      <c r="AF94" s="1262"/>
      <c r="AG94" s="1262"/>
      <c r="AH94" s="1495"/>
      <c r="AI94" s="1262"/>
      <c r="AJ94" s="1495"/>
      <c r="AK94" s="1499"/>
    </row>
    <row r="95" spans="1:37" ht="18" customHeight="1" x14ac:dyDescent="0.3">
      <c r="A95" s="552" t="s">
        <v>611</v>
      </c>
      <c r="B95" s="1629">
        <v>0</v>
      </c>
      <c r="C95" s="1629">
        <v>0</v>
      </c>
      <c r="D95" s="1629">
        <v>0</v>
      </c>
      <c r="E95" s="1629">
        <v>0</v>
      </c>
      <c r="F95" s="1629">
        <v>3</v>
      </c>
      <c r="G95" s="1912">
        <f t="shared" ref="G95:G102" si="96">AVERAGE(B95:F95)</f>
        <v>0.6</v>
      </c>
      <c r="H95" s="1629">
        <v>9</v>
      </c>
      <c r="I95" s="1912">
        <f t="shared" ref="I95:I102" si="97">(H95+F95+E95+D95+C95)/5</f>
        <v>2.4</v>
      </c>
      <c r="J95" s="1629">
        <v>19</v>
      </c>
      <c r="K95" s="1912">
        <f t="shared" ref="K95:K102" si="98">(J95+H95+F95+E95+D95)/5</f>
        <v>6.2</v>
      </c>
      <c r="L95" s="1629">
        <v>8</v>
      </c>
      <c r="M95" s="1912">
        <f t="shared" ref="M95:M102" si="99">(L95+J95+H95+F95+E95)/5</f>
        <v>7.8</v>
      </c>
      <c r="N95" s="1629">
        <v>6</v>
      </c>
      <c r="O95" s="1264">
        <f t="shared" ref="O95:O102" si="100">(+N95+L95+J95+H95+F95)/5</f>
        <v>9</v>
      </c>
      <c r="P95" s="1265">
        <v>26</v>
      </c>
      <c r="Q95" s="1266">
        <f t="shared" ref="Q95:Q102" si="101">(P95+N95+L95+J95+H95)/5</f>
        <v>13.6</v>
      </c>
      <c r="R95" s="1265">
        <v>43</v>
      </c>
      <c r="S95" s="1266">
        <f t="shared" ref="S95:S102" si="102">(R95+P95+N95+L95+J95)/5</f>
        <v>20.399999999999999</v>
      </c>
      <c r="T95" s="1265">
        <v>40</v>
      </c>
      <c r="U95" s="1266">
        <f t="shared" ref="U95:U102" si="103">(T95+R95+P95+N95+L95)/5</f>
        <v>24.6</v>
      </c>
      <c r="V95" s="1265">
        <v>42</v>
      </c>
      <c r="W95" s="1266">
        <f t="shared" ref="W95:W102" si="104">(V95+T95+R95+P95+N95)/5</f>
        <v>31.4</v>
      </c>
      <c r="X95" s="1265">
        <v>46</v>
      </c>
      <c r="Y95" s="1266">
        <f t="shared" ref="Y95:Y102" si="105">(X95+V95+T95+R95+P95)/5</f>
        <v>39.4</v>
      </c>
      <c r="Z95" s="1265">
        <v>49</v>
      </c>
      <c r="AA95" s="1266">
        <f t="shared" ref="AA95:AA102" si="106">(Z95+X95+V95+T95+R95)/5</f>
        <v>44</v>
      </c>
      <c r="AB95" s="1265">
        <v>53</v>
      </c>
      <c r="AC95" s="1266">
        <f t="shared" ref="AC95:AC102" si="107">(AB95+Z95+X95+V95+T95)/5</f>
        <v>46</v>
      </c>
      <c r="AD95" s="1265">
        <v>46</v>
      </c>
      <c r="AE95" s="1266">
        <f t="shared" ref="AE95:AE102" si="108">(AD95+AB95+Z95+X95+V95)/5</f>
        <v>47.2</v>
      </c>
      <c r="AF95" s="1265">
        <v>14</v>
      </c>
      <c r="AG95" s="1266">
        <f t="shared" ref="AG95:AG102" si="109">(AF95+AD95+AB95+Z95+X95)/5</f>
        <v>41.6</v>
      </c>
      <c r="AH95" s="1496">
        <v>7</v>
      </c>
      <c r="AI95" s="1266">
        <f t="shared" ref="AI95:AI102" si="110">(AH95+AF95+AD95+AB95+Z95)/5</f>
        <v>33.799999999999997</v>
      </c>
      <c r="AJ95" s="1496">
        <v>1</v>
      </c>
      <c r="AK95" s="1498">
        <f t="shared" ref="AK95:AK102" si="111">(AJ95+AH95+AF95+AD95+AB95)/5</f>
        <v>24.2</v>
      </c>
    </row>
    <row r="96" spans="1:37" ht="18" customHeight="1" x14ac:dyDescent="0.3">
      <c r="A96" s="552" t="s">
        <v>1196</v>
      </c>
      <c r="B96" s="1629">
        <v>0</v>
      </c>
      <c r="C96" s="1629">
        <v>0</v>
      </c>
      <c r="D96" s="1629">
        <v>0</v>
      </c>
      <c r="E96" s="1629">
        <v>0</v>
      </c>
      <c r="F96" s="1629">
        <f>3+3+5+2</f>
        <v>13</v>
      </c>
      <c r="G96" s="1912">
        <f t="shared" si="96"/>
        <v>2.6</v>
      </c>
      <c r="H96" s="1629">
        <v>33</v>
      </c>
      <c r="I96" s="1912">
        <f t="shared" si="97"/>
        <v>9.1999999999999993</v>
      </c>
      <c r="J96" s="1629">
        <v>86</v>
      </c>
      <c r="K96" s="1912">
        <f t="shared" si="98"/>
        <v>26.4</v>
      </c>
      <c r="L96" s="1629">
        <v>72</v>
      </c>
      <c r="M96" s="1912">
        <f t="shared" si="99"/>
        <v>40.799999999999997</v>
      </c>
      <c r="N96" s="1629">
        <v>71</v>
      </c>
      <c r="O96" s="1264">
        <f t="shared" si="100"/>
        <v>55</v>
      </c>
      <c r="P96" s="1265">
        <v>97</v>
      </c>
      <c r="Q96" s="1266">
        <f t="shared" si="101"/>
        <v>71.8</v>
      </c>
      <c r="R96" s="1265">
        <v>114</v>
      </c>
      <c r="S96" s="1266">
        <f t="shared" si="102"/>
        <v>88</v>
      </c>
      <c r="T96" s="1265">
        <v>102</v>
      </c>
      <c r="U96" s="1266">
        <f t="shared" si="103"/>
        <v>91.2</v>
      </c>
      <c r="V96" s="1265">
        <v>127</v>
      </c>
      <c r="W96" s="1266">
        <f t="shared" si="104"/>
        <v>102.2</v>
      </c>
      <c r="X96" s="1265">
        <v>143</v>
      </c>
      <c r="Y96" s="1266">
        <f t="shared" si="105"/>
        <v>116.6</v>
      </c>
      <c r="Z96" s="1265">
        <v>192</v>
      </c>
      <c r="AA96" s="1266">
        <f t="shared" si="106"/>
        <v>135.6</v>
      </c>
      <c r="AB96" s="1265">
        <v>182</v>
      </c>
      <c r="AC96" s="1266">
        <f t="shared" si="107"/>
        <v>149.19999999999999</v>
      </c>
      <c r="AD96" s="1265">
        <v>198</v>
      </c>
      <c r="AE96" s="1266">
        <f t="shared" si="108"/>
        <v>168.4</v>
      </c>
      <c r="AF96" s="1265">
        <v>238</v>
      </c>
      <c r="AG96" s="1266">
        <f t="shared" si="109"/>
        <v>190.6</v>
      </c>
      <c r="AH96" s="1496">
        <v>223</v>
      </c>
      <c r="AI96" s="1266">
        <f t="shared" si="110"/>
        <v>206.6</v>
      </c>
      <c r="AJ96" s="1496">
        <v>215</v>
      </c>
      <c r="AK96" s="1498">
        <f t="shared" si="111"/>
        <v>211.2</v>
      </c>
    </row>
    <row r="97" spans="1:37" ht="18" customHeight="1" x14ac:dyDescent="0.3">
      <c r="A97" s="552" t="s">
        <v>1197</v>
      </c>
      <c r="B97" s="1629">
        <v>0</v>
      </c>
      <c r="C97" s="1629">
        <v>0</v>
      </c>
      <c r="D97" s="1629">
        <v>2</v>
      </c>
      <c r="E97" s="1629">
        <v>3</v>
      </c>
      <c r="F97" s="1629">
        <v>4</v>
      </c>
      <c r="G97" s="1912">
        <f t="shared" si="96"/>
        <v>1.8</v>
      </c>
      <c r="H97" s="1629">
        <v>1</v>
      </c>
      <c r="I97" s="1912">
        <f t="shared" si="97"/>
        <v>2</v>
      </c>
      <c r="J97" s="1629">
        <v>0</v>
      </c>
      <c r="K97" s="1912">
        <f t="shared" si="98"/>
        <v>2</v>
      </c>
      <c r="L97" s="1629">
        <v>0</v>
      </c>
      <c r="M97" s="1912">
        <f t="shared" si="99"/>
        <v>1.6</v>
      </c>
      <c r="N97" s="1629">
        <v>0</v>
      </c>
      <c r="O97" s="1264">
        <f t="shared" si="100"/>
        <v>1</v>
      </c>
      <c r="P97" s="1265">
        <v>0</v>
      </c>
      <c r="Q97" s="1266">
        <f t="shared" si="101"/>
        <v>0.2</v>
      </c>
      <c r="R97" s="1265">
        <v>0</v>
      </c>
      <c r="S97" s="1266">
        <f t="shared" si="102"/>
        <v>0</v>
      </c>
      <c r="T97" s="1265">
        <v>0</v>
      </c>
      <c r="U97" s="1266">
        <f t="shared" si="103"/>
        <v>0</v>
      </c>
      <c r="V97" s="1265">
        <v>0</v>
      </c>
      <c r="W97" s="1266">
        <f t="shared" si="104"/>
        <v>0</v>
      </c>
      <c r="X97" s="1265">
        <v>0</v>
      </c>
      <c r="Y97" s="1266">
        <f t="shared" si="105"/>
        <v>0</v>
      </c>
      <c r="Z97" s="1265">
        <v>0</v>
      </c>
      <c r="AA97" s="1266">
        <f t="shared" si="106"/>
        <v>0</v>
      </c>
      <c r="AB97" s="1265">
        <v>0</v>
      </c>
      <c r="AC97" s="1266">
        <f t="shared" si="107"/>
        <v>0</v>
      </c>
      <c r="AD97" s="1265">
        <v>0</v>
      </c>
      <c r="AE97" s="1266">
        <f t="shared" si="108"/>
        <v>0</v>
      </c>
      <c r="AF97" s="1265">
        <v>0</v>
      </c>
      <c r="AG97" s="1266">
        <f t="shared" si="109"/>
        <v>0</v>
      </c>
      <c r="AH97" s="1496">
        <v>0</v>
      </c>
      <c r="AI97" s="1266">
        <f t="shared" si="110"/>
        <v>0</v>
      </c>
      <c r="AJ97" s="1496">
        <v>0</v>
      </c>
      <c r="AK97" s="1498">
        <f t="shared" si="111"/>
        <v>0</v>
      </c>
    </row>
    <row r="98" spans="1:37" ht="18" customHeight="1" x14ac:dyDescent="0.3">
      <c r="A98" s="552" t="s">
        <v>1147</v>
      </c>
      <c r="B98" s="1629">
        <v>10</v>
      </c>
      <c r="C98" s="1629">
        <v>29</v>
      </c>
      <c r="D98" s="1629">
        <v>25</v>
      </c>
      <c r="E98" s="1629">
        <v>26</v>
      </c>
      <c r="F98" s="1629">
        <f>31-3</f>
        <v>28</v>
      </c>
      <c r="G98" s="1912">
        <f t="shared" si="96"/>
        <v>23.6</v>
      </c>
      <c r="H98" s="1629">
        <v>16</v>
      </c>
      <c r="I98" s="1912">
        <f t="shared" si="97"/>
        <v>24.8</v>
      </c>
      <c r="J98" s="1629">
        <v>0</v>
      </c>
      <c r="K98" s="1912">
        <f t="shared" si="98"/>
        <v>19</v>
      </c>
      <c r="L98" s="1629">
        <v>0</v>
      </c>
      <c r="M98" s="1912">
        <f t="shared" si="99"/>
        <v>14</v>
      </c>
      <c r="N98" s="1629">
        <v>0</v>
      </c>
      <c r="O98" s="1264">
        <f t="shared" si="100"/>
        <v>8.8000000000000007</v>
      </c>
      <c r="P98" s="1265">
        <v>1</v>
      </c>
      <c r="Q98" s="1266">
        <f t="shared" si="101"/>
        <v>3.4</v>
      </c>
      <c r="R98" s="1265">
        <v>0</v>
      </c>
      <c r="S98" s="1266">
        <f t="shared" si="102"/>
        <v>0.2</v>
      </c>
      <c r="T98" s="1265">
        <v>0</v>
      </c>
      <c r="U98" s="1266">
        <f t="shared" si="103"/>
        <v>0.2</v>
      </c>
      <c r="V98" s="1265">
        <v>0</v>
      </c>
      <c r="W98" s="1266">
        <f t="shared" si="104"/>
        <v>0.2</v>
      </c>
      <c r="X98" s="1265">
        <v>0</v>
      </c>
      <c r="Y98" s="1266">
        <f t="shared" si="105"/>
        <v>0.2</v>
      </c>
      <c r="Z98" s="1265">
        <v>0</v>
      </c>
      <c r="AA98" s="1266">
        <f t="shared" si="106"/>
        <v>0</v>
      </c>
      <c r="AB98" s="1265">
        <v>0</v>
      </c>
      <c r="AC98" s="1266">
        <f t="shared" si="107"/>
        <v>0</v>
      </c>
      <c r="AD98" s="1265">
        <v>0</v>
      </c>
      <c r="AE98" s="1266">
        <f t="shared" si="108"/>
        <v>0</v>
      </c>
      <c r="AF98" s="1265">
        <v>0</v>
      </c>
      <c r="AG98" s="1266">
        <f t="shared" si="109"/>
        <v>0</v>
      </c>
      <c r="AH98" s="1496">
        <v>0</v>
      </c>
      <c r="AI98" s="1266">
        <f t="shared" si="110"/>
        <v>0</v>
      </c>
      <c r="AJ98" s="1496">
        <v>0</v>
      </c>
      <c r="AK98" s="1498">
        <f t="shared" si="111"/>
        <v>0</v>
      </c>
    </row>
    <row r="99" spans="1:37" ht="18" customHeight="1" x14ac:dyDescent="0.3">
      <c r="A99" s="552" t="s">
        <v>1148</v>
      </c>
      <c r="B99" s="1629">
        <v>83</v>
      </c>
      <c r="C99" s="1629">
        <v>69</v>
      </c>
      <c r="D99" s="1629">
        <v>72</v>
      </c>
      <c r="E99" s="1629">
        <v>69</v>
      </c>
      <c r="F99" s="1629">
        <v>57</v>
      </c>
      <c r="G99" s="1912">
        <f t="shared" si="96"/>
        <v>70</v>
      </c>
      <c r="H99" s="1629">
        <v>44</v>
      </c>
      <c r="I99" s="1912">
        <f t="shared" si="97"/>
        <v>62.2</v>
      </c>
      <c r="J99" s="1629">
        <v>2</v>
      </c>
      <c r="K99" s="1912">
        <f t="shared" si="98"/>
        <v>48.8</v>
      </c>
      <c r="L99" s="1629">
        <v>0</v>
      </c>
      <c r="M99" s="1912">
        <f t="shared" si="99"/>
        <v>34.4</v>
      </c>
      <c r="N99" s="1629">
        <v>1</v>
      </c>
      <c r="O99" s="1264">
        <f t="shared" si="100"/>
        <v>20.8</v>
      </c>
      <c r="P99" s="1265">
        <v>0</v>
      </c>
      <c r="Q99" s="1266">
        <f t="shared" si="101"/>
        <v>9.4</v>
      </c>
      <c r="R99" s="1265">
        <v>0</v>
      </c>
      <c r="S99" s="1266">
        <f t="shared" si="102"/>
        <v>0.6</v>
      </c>
      <c r="T99" s="1265">
        <v>0</v>
      </c>
      <c r="U99" s="1266">
        <f t="shared" si="103"/>
        <v>0.2</v>
      </c>
      <c r="V99" s="1265">
        <v>0</v>
      </c>
      <c r="W99" s="1266">
        <f t="shared" si="104"/>
        <v>0.2</v>
      </c>
      <c r="X99" s="1265">
        <v>1</v>
      </c>
      <c r="Y99" s="1266">
        <f t="shared" si="105"/>
        <v>0.2</v>
      </c>
      <c r="Z99" s="1265">
        <v>1</v>
      </c>
      <c r="AA99" s="1266">
        <f t="shared" si="106"/>
        <v>0.4</v>
      </c>
      <c r="AB99" s="1265">
        <v>0</v>
      </c>
      <c r="AC99" s="1266">
        <f t="shared" si="107"/>
        <v>0.4</v>
      </c>
      <c r="AD99" s="1265">
        <v>0</v>
      </c>
      <c r="AE99" s="1266">
        <f t="shared" si="108"/>
        <v>0.4</v>
      </c>
      <c r="AF99" s="1265">
        <v>0</v>
      </c>
      <c r="AG99" s="1266">
        <f t="shared" si="109"/>
        <v>0.4</v>
      </c>
      <c r="AH99" s="1496">
        <v>0</v>
      </c>
      <c r="AI99" s="1266">
        <f t="shared" si="110"/>
        <v>0.2</v>
      </c>
      <c r="AJ99" s="1496">
        <v>0</v>
      </c>
      <c r="AK99" s="1498">
        <f t="shared" si="111"/>
        <v>0</v>
      </c>
    </row>
    <row r="100" spans="1:37" ht="18" customHeight="1" x14ac:dyDescent="0.3">
      <c r="A100" s="552" t="s">
        <v>1150</v>
      </c>
      <c r="B100" s="1629">
        <v>46</v>
      </c>
      <c r="C100" s="1629">
        <v>66</v>
      </c>
      <c r="D100" s="1629">
        <v>67</v>
      </c>
      <c r="E100" s="1629">
        <v>74</v>
      </c>
      <c r="F100" s="1629">
        <v>65</v>
      </c>
      <c r="G100" s="1912">
        <f t="shared" si="96"/>
        <v>63.6</v>
      </c>
      <c r="H100" s="1629">
        <v>66</v>
      </c>
      <c r="I100" s="1912">
        <f t="shared" si="97"/>
        <v>67.599999999999994</v>
      </c>
      <c r="J100" s="1629">
        <v>58</v>
      </c>
      <c r="K100" s="1912">
        <f t="shared" si="98"/>
        <v>66</v>
      </c>
      <c r="L100" s="1629">
        <v>52</v>
      </c>
      <c r="M100" s="1912">
        <f t="shared" si="99"/>
        <v>63</v>
      </c>
      <c r="N100" s="1629">
        <v>48</v>
      </c>
      <c r="O100" s="1264">
        <f t="shared" si="100"/>
        <v>57.8</v>
      </c>
      <c r="P100" s="1265">
        <v>51</v>
      </c>
      <c r="Q100" s="1266">
        <f t="shared" si="101"/>
        <v>55</v>
      </c>
      <c r="R100" s="1265">
        <v>54</v>
      </c>
      <c r="S100" s="1266">
        <f t="shared" si="102"/>
        <v>52.6</v>
      </c>
      <c r="T100" s="1265">
        <v>52</v>
      </c>
      <c r="U100" s="1266">
        <f t="shared" si="103"/>
        <v>51.4</v>
      </c>
      <c r="V100" s="1265">
        <v>56</v>
      </c>
      <c r="W100" s="1266">
        <f t="shared" si="104"/>
        <v>52.2</v>
      </c>
      <c r="X100" s="1265">
        <v>65</v>
      </c>
      <c r="Y100" s="1266">
        <f t="shared" si="105"/>
        <v>55.6</v>
      </c>
      <c r="Z100" s="1265">
        <v>60</v>
      </c>
      <c r="AA100" s="1266">
        <f t="shared" si="106"/>
        <v>57.4</v>
      </c>
      <c r="AB100" s="1265">
        <v>57</v>
      </c>
      <c r="AC100" s="1266">
        <f t="shared" si="107"/>
        <v>58</v>
      </c>
      <c r="AD100" s="1265">
        <v>40</v>
      </c>
      <c r="AE100" s="1266">
        <f t="shared" si="108"/>
        <v>55.6</v>
      </c>
      <c r="AF100" s="1265">
        <v>42</v>
      </c>
      <c r="AG100" s="1266">
        <f t="shared" si="109"/>
        <v>52.8</v>
      </c>
      <c r="AH100" s="1496">
        <v>50</v>
      </c>
      <c r="AI100" s="1266">
        <f t="shared" si="110"/>
        <v>49.8</v>
      </c>
      <c r="AJ100" s="1496">
        <v>36</v>
      </c>
      <c r="AK100" s="1498">
        <f t="shared" si="111"/>
        <v>45</v>
      </c>
    </row>
    <row r="101" spans="1:37" ht="18" customHeight="1" x14ac:dyDescent="0.3">
      <c r="A101" s="552" t="s">
        <v>25</v>
      </c>
      <c r="B101" s="1629">
        <v>0</v>
      </c>
      <c r="C101" s="1629">
        <v>0</v>
      </c>
      <c r="D101" s="1629">
        <v>0</v>
      </c>
      <c r="E101" s="1629">
        <v>0</v>
      </c>
      <c r="F101" s="1629">
        <v>0</v>
      </c>
      <c r="G101" s="1912">
        <f t="shared" si="96"/>
        <v>0</v>
      </c>
      <c r="H101" s="1629">
        <v>0</v>
      </c>
      <c r="I101" s="1912">
        <f t="shared" si="97"/>
        <v>0</v>
      </c>
      <c r="J101" s="1629">
        <v>0</v>
      </c>
      <c r="K101" s="1912">
        <f t="shared" si="98"/>
        <v>0</v>
      </c>
      <c r="L101" s="1629">
        <v>15</v>
      </c>
      <c r="M101" s="1912">
        <f t="shared" si="99"/>
        <v>3</v>
      </c>
      <c r="N101" s="1629">
        <v>20</v>
      </c>
      <c r="O101" s="1264">
        <f t="shared" si="100"/>
        <v>7</v>
      </c>
      <c r="P101" s="1265">
        <v>0</v>
      </c>
      <c r="Q101" s="1266">
        <f t="shared" si="101"/>
        <v>7</v>
      </c>
      <c r="R101" s="1265">
        <v>0</v>
      </c>
      <c r="S101" s="1266">
        <f t="shared" si="102"/>
        <v>7</v>
      </c>
      <c r="T101" s="1265">
        <v>0</v>
      </c>
      <c r="U101" s="1266">
        <f t="shared" si="103"/>
        <v>7</v>
      </c>
      <c r="V101" s="1265">
        <v>0</v>
      </c>
      <c r="W101" s="1266">
        <f t="shared" si="104"/>
        <v>4</v>
      </c>
      <c r="X101" s="1265">
        <v>0</v>
      </c>
      <c r="Y101" s="1266">
        <f t="shared" si="105"/>
        <v>0</v>
      </c>
      <c r="Z101" s="1265">
        <v>0</v>
      </c>
      <c r="AA101" s="1266">
        <f t="shared" si="106"/>
        <v>0</v>
      </c>
      <c r="AB101" s="1265">
        <v>0</v>
      </c>
      <c r="AC101" s="1266">
        <f t="shared" si="107"/>
        <v>0</v>
      </c>
      <c r="AD101" s="1265">
        <v>0</v>
      </c>
      <c r="AE101" s="1266">
        <f t="shared" si="108"/>
        <v>0</v>
      </c>
      <c r="AF101" s="1265">
        <v>0</v>
      </c>
      <c r="AG101" s="1266">
        <f t="shared" si="109"/>
        <v>0</v>
      </c>
      <c r="AH101" s="1496">
        <v>0</v>
      </c>
      <c r="AI101" s="1266">
        <f t="shared" si="110"/>
        <v>0</v>
      </c>
      <c r="AJ101" s="1496">
        <v>0</v>
      </c>
      <c r="AK101" s="1498">
        <f t="shared" si="111"/>
        <v>0</v>
      </c>
    </row>
    <row r="102" spans="1:37" ht="18" customHeight="1" x14ac:dyDescent="0.3">
      <c r="A102" s="553" t="s">
        <v>1015</v>
      </c>
      <c r="B102" s="1629">
        <f>SUM(B95:B101)</f>
        <v>139</v>
      </c>
      <c r="C102" s="1629">
        <f>SUM(C95:C101)</f>
        <v>164</v>
      </c>
      <c r="D102" s="1629">
        <f>SUM(D95:D101)</f>
        <v>166</v>
      </c>
      <c r="E102" s="1629">
        <f>SUM(E95:E101)</f>
        <v>172</v>
      </c>
      <c r="F102" s="1629">
        <f>SUM(F95:F101)</f>
        <v>170</v>
      </c>
      <c r="G102" s="1912">
        <f t="shared" si="96"/>
        <v>162.19999999999999</v>
      </c>
      <c r="H102" s="1629">
        <f>SUM(H95:H101)</f>
        <v>169</v>
      </c>
      <c r="I102" s="1912">
        <f t="shared" si="97"/>
        <v>168.2</v>
      </c>
      <c r="J102" s="1629">
        <f>SUM(J95:J101)</f>
        <v>165</v>
      </c>
      <c r="K102" s="1912">
        <f t="shared" si="98"/>
        <v>168.4</v>
      </c>
      <c r="L102" s="1629">
        <f>SUM(L95:L101)</f>
        <v>147</v>
      </c>
      <c r="M102" s="1912">
        <f t="shared" si="99"/>
        <v>164.6</v>
      </c>
      <c r="N102" s="1629">
        <f>SUM(N95:N101)</f>
        <v>146</v>
      </c>
      <c r="O102" s="1264">
        <f t="shared" si="100"/>
        <v>159.4</v>
      </c>
      <c r="P102" s="1265">
        <f>SUM(P95:P101)</f>
        <v>175</v>
      </c>
      <c r="Q102" s="1266">
        <f t="shared" si="101"/>
        <v>160.4</v>
      </c>
      <c r="R102" s="1265">
        <f>SUM(R95:R101)</f>
        <v>211</v>
      </c>
      <c r="S102" s="1266">
        <f t="shared" si="102"/>
        <v>168.8</v>
      </c>
      <c r="T102" s="1265">
        <f>SUM(T95:T101)</f>
        <v>194</v>
      </c>
      <c r="U102" s="1266">
        <f t="shared" si="103"/>
        <v>174.6</v>
      </c>
      <c r="V102" s="1265">
        <f>SUM(V95:V101)</f>
        <v>225</v>
      </c>
      <c r="W102" s="1266">
        <f t="shared" si="104"/>
        <v>190.2</v>
      </c>
      <c r="X102" s="1265">
        <f>SUM(X95:X101)</f>
        <v>255</v>
      </c>
      <c r="Y102" s="1266">
        <f t="shared" si="105"/>
        <v>212</v>
      </c>
      <c r="Z102" s="1265">
        <f>SUM(Z95:Z101)</f>
        <v>302</v>
      </c>
      <c r="AA102" s="1266">
        <f t="shared" si="106"/>
        <v>237.4</v>
      </c>
      <c r="AB102" s="1265">
        <f>SUM(AB95:AB101)</f>
        <v>292</v>
      </c>
      <c r="AC102" s="1266">
        <f t="shared" si="107"/>
        <v>253.6</v>
      </c>
      <c r="AD102" s="1265">
        <f>SUM(AD95:AD101)</f>
        <v>284</v>
      </c>
      <c r="AE102" s="1266">
        <f t="shared" si="108"/>
        <v>271.60000000000002</v>
      </c>
      <c r="AF102" s="1265">
        <f>SUM(AF95:AF101)</f>
        <v>294</v>
      </c>
      <c r="AG102" s="1266">
        <f t="shared" si="109"/>
        <v>285.39999999999998</v>
      </c>
      <c r="AH102" s="1496">
        <f>SUM(AH95:AH101)</f>
        <v>280</v>
      </c>
      <c r="AI102" s="1266">
        <f t="shared" si="110"/>
        <v>290.39999999999998</v>
      </c>
      <c r="AJ102" s="1496">
        <f>SUM(AJ95:AJ101)</f>
        <v>252</v>
      </c>
      <c r="AK102" s="1498">
        <f t="shared" si="111"/>
        <v>280.39999999999998</v>
      </c>
    </row>
    <row r="103" spans="1:37" ht="18" customHeight="1" x14ac:dyDescent="0.3">
      <c r="A103" s="551" t="s">
        <v>426</v>
      </c>
      <c r="B103" s="1909"/>
      <c r="C103" s="1909"/>
      <c r="D103" s="1909"/>
      <c r="E103" s="1909"/>
      <c r="F103" s="1910"/>
      <c r="G103" s="1914"/>
      <c r="H103" s="1910"/>
      <c r="I103" s="1914"/>
      <c r="J103" s="1910"/>
      <c r="K103" s="1914"/>
      <c r="L103" s="1910"/>
      <c r="M103" s="1911"/>
      <c r="N103" s="1910"/>
      <c r="O103" s="1267"/>
      <c r="P103" s="1262"/>
      <c r="Q103" s="1262"/>
      <c r="R103" s="1262"/>
      <c r="S103" s="1262"/>
      <c r="T103" s="1262"/>
      <c r="U103" s="1262"/>
      <c r="V103" s="1262"/>
      <c r="W103" s="1262"/>
      <c r="X103" s="1262"/>
      <c r="Y103" s="1262"/>
      <c r="Z103" s="1262"/>
      <c r="AA103" s="1262"/>
      <c r="AB103" s="1262"/>
      <c r="AC103" s="1262"/>
      <c r="AD103" s="1262"/>
      <c r="AE103" s="1262"/>
      <c r="AF103" s="1262"/>
      <c r="AG103" s="1262"/>
      <c r="AH103" s="1495"/>
      <c r="AI103" s="1262"/>
      <c r="AJ103" s="1495"/>
      <c r="AK103" s="1499"/>
    </row>
    <row r="104" spans="1:37" ht="18" customHeight="1" x14ac:dyDescent="0.3">
      <c r="A104" s="552" t="s">
        <v>1101</v>
      </c>
      <c r="B104" s="1629">
        <v>59</v>
      </c>
      <c r="C104" s="1629">
        <v>37</v>
      </c>
      <c r="D104" s="1629">
        <v>55</v>
      </c>
      <c r="E104" s="1629">
        <v>61</v>
      </c>
      <c r="F104" s="1629">
        <v>74</v>
      </c>
      <c r="G104" s="1912">
        <f t="shared" ref="G104:G110" si="112">AVERAGE(B104:F104)</f>
        <v>57.2</v>
      </c>
      <c r="H104" s="1629">
        <f>72-1</f>
        <v>71</v>
      </c>
      <c r="I104" s="1912">
        <f t="shared" ref="I104:I110" si="113">(H104+F104+E104+D104+C104)/5</f>
        <v>59.6</v>
      </c>
      <c r="J104" s="1629">
        <v>56</v>
      </c>
      <c r="K104" s="1912">
        <f t="shared" ref="K104:K110" si="114">(J104+H104+F104+E104+D104)/5</f>
        <v>63.4</v>
      </c>
      <c r="L104" s="1629">
        <v>66</v>
      </c>
      <c r="M104" s="1912">
        <f t="shared" ref="M104:M110" si="115">(L104+J104+H104+F104+E104)/5</f>
        <v>65.599999999999994</v>
      </c>
      <c r="N104" s="1629">
        <v>57</v>
      </c>
      <c r="O104" s="1264">
        <f t="shared" ref="O104:O110" si="116">(+N104+L104+J104+H104+F104)/5</f>
        <v>64.8</v>
      </c>
      <c r="P104" s="1265">
        <v>92</v>
      </c>
      <c r="Q104" s="1266">
        <f t="shared" ref="Q104:Q110" si="117">(P104+N104+L104+J104+H104)/5</f>
        <v>68.400000000000006</v>
      </c>
      <c r="R104" s="1265">
        <v>83</v>
      </c>
      <c r="S104" s="1266">
        <f t="shared" ref="S104:S110" si="118">(R104+P104+N104+L104+J104)/5</f>
        <v>70.8</v>
      </c>
      <c r="T104" s="1265">
        <v>67</v>
      </c>
      <c r="U104" s="1266">
        <f t="shared" ref="U104:U110" si="119">(T104+R104+P104+N104+L104)/5</f>
        <v>73</v>
      </c>
      <c r="V104" s="1265">
        <v>55</v>
      </c>
      <c r="W104" s="1266">
        <f t="shared" ref="W104:W110" si="120">(V104+T104+R104+P104+N104)/5</f>
        <v>70.8</v>
      </c>
      <c r="X104" s="1265">
        <v>74</v>
      </c>
      <c r="Y104" s="1266">
        <f t="shared" ref="Y104:Y110" si="121">(X104+V104+T104+R104+P104)/5</f>
        <v>74.2</v>
      </c>
      <c r="Z104" s="1265">
        <v>71</v>
      </c>
      <c r="AA104" s="1266">
        <f t="shared" ref="AA104:AA110" si="122">(Z104+X104+V104+T104+R104)/5</f>
        <v>70</v>
      </c>
      <c r="AB104" s="1265">
        <v>125</v>
      </c>
      <c r="AC104" s="1266">
        <f t="shared" ref="AC104:AC110" si="123">(AB104+Z104+X104+V104+T104)/5</f>
        <v>78.400000000000006</v>
      </c>
      <c r="AD104" s="1265">
        <v>141</v>
      </c>
      <c r="AE104" s="1266">
        <f t="shared" ref="AE104:AE110" si="124">(AD104+AB104+Z104+X104+V104)/5</f>
        <v>93.2</v>
      </c>
      <c r="AF104" s="1265">
        <v>141</v>
      </c>
      <c r="AG104" s="1266">
        <f t="shared" ref="AG104:AG110" si="125">(AF104+AD104+AB104+Z104+X104)/5</f>
        <v>110.4</v>
      </c>
      <c r="AH104" s="1496">
        <v>145</v>
      </c>
      <c r="AI104" s="1266">
        <f t="shared" ref="AI104:AI110" si="126">(AH104+AF104+AD104+AB104+Z104)/5</f>
        <v>124.6</v>
      </c>
      <c r="AJ104" s="1496">
        <v>140</v>
      </c>
      <c r="AK104" s="1498">
        <f t="shared" ref="AK104:AK110" si="127">(AJ104+AH104+AF104+AD104+AB104)/5</f>
        <v>138.4</v>
      </c>
    </row>
    <row r="105" spans="1:37" ht="18" customHeight="1" x14ac:dyDescent="0.3">
      <c r="A105" s="552" t="s">
        <v>1134</v>
      </c>
      <c r="B105" s="1629">
        <v>0</v>
      </c>
      <c r="C105" s="1629">
        <v>0</v>
      </c>
      <c r="D105" s="1629">
        <v>0</v>
      </c>
      <c r="E105" s="1629">
        <v>0</v>
      </c>
      <c r="F105" s="1629">
        <v>0</v>
      </c>
      <c r="G105" s="1912">
        <f t="shared" si="112"/>
        <v>0</v>
      </c>
      <c r="H105" s="1629">
        <v>0</v>
      </c>
      <c r="I105" s="1912">
        <f t="shared" si="113"/>
        <v>0</v>
      </c>
      <c r="J105" s="1629">
        <v>0</v>
      </c>
      <c r="K105" s="1912">
        <f t="shared" si="114"/>
        <v>0</v>
      </c>
      <c r="L105" s="1629">
        <v>2</v>
      </c>
      <c r="M105" s="1912">
        <f t="shared" si="115"/>
        <v>0.4</v>
      </c>
      <c r="N105" s="1629">
        <v>4</v>
      </c>
      <c r="O105" s="1264">
        <f t="shared" si="116"/>
        <v>1.2</v>
      </c>
      <c r="P105" s="1265">
        <v>4</v>
      </c>
      <c r="Q105" s="1266">
        <f t="shared" si="117"/>
        <v>2</v>
      </c>
      <c r="R105" s="1265">
        <v>3</v>
      </c>
      <c r="S105" s="1266">
        <f t="shared" si="118"/>
        <v>2.6</v>
      </c>
      <c r="T105" s="1265">
        <v>5</v>
      </c>
      <c r="U105" s="1266">
        <f t="shared" si="119"/>
        <v>3.6</v>
      </c>
      <c r="V105" s="1265">
        <v>8</v>
      </c>
      <c r="W105" s="1266">
        <f t="shared" si="120"/>
        <v>4.8</v>
      </c>
      <c r="X105" s="1265">
        <v>7</v>
      </c>
      <c r="Y105" s="1266">
        <f t="shared" si="121"/>
        <v>5.4</v>
      </c>
      <c r="Z105" s="1265">
        <v>12</v>
      </c>
      <c r="AA105" s="1266">
        <f t="shared" si="122"/>
        <v>7</v>
      </c>
      <c r="AB105" s="1265">
        <v>8</v>
      </c>
      <c r="AC105" s="1266">
        <f t="shared" si="123"/>
        <v>8</v>
      </c>
      <c r="AD105" s="1265">
        <v>2</v>
      </c>
      <c r="AE105" s="1266">
        <f t="shared" si="124"/>
        <v>7.4</v>
      </c>
      <c r="AF105" s="1265">
        <v>1</v>
      </c>
      <c r="AG105" s="1266">
        <f t="shared" si="125"/>
        <v>6</v>
      </c>
      <c r="AH105" s="1496">
        <v>0</v>
      </c>
      <c r="AI105" s="1266">
        <f t="shared" si="126"/>
        <v>4.5999999999999996</v>
      </c>
      <c r="AJ105" s="1496">
        <v>0</v>
      </c>
      <c r="AK105" s="1498">
        <f t="shared" si="127"/>
        <v>2.2000000000000002</v>
      </c>
    </row>
    <row r="106" spans="1:37" ht="18" customHeight="1" x14ac:dyDescent="0.3">
      <c r="A106" s="552" t="s">
        <v>393</v>
      </c>
      <c r="B106" s="1629">
        <v>0</v>
      </c>
      <c r="C106" s="1629">
        <v>0</v>
      </c>
      <c r="D106" s="1629">
        <v>0</v>
      </c>
      <c r="E106" s="1629">
        <v>4</v>
      </c>
      <c r="F106" s="1629">
        <v>3</v>
      </c>
      <c r="G106" s="1912">
        <f t="shared" si="112"/>
        <v>1.4</v>
      </c>
      <c r="H106" s="1629">
        <v>6</v>
      </c>
      <c r="I106" s="1912">
        <f t="shared" si="113"/>
        <v>2.6</v>
      </c>
      <c r="J106" s="1629">
        <v>4</v>
      </c>
      <c r="K106" s="1912">
        <f t="shared" si="114"/>
        <v>3.4</v>
      </c>
      <c r="L106" s="1629">
        <v>1</v>
      </c>
      <c r="M106" s="1912">
        <f t="shared" si="115"/>
        <v>3.6</v>
      </c>
      <c r="N106" s="1629">
        <v>6</v>
      </c>
      <c r="O106" s="1264">
        <f t="shared" si="116"/>
        <v>4</v>
      </c>
      <c r="P106" s="1265">
        <v>22</v>
      </c>
      <c r="Q106" s="1266">
        <f t="shared" si="117"/>
        <v>7.8</v>
      </c>
      <c r="R106" s="1265">
        <v>4</v>
      </c>
      <c r="S106" s="1266">
        <f t="shared" si="118"/>
        <v>7.4</v>
      </c>
      <c r="T106" s="1265">
        <v>0</v>
      </c>
      <c r="U106" s="1266">
        <f t="shared" si="119"/>
        <v>6.6</v>
      </c>
      <c r="V106" s="1265">
        <v>3</v>
      </c>
      <c r="W106" s="1266">
        <f t="shared" si="120"/>
        <v>7</v>
      </c>
      <c r="X106" s="1265">
        <v>0</v>
      </c>
      <c r="Y106" s="1266">
        <f t="shared" si="121"/>
        <v>5.8</v>
      </c>
      <c r="Z106" s="1265">
        <v>0</v>
      </c>
      <c r="AA106" s="1266">
        <f t="shared" si="122"/>
        <v>1.4</v>
      </c>
      <c r="AB106" s="1265">
        <v>1</v>
      </c>
      <c r="AC106" s="1266">
        <f t="shared" si="123"/>
        <v>0.8</v>
      </c>
      <c r="AD106" s="1265">
        <v>0</v>
      </c>
      <c r="AE106" s="1266">
        <f t="shared" si="124"/>
        <v>0.8</v>
      </c>
      <c r="AF106" s="1265">
        <v>0</v>
      </c>
      <c r="AG106" s="1266">
        <f t="shared" si="125"/>
        <v>0.2</v>
      </c>
      <c r="AH106" s="1496">
        <v>0</v>
      </c>
      <c r="AI106" s="1266">
        <f t="shared" si="126"/>
        <v>0.2</v>
      </c>
      <c r="AJ106" s="1496">
        <v>0</v>
      </c>
      <c r="AK106" s="1498">
        <f t="shared" si="127"/>
        <v>0.2</v>
      </c>
    </row>
    <row r="107" spans="1:37" ht="18" customHeight="1" x14ac:dyDescent="0.3">
      <c r="A107" s="552" t="s">
        <v>1103</v>
      </c>
      <c r="B107" s="1629">
        <v>63</v>
      </c>
      <c r="C107" s="1629">
        <v>66</v>
      </c>
      <c r="D107" s="1629">
        <v>58</v>
      </c>
      <c r="E107" s="1629">
        <v>66</v>
      </c>
      <c r="F107" s="1629">
        <v>50</v>
      </c>
      <c r="G107" s="1912">
        <f t="shared" si="112"/>
        <v>60.6</v>
      </c>
      <c r="H107" s="1629">
        <v>54</v>
      </c>
      <c r="I107" s="1912">
        <f t="shared" si="113"/>
        <v>58.8</v>
      </c>
      <c r="J107" s="1629">
        <v>46</v>
      </c>
      <c r="K107" s="1912">
        <f t="shared" si="114"/>
        <v>54.8</v>
      </c>
      <c r="L107" s="1629">
        <v>64</v>
      </c>
      <c r="M107" s="1912">
        <f t="shared" si="115"/>
        <v>56</v>
      </c>
      <c r="N107" s="1629">
        <v>55</v>
      </c>
      <c r="O107" s="1264">
        <f t="shared" si="116"/>
        <v>53.8</v>
      </c>
      <c r="P107" s="1265">
        <v>31</v>
      </c>
      <c r="Q107" s="1266">
        <f t="shared" si="117"/>
        <v>50</v>
      </c>
      <c r="R107" s="1265">
        <v>60</v>
      </c>
      <c r="S107" s="1266">
        <f t="shared" si="118"/>
        <v>51.2</v>
      </c>
      <c r="T107" s="1265">
        <v>52</v>
      </c>
      <c r="U107" s="1266">
        <f t="shared" si="119"/>
        <v>52.4</v>
      </c>
      <c r="V107" s="1265">
        <v>60</v>
      </c>
      <c r="W107" s="1266">
        <f t="shared" si="120"/>
        <v>51.6</v>
      </c>
      <c r="X107" s="1265">
        <v>62</v>
      </c>
      <c r="Y107" s="1266">
        <f t="shared" si="121"/>
        <v>53</v>
      </c>
      <c r="Z107" s="1265">
        <v>95</v>
      </c>
      <c r="AA107" s="1266">
        <f t="shared" si="122"/>
        <v>65.8</v>
      </c>
      <c r="AB107" s="1265">
        <v>51</v>
      </c>
      <c r="AC107" s="1266">
        <f t="shared" si="123"/>
        <v>64</v>
      </c>
      <c r="AD107" s="1265">
        <v>20</v>
      </c>
      <c r="AE107" s="1266">
        <f t="shared" si="124"/>
        <v>57.6</v>
      </c>
      <c r="AF107" s="1265">
        <v>7</v>
      </c>
      <c r="AG107" s="1266">
        <f t="shared" si="125"/>
        <v>47</v>
      </c>
      <c r="AH107" s="1496">
        <v>0</v>
      </c>
      <c r="AI107" s="1266">
        <f t="shared" si="126"/>
        <v>34.6</v>
      </c>
      <c r="AJ107" s="1496">
        <v>1</v>
      </c>
      <c r="AK107" s="1498">
        <f t="shared" si="127"/>
        <v>15.8</v>
      </c>
    </row>
    <row r="108" spans="1:37" ht="18" customHeight="1" x14ac:dyDescent="0.3">
      <c r="A108" s="552" t="s">
        <v>394</v>
      </c>
      <c r="B108" s="1629">
        <v>9</v>
      </c>
      <c r="C108" s="1629">
        <v>12</v>
      </c>
      <c r="D108" s="1629">
        <v>11</v>
      </c>
      <c r="E108" s="1629">
        <v>12</v>
      </c>
      <c r="F108" s="1629">
        <v>6</v>
      </c>
      <c r="G108" s="1912">
        <f t="shared" si="112"/>
        <v>10</v>
      </c>
      <c r="H108" s="1629">
        <v>15</v>
      </c>
      <c r="I108" s="1912">
        <f t="shared" si="113"/>
        <v>11.2</v>
      </c>
      <c r="J108" s="1629">
        <v>17</v>
      </c>
      <c r="K108" s="1912">
        <f t="shared" si="114"/>
        <v>12.2</v>
      </c>
      <c r="L108" s="1629">
        <v>25</v>
      </c>
      <c r="M108" s="1912">
        <f t="shared" si="115"/>
        <v>15</v>
      </c>
      <c r="N108" s="1629">
        <v>25</v>
      </c>
      <c r="O108" s="1264">
        <f t="shared" si="116"/>
        <v>17.600000000000001</v>
      </c>
      <c r="P108" s="1265">
        <v>8</v>
      </c>
      <c r="Q108" s="1266">
        <f t="shared" si="117"/>
        <v>18</v>
      </c>
      <c r="R108" s="1265">
        <v>30</v>
      </c>
      <c r="S108" s="1266">
        <f t="shared" si="118"/>
        <v>21</v>
      </c>
      <c r="T108" s="1265">
        <v>21</v>
      </c>
      <c r="U108" s="1266">
        <f t="shared" si="119"/>
        <v>21.8</v>
      </c>
      <c r="V108" s="1265">
        <v>13</v>
      </c>
      <c r="W108" s="1266">
        <f t="shared" si="120"/>
        <v>19.399999999999999</v>
      </c>
      <c r="X108" s="1265">
        <v>8</v>
      </c>
      <c r="Y108" s="1266">
        <f t="shared" si="121"/>
        <v>16</v>
      </c>
      <c r="Z108" s="1265">
        <v>0</v>
      </c>
      <c r="AA108" s="1266">
        <f t="shared" si="122"/>
        <v>14.4</v>
      </c>
      <c r="AB108" s="1265">
        <v>0</v>
      </c>
      <c r="AC108" s="1266">
        <f t="shared" si="123"/>
        <v>8.4</v>
      </c>
      <c r="AD108" s="1265">
        <v>0</v>
      </c>
      <c r="AE108" s="1266">
        <f t="shared" si="124"/>
        <v>4.2</v>
      </c>
      <c r="AF108" s="1265">
        <v>0</v>
      </c>
      <c r="AG108" s="1266">
        <f t="shared" si="125"/>
        <v>1.6</v>
      </c>
      <c r="AH108" s="1496">
        <v>0</v>
      </c>
      <c r="AI108" s="1266">
        <f t="shared" si="126"/>
        <v>0</v>
      </c>
      <c r="AJ108" s="1496">
        <v>0</v>
      </c>
      <c r="AK108" s="1498">
        <f t="shared" si="127"/>
        <v>0</v>
      </c>
    </row>
    <row r="109" spans="1:37" ht="18" customHeight="1" x14ac:dyDescent="0.3">
      <c r="A109" s="553" t="s">
        <v>1015</v>
      </c>
      <c r="B109" s="1629">
        <f>SUM(B104:B108)</f>
        <v>131</v>
      </c>
      <c r="C109" s="1629">
        <f>SUM(C104:C108)</f>
        <v>115</v>
      </c>
      <c r="D109" s="1629">
        <f>SUM(D104:D108)</f>
        <v>124</v>
      </c>
      <c r="E109" s="1629">
        <f>SUM(E104:E108)</f>
        <v>143</v>
      </c>
      <c r="F109" s="1629">
        <f>SUM(F104:F108)</f>
        <v>133</v>
      </c>
      <c r="G109" s="1912">
        <f t="shared" si="112"/>
        <v>129.19999999999999</v>
      </c>
      <c r="H109" s="1629">
        <f>SUM(H104:H108)</f>
        <v>146</v>
      </c>
      <c r="I109" s="1912">
        <f t="shared" si="113"/>
        <v>132.19999999999999</v>
      </c>
      <c r="J109" s="1629">
        <f>SUM(J104:J108)</f>
        <v>123</v>
      </c>
      <c r="K109" s="1912">
        <f t="shared" si="114"/>
        <v>133.80000000000001</v>
      </c>
      <c r="L109" s="1629">
        <f>SUM(L104:L108)</f>
        <v>158</v>
      </c>
      <c r="M109" s="1912">
        <f t="shared" si="115"/>
        <v>140.6</v>
      </c>
      <c r="N109" s="1629">
        <f>SUM(N104:N108)</f>
        <v>147</v>
      </c>
      <c r="O109" s="1264">
        <f t="shared" si="116"/>
        <v>141.4</v>
      </c>
      <c r="P109" s="1265">
        <f>SUM(P104:P108)</f>
        <v>157</v>
      </c>
      <c r="Q109" s="1266">
        <f t="shared" si="117"/>
        <v>146.19999999999999</v>
      </c>
      <c r="R109" s="1265">
        <f>SUM(R104:R108)</f>
        <v>180</v>
      </c>
      <c r="S109" s="1266">
        <f t="shared" si="118"/>
        <v>153</v>
      </c>
      <c r="T109" s="1265">
        <f>SUM(T104:T108)</f>
        <v>145</v>
      </c>
      <c r="U109" s="1266">
        <f t="shared" si="119"/>
        <v>157.4</v>
      </c>
      <c r="V109" s="1265">
        <f>SUM(V104:V108)</f>
        <v>139</v>
      </c>
      <c r="W109" s="1266">
        <f t="shared" si="120"/>
        <v>153.6</v>
      </c>
      <c r="X109" s="1265">
        <f>SUM(X104:X108)</f>
        <v>151</v>
      </c>
      <c r="Y109" s="1266">
        <f t="shared" si="121"/>
        <v>154.4</v>
      </c>
      <c r="Z109" s="1265">
        <f>SUM(Z104:Z108)</f>
        <v>178</v>
      </c>
      <c r="AA109" s="1266">
        <f t="shared" si="122"/>
        <v>158.6</v>
      </c>
      <c r="AB109" s="1265">
        <f>SUM(AB104:AB108)</f>
        <v>185</v>
      </c>
      <c r="AC109" s="1266">
        <f t="shared" si="123"/>
        <v>159.6</v>
      </c>
      <c r="AD109" s="1265">
        <f>SUM(AD104:AD108)</f>
        <v>163</v>
      </c>
      <c r="AE109" s="1266">
        <f t="shared" si="124"/>
        <v>163.19999999999999</v>
      </c>
      <c r="AF109" s="1265">
        <f>SUM(AF104:AF108)</f>
        <v>149</v>
      </c>
      <c r="AG109" s="1266">
        <f t="shared" si="125"/>
        <v>165.2</v>
      </c>
      <c r="AH109" s="1496">
        <f>SUM(AH104:AH108)</f>
        <v>145</v>
      </c>
      <c r="AI109" s="1266">
        <f t="shared" si="126"/>
        <v>164</v>
      </c>
      <c r="AJ109" s="1496">
        <f>SUM(AJ104:AJ108)</f>
        <v>141</v>
      </c>
      <c r="AK109" s="1498">
        <f t="shared" si="127"/>
        <v>156.6</v>
      </c>
    </row>
    <row r="110" spans="1:37" ht="18" customHeight="1" thickBot="1" x14ac:dyDescent="0.35">
      <c r="A110" s="562" t="s">
        <v>427</v>
      </c>
      <c r="B110" s="563">
        <f>+B109+B102+B93</f>
        <v>831</v>
      </c>
      <c r="C110" s="563">
        <f>+C109+C102+C93</f>
        <v>849</v>
      </c>
      <c r="D110" s="563">
        <f>+D109+D102+D93</f>
        <v>752</v>
      </c>
      <c r="E110" s="563">
        <f>+E109+E102+E93</f>
        <v>1008</v>
      </c>
      <c r="F110" s="563">
        <f>+F109+F102+F93</f>
        <v>1095</v>
      </c>
      <c r="G110" s="1915">
        <f t="shared" si="112"/>
        <v>907</v>
      </c>
      <c r="H110" s="563">
        <f>+H109+H102+H93</f>
        <v>873</v>
      </c>
      <c r="I110" s="1915">
        <f t="shared" si="113"/>
        <v>915.4</v>
      </c>
      <c r="J110" s="563">
        <f>+J109+J102+J93</f>
        <v>1000</v>
      </c>
      <c r="K110" s="1915">
        <f t="shared" si="114"/>
        <v>945.6</v>
      </c>
      <c r="L110" s="563">
        <f>+L109+L102+L93</f>
        <v>998</v>
      </c>
      <c r="M110" s="1915">
        <f t="shared" si="115"/>
        <v>994.8</v>
      </c>
      <c r="N110" s="563">
        <f>+N109+N102+N93</f>
        <v>850</v>
      </c>
      <c r="O110" s="1916">
        <f t="shared" si="116"/>
        <v>963.2</v>
      </c>
      <c r="P110" s="577">
        <f>+P109+P102+P93</f>
        <v>789</v>
      </c>
      <c r="Q110" s="665">
        <f t="shared" si="117"/>
        <v>902</v>
      </c>
      <c r="R110" s="577">
        <f>+R109+R102+R93</f>
        <v>777</v>
      </c>
      <c r="S110" s="665">
        <f t="shared" si="118"/>
        <v>882.8</v>
      </c>
      <c r="T110" s="577">
        <f>+T109+T102+T93</f>
        <v>720</v>
      </c>
      <c r="U110" s="665">
        <f t="shared" si="119"/>
        <v>826.8</v>
      </c>
      <c r="V110" s="577">
        <f>+V109+V102+V93</f>
        <v>776</v>
      </c>
      <c r="W110" s="665">
        <f t="shared" si="120"/>
        <v>782.4</v>
      </c>
      <c r="X110" s="577">
        <f>+X109+X102+X93</f>
        <v>847</v>
      </c>
      <c r="Y110" s="665">
        <f t="shared" si="121"/>
        <v>781.8</v>
      </c>
      <c r="Z110" s="577">
        <f>+Z109+Z102+Z93</f>
        <v>893</v>
      </c>
      <c r="AA110" s="665">
        <f t="shared" si="122"/>
        <v>802.6</v>
      </c>
      <c r="AB110" s="577">
        <f>+AB109+AB102+AB93</f>
        <v>846</v>
      </c>
      <c r="AC110" s="665">
        <f t="shared" si="123"/>
        <v>816.4</v>
      </c>
      <c r="AD110" s="577">
        <f>+AD109+AD102+AD93</f>
        <v>845</v>
      </c>
      <c r="AE110" s="665">
        <f t="shared" si="124"/>
        <v>841.4</v>
      </c>
      <c r="AF110" s="577">
        <f>+AF109+AF102+AF93</f>
        <v>830</v>
      </c>
      <c r="AG110" s="665">
        <f t="shared" si="125"/>
        <v>852.2</v>
      </c>
      <c r="AH110" s="563">
        <f>+AH109+AH102+AH93</f>
        <v>781</v>
      </c>
      <c r="AI110" s="665">
        <f t="shared" si="126"/>
        <v>839</v>
      </c>
      <c r="AJ110" s="563">
        <f>+AJ109+AJ102+AJ93</f>
        <v>746</v>
      </c>
      <c r="AK110" s="1917">
        <f t="shared" si="127"/>
        <v>809.6</v>
      </c>
    </row>
    <row r="111" spans="1:37" ht="20.25" customHeight="1" thickBot="1" x14ac:dyDescent="0.35">
      <c r="A111" s="2134" t="s">
        <v>428</v>
      </c>
      <c r="B111" s="2135"/>
      <c r="C111" s="2135"/>
      <c r="D111" s="2135"/>
      <c r="E111" s="2135"/>
      <c r="F111" s="2135"/>
      <c r="G111" s="2135"/>
      <c r="H111" s="2135"/>
      <c r="I111" s="2135"/>
      <c r="J111" s="2135"/>
      <c r="K111" s="2135"/>
      <c r="L111" s="2135"/>
      <c r="M111" s="2135"/>
      <c r="N111" s="2135"/>
      <c r="O111" s="2135"/>
      <c r="P111" s="2135"/>
      <c r="Q111" s="2135"/>
      <c r="R111" s="2135"/>
      <c r="S111" s="2135"/>
      <c r="T111" s="2135"/>
      <c r="U111" s="2135"/>
      <c r="V111" s="2135"/>
      <c r="W111" s="2135"/>
      <c r="X111" s="2135"/>
      <c r="Y111" s="2135"/>
      <c r="Z111" s="2135"/>
      <c r="AA111" s="2135"/>
      <c r="AB111" s="2135"/>
      <c r="AC111" s="2135"/>
      <c r="AD111" s="2135"/>
      <c r="AE111" s="2135"/>
      <c r="AF111" s="2135"/>
      <c r="AG111" s="2135"/>
      <c r="AH111" s="2135"/>
      <c r="AI111" s="2135"/>
      <c r="AJ111" s="2135"/>
      <c r="AK111" s="2136"/>
    </row>
    <row r="112" spans="1:37" ht="20.25" customHeight="1" x14ac:dyDescent="0.3">
      <c r="A112" s="549" t="s">
        <v>410</v>
      </c>
      <c r="B112" s="1906">
        <v>1996</v>
      </c>
      <c r="C112" s="1906">
        <v>1997</v>
      </c>
      <c r="D112" s="1906">
        <v>1998</v>
      </c>
      <c r="E112" s="1906">
        <v>1999</v>
      </c>
      <c r="F112" s="1907">
        <v>2000</v>
      </c>
      <c r="G112" s="1908" t="s">
        <v>387</v>
      </c>
      <c r="H112" s="1832">
        <f>F112+1</f>
        <v>2001</v>
      </c>
      <c r="I112" s="1908" t="s">
        <v>387</v>
      </c>
      <c r="J112" s="1832">
        <f>+H112+1</f>
        <v>2002</v>
      </c>
      <c r="K112" s="1908" t="s">
        <v>387</v>
      </c>
      <c r="L112" s="1832">
        <f>J112+1</f>
        <v>2003</v>
      </c>
      <c r="M112" s="1908" t="s">
        <v>387</v>
      </c>
      <c r="N112" s="1832">
        <f>L112+1</f>
        <v>2004</v>
      </c>
      <c r="O112" s="1272" t="s">
        <v>387</v>
      </c>
      <c r="P112" s="1907">
        <f>N112+1</f>
        <v>2005</v>
      </c>
      <c r="Q112" s="1918" t="s">
        <v>387</v>
      </c>
      <c r="R112" s="1907">
        <f>P112+1</f>
        <v>2006</v>
      </c>
      <c r="S112" s="1918" t="s">
        <v>387</v>
      </c>
      <c r="T112" s="1907">
        <f>R112+1</f>
        <v>2007</v>
      </c>
      <c r="U112" s="1918" t="s">
        <v>387</v>
      </c>
      <c r="V112" s="1907">
        <f>T112+1</f>
        <v>2008</v>
      </c>
      <c r="W112" s="1918" t="s">
        <v>387</v>
      </c>
      <c r="X112" s="1907">
        <f>V112+1</f>
        <v>2009</v>
      </c>
      <c r="Y112" s="1918" t="s">
        <v>387</v>
      </c>
      <c r="Z112" s="1907">
        <f>X112+1</f>
        <v>2010</v>
      </c>
      <c r="AA112" s="1918" t="s">
        <v>387</v>
      </c>
      <c r="AB112" s="1907">
        <f>Z112+1</f>
        <v>2011</v>
      </c>
      <c r="AC112" s="1918" t="s">
        <v>387</v>
      </c>
      <c r="AD112" s="1907">
        <f>AB112+1</f>
        <v>2012</v>
      </c>
      <c r="AE112" s="1918" t="s">
        <v>387</v>
      </c>
      <c r="AF112" s="1907">
        <f>AD112+1</f>
        <v>2013</v>
      </c>
      <c r="AG112" s="1918" t="s">
        <v>387</v>
      </c>
      <c r="AH112" s="1924">
        <f>AF112+1</f>
        <v>2014</v>
      </c>
      <c r="AI112" s="1933" t="s">
        <v>387</v>
      </c>
      <c r="AJ112" s="1832">
        <f>AH112+1</f>
        <v>2015</v>
      </c>
      <c r="AK112" s="661" t="s">
        <v>387</v>
      </c>
    </row>
    <row r="113" spans="1:37" ht="18" customHeight="1" x14ac:dyDescent="0.3">
      <c r="A113" s="1491" t="s">
        <v>1638</v>
      </c>
      <c r="B113" s="1509"/>
      <c r="C113" s="1509"/>
      <c r="D113" s="1509"/>
      <c r="E113" s="1509"/>
      <c r="F113" s="1262"/>
      <c r="G113" s="1263"/>
      <c r="H113" s="1262"/>
      <c r="I113" s="1500"/>
      <c r="J113" s="1495"/>
      <c r="K113" s="1500"/>
      <c r="L113" s="1495"/>
      <c r="M113" s="1500"/>
      <c r="N113" s="1495"/>
      <c r="O113" s="1273"/>
      <c r="P113" s="1262"/>
      <c r="Q113" s="1262"/>
      <c r="R113" s="1262"/>
      <c r="S113" s="1262"/>
      <c r="T113" s="1262"/>
      <c r="U113" s="1262"/>
      <c r="V113" s="1262"/>
      <c r="W113" s="1262"/>
      <c r="X113" s="1262"/>
      <c r="Y113" s="1262"/>
      <c r="Z113" s="1262"/>
      <c r="AA113" s="1262"/>
      <c r="AB113" s="1262"/>
      <c r="AC113" s="1262"/>
      <c r="AD113" s="1262"/>
      <c r="AE113" s="1262"/>
      <c r="AF113" s="1262"/>
      <c r="AG113" s="1262"/>
      <c r="AH113" s="1925"/>
      <c r="AI113" s="1262"/>
      <c r="AJ113" s="1495"/>
      <c r="AK113" s="1499"/>
    </row>
    <row r="114" spans="1:37" ht="18" customHeight="1" x14ac:dyDescent="0.3">
      <c r="A114" s="552" t="s">
        <v>1151</v>
      </c>
      <c r="B114" s="1629">
        <v>98</v>
      </c>
      <c r="C114" s="1629">
        <v>101</v>
      </c>
      <c r="D114" s="1629">
        <v>108</v>
      </c>
      <c r="E114" s="1629">
        <v>110</v>
      </c>
      <c r="F114" s="1629">
        <v>104</v>
      </c>
      <c r="G114" s="1912">
        <f t="shared" ref="G114:G121" si="128">AVERAGE(B114:F114)</f>
        <v>104.2</v>
      </c>
      <c r="H114" s="1629">
        <v>83</v>
      </c>
      <c r="I114" s="1912">
        <f t="shared" ref="I114:I121" si="129">(H114+F114+E114+D114+C114)/5</f>
        <v>101.2</v>
      </c>
      <c r="J114" s="1629">
        <v>76</v>
      </c>
      <c r="K114" s="1912">
        <f t="shared" ref="K114:K121" si="130">(J114+H114+F114+E114+D114)/5</f>
        <v>96.2</v>
      </c>
      <c r="L114" s="1629">
        <v>98</v>
      </c>
      <c r="M114" s="1912">
        <f t="shared" ref="M114:M121" si="131">(L114+J114+H114+F114+E114)/5</f>
        <v>94.2</v>
      </c>
      <c r="N114" s="1629">
        <v>101</v>
      </c>
      <c r="O114" s="1264">
        <f t="shared" ref="O114:O121" si="132">(+N114+L114+J114+H114+F114)/5</f>
        <v>92.4</v>
      </c>
      <c r="P114" s="1265">
        <v>84</v>
      </c>
      <c r="Q114" s="1266">
        <f t="shared" ref="Q114:Q121" si="133">(P114+N114+L114+J114+H114)/5</f>
        <v>88.4</v>
      </c>
      <c r="R114" s="1265">
        <v>75</v>
      </c>
      <c r="S114" s="1266">
        <f t="shared" ref="S114:S121" si="134">(R114+P114+N114+L114+J114)/5</f>
        <v>86.8</v>
      </c>
      <c r="T114" s="1265">
        <v>65</v>
      </c>
      <c r="U114" s="1266">
        <f t="shared" ref="U114:U121" si="135">(T114+R114+P114+N114+L114)/5</f>
        <v>84.6</v>
      </c>
      <c r="V114" s="1265">
        <v>97</v>
      </c>
      <c r="W114" s="1266">
        <f t="shared" ref="W114:W121" si="136">(V114+T114+R114+P114+N114)/5</f>
        <v>84.4</v>
      </c>
      <c r="X114" s="1265">
        <v>96</v>
      </c>
      <c r="Y114" s="1266">
        <f t="shared" ref="Y114:Y121" si="137">(X114+V114+T114+R114+P114)/5</f>
        <v>83.4</v>
      </c>
      <c r="Z114" s="1265">
        <v>92</v>
      </c>
      <c r="AA114" s="1266">
        <f t="shared" ref="AA114:AA121" si="138">(Z114+X114+V114+T114+R114)/5</f>
        <v>85</v>
      </c>
      <c r="AB114" s="1265">
        <v>84</v>
      </c>
      <c r="AC114" s="1266">
        <f t="shared" ref="AC114:AC121" si="139">(AB114+Z114+X114+V114+T114)/5</f>
        <v>86.8</v>
      </c>
      <c r="AD114" s="1265">
        <v>101</v>
      </c>
      <c r="AE114" s="1266">
        <f t="shared" ref="AE114:AE121" si="140">(AD114+AB114+Z114+X114+V114)/5</f>
        <v>94</v>
      </c>
      <c r="AF114" s="1265">
        <v>89</v>
      </c>
      <c r="AG114" s="1266">
        <f t="shared" ref="AG114:AG121" si="141">(AF114+AD114+AB114+Z114+X114)/5</f>
        <v>92.4</v>
      </c>
      <c r="AH114" s="1926">
        <v>78</v>
      </c>
      <c r="AI114" s="1266">
        <f t="shared" ref="AI114:AI121" si="142">(AH114+AF114+AD114+AB114+Z114)/5</f>
        <v>88.8</v>
      </c>
      <c r="AJ114" s="1496">
        <v>84</v>
      </c>
      <c r="AK114" s="1498">
        <f t="shared" ref="AK114:AK121" si="143">(AJ114+AH114+AF114+AD114+AB114)/5</f>
        <v>87.2</v>
      </c>
    </row>
    <row r="115" spans="1:37" ht="18" customHeight="1" x14ac:dyDescent="0.3">
      <c r="A115" s="552" t="s">
        <v>1156</v>
      </c>
      <c r="B115" s="1629">
        <v>43</v>
      </c>
      <c r="C115" s="1629">
        <v>44</v>
      </c>
      <c r="D115" s="1629">
        <v>43</v>
      </c>
      <c r="E115" s="1629">
        <v>44</v>
      </c>
      <c r="F115" s="1629">
        <v>53</v>
      </c>
      <c r="G115" s="1912">
        <f t="shared" si="128"/>
        <v>45.4</v>
      </c>
      <c r="H115" s="1629">
        <v>55</v>
      </c>
      <c r="I115" s="1912">
        <f t="shared" si="129"/>
        <v>47.8</v>
      </c>
      <c r="J115" s="1629">
        <v>55</v>
      </c>
      <c r="K115" s="1912">
        <f t="shared" si="130"/>
        <v>50</v>
      </c>
      <c r="L115" s="1629">
        <v>44</v>
      </c>
      <c r="M115" s="1912">
        <f t="shared" si="131"/>
        <v>50.2</v>
      </c>
      <c r="N115" s="1629">
        <v>37</v>
      </c>
      <c r="O115" s="1264">
        <f t="shared" si="132"/>
        <v>48.8</v>
      </c>
      <c r="P115" s="1265">
        <v>22</v>
      </c>
      <c r="Q115" s="1266">
        <f t="shared" si="133"/>
        <v>42.6</v>
      </c>
      <c r="R115" s="1265">
        <v>29</v>
      </c>
      <c r="S115" s="1266">
        <f t="shared" si="134"/>
        <v>37.4</v>
      </c>
      <c r="T115" s="1265">
        <v>26</v>
      </c>
      <c r="U115" s="1266">
        <f t="shared" si="135"/>
        <v>31.6</v>
      </c>
      <c r="V115" s="1265">
        <v>38</v>
      </c>
      <c r="W115" s="1266">
        <f t="shared" si="136"/>
        <v>30.4</v>
      </c>
      <c r="X115" s="1265">
        <v>35</v>
      </c>
      <c r="Y115" s="1266">
        <f t="shared" si="137"/>
        <v>30</v>
      </c>
      <c r="Z115" s="1265">
        <v>39</v>
      </c>
      <c r="AA115" s="1266">
        <f t="shared" si="138"/>
        <v>33.4</v>
      </c>
      <c r="AB115" s="1265">
        <v>32</v>
      </c>
      <c r="AC115" s="1266">
        <f t="shared" si="139"/>
        <v>34</v>
      </c>
      <c r="AD115" s="1265">
        <v>32</v>
      </c>
      <c r="AE115" s="1266">
        <f t="shared" si="140"/>
        <v>35.200000000000003</v>
      </c>
      <c r="AF115" s="1265">
        <v>39</v>
      </c>
      <c r="AG115" s="1266">
        <f t="shared" si="141"/>
        <v>35.4</v>
      </c>
      <c r="AH115" s="1926">
        <v>34</v>
      </c>
      <c r="AI115" s="1266">
        <f t="shared" si="142"/>
        <v>35.200000000000003</v>
      </c>
      <c r="AJ115" s="1496">
        <v>24</v>
      </c>
      <c r="AK115" s="1498">
        <f t="shared" si="143"/>
        <v>32.200000000000003</v>
      </c>
    </row>
    <row r="116" spans="1:37" ht="18" customHeight="1" x14ac:dyDescent="0.3">
      <c r="A116" s="552" t="s">
        <v>1740</v>
      </c>
      <c r="B116" s="1629">
        <v>0</v>
      </c>
      <c r="C116" s="1629">
        <v>0</v>
      </c>
      <c r="D116" s="1629">
        <v>0</v>
      </c>
      <c r="E116" s="1629">
        <v>0</v>
      </c>
      <c r="F116" s="1629">
        <v>0</v>
      </c>
      <c r="G116" s="1912">
        <f t="shared" si="128"/>
        <v>0</v>
      </c>
      <c r="H116" s="1629">
        <v>0</v>
      </c>
      <c r="I116" s="1912">
        <f>(H116+F116+E116+D116+C116)/5</f>
        <v>0</v>
      </c>
      <c r="J116" s="1629">
        <v>0</v>
      </c>
      <c r="K116" s="1912">
        <f>(J116+H116+F116+E116+D116)/5</f>
        <v>0</v>
      </c>
      <c r="L116" s="1629">
        <v>0</v>
      </c>
      <c r="M116" s="1912">
        <f>(L116+J116+H116+F116+E116)/5</f>
        <v>0</v>
      </c>
      <c r="N116" s="1629">
        <v>0</v>
      </c>
      <c r="O116" s="1264">
        <f>(+N116+L116+J116+H116+F116)/5</f>
        <v>0</v>
      </c>
      <c r="P116" s="1265">
        <v>0</v>
      </c>
      <c r="Q116" s="1266">
        <f>(P116+N116+L116+J116+H116)/5</f>
        <v>0</v>
      </c>
      <c r="R116" s="1265">
        <v>0</v>
      </c>
      <c r="S116" s="1266">
        <f>(R116+P116+N116+L116+J116)/5</f>
        <v>0</v>
      </c>
      <c r="T116" s="1265">
        <v>0</v>
      </c>
      <c r="U116" s="1266">
        <f>(T116+R116+P116+N116+L116)/5</f>
        <v>0</v>
      </c>
      <c r="V116" s="1265">
        <v>0</v>
      </c>
      <c r="W116" s="1266">
        <f>(V116+T116+R116+P116+N116)/5</f>
        <v>0</v>
      </c>
      <c r="X116" s="1265">
        <v>0</v>
      </c>
      <c r="Y116" s="1266">
        <f>(X116+V116+T116+R116+P116)/5</f>
        <v>0</v>
      </c>
      <c r="Z116" s="1265">
        <v>0</v>
      </c>
      <c r="AA116" s="1266">
        <f>(Z116+X116+V116+T116+R116)/5</f>
        <v>0</v>
      </c>
      <c r="AB116" s="1265">
        <v>0</v>
      </c>
      <c r="AC116" s="1266">
        <f>(AB116+Z116+X116+V116+T116)/5</f>
        <v>0</v>
      </c>
      <c r="AD116" s="1265">
        <v>0</v>
      </c>
      <c r="AE116" s="1266">
        <f>(AD116+AB116+Z116+X116+V116)/5</f>
        <v>0</v>
      </c>
      <c r="AF116" s="1265">
        <v>0</v>
      </c>
      <c r="AG116" s="1266">
        <f>(AF116+AD116+AB116+Z116+X116)/5</f>
        <v>0</v>
      </c>
      <c r="AH116" s="1926">
        <v>0</v>
      </c>
      <c r="AI116" s="1266">
        <f>(AH116+AF116+AD116+AB116+Z116)/5</f>
        <v>0</v>
      </c>
      <c r="AJ116" s="1496">
        <v>20</v>
      </c>
      <c r="AK116" s="1498">
        <f>(AJ116+AH116+AF116+AD116+AB116)/5</f>
        <v>4</v>
      </c>
    </row>
    <row r="117" spans="1:37" ht="18" customHeight="1" x14ac:dyDescent="0.3">
      <c r="A117" s="552" t="s">
        <v>1157</v>
      </c>
      <c r="B117" s="1629">
        <v>2</v>
      </c>
      <c r="C117" s="1629">
        <v>2</v>
      </c>
      <c r="D117" s="1629">
        <v>17</v>
      </c>
      <c r="E117" s="1629">
        <v>8</v>
      </c>
      <c r="F117" s="1629">
        <v>2</v>
      </c>
      <c r="G117" s="1912">
        <f t="shared" si="128"/>
        <v>6.2</v>
      </c>
      <c r="H117" s="1629">
        <v>7</v>
      </c>
      <c r="I117" s="1912">
        <f t="shared" si="129"/>
        <v>7.2</v>
      </c>
      <c r="J117" s="1629">
        <v>2</v>
      </c>
      <c r="K117" s="1912">
        <f t="shared" si="130"/>
        <v>7.2</v>
      </c>
      <c r="L117" s="1629">
        <v>3</v>
      </c>
      <c r="M117" s="1912">
        <f t="shared" si="131"/>
        <v>4.4000000000000004</v>
      </c>
      <c r="N117" s="1629">
        <v>8</v>
      </c>
      <c r="O117" s="1264">
        <f t="shared" si="132"/>
        <v>4.4000000000000004</v>
      </c>
      <c r="P117" s="1265">
        <v>76</v>
      </c>
      <c r="Q117" s="1266">
        <f t="shared" si="133"/>
        <v>19.2</v>
      </c>
      <c r="R117" s="1265">
        <v>0</v>
      </c>
      <c r="S117" s="1266">
        <f t="shared" si="134"/>
        <v>17.8</v>
      </c>
      <c r="T117" s="1265">
        <v>14</v>
      </c>
      <c r="U117" s="1266">
        <f t="shared" si="135"/>
        <v>20.2</v>
      </c>
      <c r="V117" s="1265">
        <v>0</v>
      </c>
      <c r="W117" s="1266">
        <f t="shared" si="136"/>
        <v>19.600000000000001</v>
      </c>
      <c r="X117" s="1265">
        <v>1</v>
      </c>
      <c r="Y117" s="1266">
        <f t="shared" si="137"/>
        <v>18.2</v>
      </c>
      <c r="Z117" s="1265">
        <v>0</v>
      </c>
      <c r="AA117" s="1266">
        <f t="shared" si="138"/>
        <v>3</v>
      </c>
      <c r="AB117" s="1265">
        <v>0</v>
      </c>
      <c r="AC117" s="1266">
        <f t="shared" si="139"/>
        <v>3</v>
      </c>
      <c r="AD117" s="1265">
        <v>0</v>
      </c>
      <c r="AE117" s="1266">
        <f t="shared" si="140"/>
        <v>0.2</v>
      </c>
      <c r="AF117" s="1265">
        <v>0</v>
      </c>
      <c r="AG117" s="1266">
        <f t="shared" si="141"/>
        <v>0.2</v>
      </c>
      <c r="AH117" s="1926">
        <v>0</v>
      </c>
      <c r="AI117" s="1266">
        <f t="shared" si="142"/>
        <v>0</v>
      </c>
      <c r="AJ117" s="1496">
        <v>0</v>
      </c>
      <c r="AK117" s="1498">
        <f t="shared" si="143"/>
        <v>0</v>
      </c>
    </row>
    <row r="118" spans="1:37" ht="18" customHeight="1" x14ac:dyDescent="0.3">
      <c r="A118" s="552" t="s">
        <v>1158</v>
      </c>
      <c r="B118" s="1629">
        <v>74</v>
      </c>
      <c r="C118" s="1629">
        <v>94</v>
      </c>
      <c r="D118" s="1629">
        <v>102</v>
      </c>
      <c r="E118" s="1629">
        <v>81</v>
      </c>
      <c r="F118" s="1629">
        <v>79</v>
      </c>
      <c r="G118" s="1912">
        <f t="shared" si="128"/>
        <v>86</v>
      </c>
      <c r="H118" s="1629">
        <v>75</v>
      </c>
      <c r="I118" s="1912">
        <f t="shared" si="129"/>
        <v>86.2</v>
      </c>
      <c r="J118" s="1629">
        <f>75+2+1</f>
        <v>78</v>
      </c>
      <c r="K118" s="1912">
        <f t="shared" si="130"/>
        <v>83</v>
      </c>
      <c r="L118" s="1629">
        <v>75</v>
      </c>
      <c r="M118" s="1912">
        <f t="shared" si="131"/>
        <v>77.599999999999994</v>
      </c>
      <c r="N118" s="1629">
        <v>77</v>
      </c>
      <c r="O118" s="1264">
        <f t="shared" si="132"/>
        <v>76.8</v>
      </c>
      <c r="P118" s="1265">
        <v>75</v>
      </c>
      <c r="Q118" s="1266">
        <f t="shared" si="133"/>
        <v>76</v>
      </c>
      <c r="R118" s="1265">
        <v>84</v>
      </c>
      <c r="S118" s="1266">
        <f t="shared" si="134"/>
        <v>77.8</v>
      </c>
      <c r="T118" s="1265">
        <v>76</v>
      </c>
      <c r="U118" s="1266">
        <f t="shared" si="135"/>
        <v>77.400000000000006</v>
      </c>
      <c r="V118" s="1265">
        <v>90</v>
      </c>
      <c r="W118" s="1266">
        <f t="shared" si="136"/>
        <v>80.400000000000006</v>
      </c>
      <c r="X118" s="1265">
        <v>115</v>
      </c>
      <c r="Y118" s="1266">
        <f t="shared" si="137"/>
        <v>88</v>
      </c>
      <c r="Z118" s="1265">
        <v>116</v>
      </c>
      <c r="AA118" s="1266">
        <f t="shared" si="138"/>
        <v>96.2</v>
      </c>
      <c r="AB118" s="1265">
        <v>137</v>
      </c>
      <c r="AC118" s="1266">
        <f t="shared" si="139"/>
        <v>106.8</v>
      </c>
      <c r="AD118" s="1265">
        <v>139</v>
      </c>
      <c r="AE118" s="1266">
        <f t="shared" si="140"/>
        <v>119.4</v>
      </c>
      <c r="AF118" s="1265">
        <v>124</v>
      </c>
      <c r="AG118" s="1266">
        <f t="shared" si="141"/>
        <v>126.2</v>
      </c>
      <c r="AH118" s="1926">
        <v>112</v>
      </c>
      <c r="AI118" s="1266">
        <f t="shared" si="142"/>
        <v>125.6</v>
      </c>
      <c r="AJ118" s="1496">
        <v>118</v>
      </c>
      <c r="AK118" s="1498">
        <f t="shared" si="143"/>
        <v>126</v>
      </c>
    </row>
    <row r="119" spans="1:37" ht="18" customHeight="1" x14ac:dyDescent="0.3">
      <c r="A119" s="552" t="s">
        <v>1159</v>
      </c>
      <c r="B119" s="1629">
        <v>237</v>
      </c>
      <c r="C119" s="1629">
        <v>228</v>
      </c>
      <c r="D119" s="1629">
        <v>235</v>
      </c>
      <c r="E119" s="1629">
        <v>250</v>
      </c>
      <c r="F119" s="1629">
        <v>260</v>
      </c>
      <c r="G119" s="1912">
        <f t="shared" si="128"/>
        <v>242</v>
      </c>
      <c r="H119" s="1629">
        <v>292</v>
      </c>
      <c r="I119" s="1912">
        <f t="shared" si="129"/>
        <v>253</v>
      </c>
      <c r="J119" s="1629">
        <v>292</v>
      </c>
      <c r="K119" s="1912">
        <f t="shared" si="130"/>
        <v>265.8</v>
      </c>
      <c r="L119" s="1629">
        <v>239</v>
      </c>
      <c r="M119" s="1912">
        <f t="shared" si="131"/>
        <v>266.60000000000002</v>
      </c>
      <c r="N119" s="1629">
        <v>231</v>
      </c>
      <c r="O119" s="1264">
        <f t="shared" si="132"/>
        <v>262.8</v>
      </c>
      <c r="P119" s="1265">
        <v>212</v>
      </c>
      <c r="Q119" s="1266">
        <f t="shared" si="133"/>
        <v>253.2</v>
      </c>
      <c r="R119" s="1265">
        <v>265</v>
      </c>
      <c r="S119" s="1266">
        <f t="shared" si="134"/>
        <v>247.8</v>
      </c>
      <c r="T119" s="1265">
        <v>225</v>
      </c>
      <c r="U119" s="1266">
        <f t="shared" si="135"/>
        <v>234.4</v>
      </c>
      <c r="V119" s="1265">
        <v>236</v>
      </c>
      <c r="W119" s="1266">
        <f t="shared" si="136"/>
        <v>233.8</v>
      </c>
      <c r="X119" s="1265">
        <v>261</v>
      </c>
      <c r="Y119" s="1266">
        <f t="shared" si="137"/>
        <v>239.8</v>
      </c>
      <c r="Z119" s="1265">
        <v>237</v>
      </c>
      <c r="AA119" s="1266">
        <f t="shared" si="138"/>
        <v>244.8</v>
      </c>
      <c r="AB119" s="1265">
        <v>211</v>
      </c>
      <c r="AC119" s="1266">
        <f t="shared" si="139"/>
        <v>234</v>
      </c>
      <c r="AD119" s="1265">
        <v>192</v>
      </c>
      <c r="AE119" s="1266">
        <f t="shared" si="140"/>
        <v>227.4</v>
      </c>
      <c r="AF119" s="1265">
        <v>189</v>
      </c>
      <c r="AG119" s="1266">
        <f t="shared" si="141"/>
        <v>218</v>
      </c>
      <c r="AH119" s="1926">
        <v>195</v>
      </c>
      <c r="AI119" s="1266">
        <f t="shared" si="142"/>
        <v>204.8</v>
      </c>
      <c r="AJ119" s="1496">
        <v>192</v>
      </c>
      <c r="AK119" s="1498">
        <f t="shared" si="143"/>
        <v>195.8</v>
      </c>
    </row>
    <row r="120" spans="1:37" ht="18" customHeight="1" x14ac:dyDescent="0.3">
      <c r="A120" s="552" t="s">
        <v>1139</v>
      </c>
      <c r="B120" s="1629">
        <v>0</v>
      </c>
      <c r="C120" s="1629">
        <v>0</v>
      </c>
      <c r="D120" s="1629">
        <v>0</v>
      </c>
      <c r="E120" s="1629">
        <v>0</v>
      </c>
      <c r="F120" s="1629">
        <v>0</v>
      </c>
      <c r="G120" s="1912">
        <f t="shared" si="128"/>
        <v>0</v>
      </c>
      <c r="H120" s="1629">
        <v>0</v>
      </c>
      <c r="I120" s="1912">
        <f t="shared" si="129"/>
        <v>0</v>
      </c>
      <c r="J120" s="1629">
        <v>0</v>
      </c>
      <c r="K120" s="1912">
        <f t="shared" si="130"/>
        <v>0</v>
      </c>
      <c r="L120" s="1629">
        <v>5</v>
      </c>
      <c r="M120" s="1912">
        <f t="shared" si="131"/>
        <v>1</v>
      </c>
      <c r="N120" s="1629">
        <v>7</v>
      </c>
      <c r="O120" s="1264">
        <f t="shared" si="132"/>
        <v>2.4</v>
      </c>
      <c r="P120" s="1265">
        <v>8</v>
      </c>
      <c r="Q120" s="1266">
        <f t="shared" si="133"/>
        <v>4</v>
      </c>
      <c r="R120" s="1265">
        <v>6</v>
      </c>
      <c r="S120" s="1266">
        <f t="shared" si="134"/>
        <v>5.2</v>
      </c>
      <c r="T120" s="1265">
        <v>1</v>
      </c>
      <c r="U120" s="1266">
        <f t="shared" si="135"/>
        <v>5.4</v>
      </c>
      <c r="V120" s="1265">
        <v>4</v>
      </c>
      <c r="W120" s="1266">
        <f t="shared" si="136"/>
        <v>5.2</v>
      </c>
      <c r="X120" s="1265">
        <v>1</v>
      </c>
      <c r="Y120" s="1266">
        <f t="shared" si="137"/>
        <v>4</v>
      </c>
      <c r="Z120" s="1265">
        <v>0</v>
      </c>
      <c r="AA120" s="1266">
        <f t="shared" si="138"/>
        <v>2.4</v>
      </c>
      <c r="AB120" s="1265">
        <v>0</v>
      </c>
      <c r="AC120" s="1266">
        <f t="shared" si="139"/>
        <v>1.2</v>
      </c>
      <c r="AD120" s="1265">
        <v>0</v>
      </c>
      <c r="AE120" s="1266">
        <f t="shared" si="140"/>
        <v>1</v>
      </c>
      <c r="AF120" s="1265">
        <v>0</v>
      </c>
      <c r="AG120" s="1266">
        <f t="shared" si="141"/>
        <v>0.2</v>
      </c>
      <c r="AH120" s="1926">
        <v>0</v>
      </c>
      <c r="AI120" s="1266">
        <f t="shared" si="142"/>
        <v>0</v>
      </c>
      <c r="AJ120" s="1496">
        <v>0</v>
      </c>
      <c r="AK120" s="1498">
        <f t="shared" si="143"/>
        <v>0</v>
      </c>
    </row>
    <row r="121" spans="1:37" ht="18" customHeight="1" x14ac:dyDescent="0.3">
      <c r="A121" s="553" t="s">
        <v>1015</v>
      </c>
      <c r="B121" s="1629">
        <f>SUM(B114:B120)</f>
        <v>454</v>
      </c>
      <c r="C121" s="1629">
        <f>SUM(C114:C120)</f>
        <v>469</v>
      </c>
      <c r="D121" s="1629">
        <f>SUM(D114:D120)</f>
        <v>505</v>
      </c>
      <c r="E121" s="1629">
        <f>SUM(E114:E120)</f>
        <v>493</v>
      </c>
      <c r="F121" s="1629">
        <f>SUM(F114:F120)</f>
        <v>498</v>
      </c>
      <c r="G121" s="1912">
        <f t="shared" si="128"/>
        <v>483.8</v>
      </c>
      <c r="H121" s="1629">
        <f>SUM(H114:H120)</f>
        <v>512</v>
      </c>
      <c r="I121" s="1912">
        <f t="shared" si="129"/>
        <v>495.4</v>
      </c>
      <c r="J121" s="1629">
        <f>SUM(J114:J120)</f>
        <v>503</v>
      </c>
      <c r="K121" s="1912">
        <f t="shared" si="130"/>
        <v>502.2</v>
      </c>
      <c r="L121" s="1629">
        <f>SUM(L114:L120)</f>
        <v>464</v>
      </c>
      <c r="M121" s="1912">
        <f t="shared" si="131"/>
        <v>494</v>
      </c>
      <c r="N121" s="1629">
        <f>SUM(N114:N120)</f>
        <v>461</v>
      </c>
      <c r="O121" s="1264">
        <f t="shared" si="132"/>
        <v>487.6</v>
      </c>
      <c r="P121" s="1265">
        <f>SUM(P114:P120)</f>
        <v>477</v>
      </c>
      <c r="Q121" s="1266">
        <f t="shared" si="133"/>
        <v>483.4</v>
      </c>
      <c r="R121" s="1265">
        <f>SUM(R114:R120)</f>
        <v>459</v>
      </c>
      <c r="S121" s="1266">
        <f t="shared" si="134"/>
        <v>472.8</v>
      </c>
      <c r="T121" s="1265">
        <f>SUM(T114:T120)</f>
        <v>407</v>
      </c>
      <c r="U121" s="1266">
        <f t="shared" si="135"/>
        <v>453.6</v>
      </c>
      <c r="V121" s="1265">
        <f>SUM(V114:V120)</f>
        <v>465</v>
      </c>
      <c r="W121" s="1266">
        <f t="shared" si="136"/>
        <v>453.8</v>
      </c>
      <c r="X121" s="1265">
        <f>SUM(X114:X120)</f>
        <v>509</v>
      </c>
      <c r="Y121" s="1266">
        <f t="shared" si="137"/>
        <v>463.4</v>
      </c>
      <c r="Z121" s="1265">
        <f>SUM(Z114:Z120)</f>
        <v>484</v>
      </c>
      <c r="AA121" s="1266">
        <f t="shared" si="138"/>
        <v>464.8</v>
      </c>
      <c r="AB121" s="1265">
        <f>SUM(AB114:AB120)</f>
        <v>464</v>
      </c>
      <c r="AC121" s="1266">
        <f t="shared" si="139"/>
        <v>465.8</v>
      </c>
      <c r="AD121" s="1265">
        <f>SUM(AD114:AD120)</f>
        <v>464</v>
      </c>
      <c r="AE121" s="1266">
        <f t="shared" si="140"/>
        <v>477.2</v>
      </c>
      <c r="AF121" s="1265">
        <f>SUM(AF114:AF120)</f>
        <v>441</v>
      </c>
      <c r="AG121" s="1266">
        <f t="shared" si="141"/>
        <v>472.4</v>
      </c>
      <c r="AH121" s="1926">
        <f>SUM(AH114:AH120)</f>
        <v>419</v>
      </c>
      <c r="AI121" s="1266">
        <f t="shared" si="142"/>
        <v>454.4</v>
      </c>
      <c r="AJ121" s="1496">
        <f>SUM(AJ114:AJ120)</f>
        <v>438</v>
      </c>
      <c r="AK121" s="1498">
        <f t="shared" si="143"/>
        <v>445.2</v>
      </c>
    </row>
    <row r="122" spans="1:37" ht="18" customHeight="1" x14ac:dyDescent="0.3">
      <c r="A122" s="551" t="s">
        <v>429</v>
      </c>
      <c r="B122" s="1909"/>
      <c r="C122" s="1909"/>
      <c r="D122" s="1909"/>
      <c r="E122" s="1909"/>
      <c r="F122" s="1910"/>
      <c r="G122" s="1914"/>
      <c r="H122" s="1910"/>
      <c r="I122" s="1914"/>
      <c r="J122" s="1910"/>
      <c r="K122" s="1914"/>
      <c r="L122" s="1910"/>
      <c r="M122" s="1911"/>
      <c r="N122" s="1910"/>
      <c r="O122" s="1267"/>
      <c r="P122" s="1262"/>
      <c r="Q122" s="1262"/>
      <c r="R122" s="1262"/>
      <c r="S122" s="1262"/>
      <c r="T122" s="1262"/>
      <c r="U122" s="1262"/>
      <c r="V122" s="1262"/>
      <c r="W122" s="1262"/>
      <c r="X122" s="1262"/>
      <c r="Y122" s="1262"/>
      <c r="Z122" s="1262"/>
      <c r="AA122" s="1262"/>
      <c r="AB122" s="1262"/>
      <c r="AC122" s="1262"/>
      <c r="AD122" s="1262"/>
      <c r="AE122" s="1262"/>
      <c r="AF122" s="1262"/>
      <c r="AG122" s="1262"/>
      <c r="AH122" s="1925"/>
      <c r="AI122" s="1262"/>
      <c r="AJ122" s="1495"/>
      <c r="AK122" s="1499"/>
    </row>
    <row r="123" spans="1:37" s="320" customFormat="1" ht="18" customHeight="1" x14ac:dyDescent="0.3">
      <c r="A123" s="1510" t="s">
        <v>513</v>
      </c>
      <c r="B123" s="1920">
        <v>0</v>
      </c>
      <c r="C123" s="1920">
        <v>0</v>
      </c>
      <c r="D123" s="1920">
        <v>0</v>
      </c>
      <c r="E123" s="1920">
        <v>0</v>
      </c>
      <c r="F123" s="1920">
        <v>0</v>
      </c>
      <c r="G123" s="1912">
        <f t="shared" ref="G123:G138" si="144">AVERAGE(B123:F123)</f>
        <v>0</v>
      </c>
      <c r="H123" s="1920">
        <v>0</v>
      </c>
      <c r="I123" s="1912">
        <f t="shared" ref="I123:I138" si="145">(H123+F123+E123+D123+C123)/5</f>
        <v>0</v>
      </c>
      <c r="J123" s="1920">
        <v>0</v>
      </c>
      <c r="K123" s="1912">
        <f t="shared" ref="K123:K138" si="146">(J123+H123+F123+E123+D123)/5</f>
        <v>0</v>
      </c>
      <c r="L123" s="1920">
        <v>0</v>
      </c>
      <c r="M123" s="1912">
        <f t="shared" ref="M123:M138" si="147">(L123+J123+H123+F123+E123)/5</f>
        <v>0</v>
      </c>
      <c r="N123" s="1920">
        <v>0</v>
      </c>
      <c r="O123" s="1264">
        <f t="shared" ref="O123:O138" si="148">(+N123+L123+J123+H123+F123)/5</f>
        <v>0</v>
      </c>
      <c r="P123" s="1274">
        <v>0</v>
      </c>
      <c r="Q123" s="1266">
        <f t="shared" ref="Q123:Q138" si="149">(P123+N123+L123+J123+H123)/5</f>
        <v>0</v>
      </c>
      <c r="R123" s="1274">
        <v>9</v>
      </c>
      <c r="S123" s="1266">
        <f t="shared" ref="S123:S138" si="150">(R123+P123+N123+L123+J123)/5</f>
        <v>1.8</v>
      </c>
      <c r="T123" s="1274">
        <v>9</v>
      </c>
      <c r="U123" s="1266">
        <f>(T123+R123+P123+N123+L123)/5</f>
        <v>3.6</v>
      </c>
      <c r="V123" s="1274">
        <v>14</v>
      </c>
      <c r="W123" s="1266">
        <f>(V123+T123+R123+P123+N123)/5</f>
        <v>6.4</v>
      </c>
      <c r="X123" s="1274">
        <v>14</v>
      </c>
      <c r="Y123" s="1266">
        <f>(X123+V123+T123+R123+P123)/5</f>
        <v>9.1999999999999993</v>
      </c>
      <c r="Z123" s="1274">
        <v>10</v>
      </c>
      <c r="AA123" s="1266">
        <f>(Z123+X123+V123+T123+R123)/5</f>
        <v>11.2</v>
      </c>
      <c r="AB123" s="1274">
        <v>9</v>
      </c>
      <c r="AC123" s="1266">
        <f>(AB123+Z123+X123+V123+T123)/5</f>
        <v>11.2</v>
      </c>
      <c r="AD123" s="1274">
        <v>5</v>
      </c>
      <c r="AE123" s="1266">
        <f>(AD123+AB123+Z123+X123+V123)/5</f>
        <v>10.4</v>
      </c>
      <c r="AF123" s="1274">
        <v>5</v>
      </c>
      <c r="AG123" s="1266">
        <f>(AF123+AD123+AB123+Z123+X123)/5</f>
        <v>8.6</v>
      </c>
      <c r="AH123" s="1927">
        <v>2</v>
      </c>
      <c r="AI123" s="1266">
        <f>(AH123+AF123+AD123+AB123+Z123)/5</f>
        <v>6.2</v>
      </c>
      <c r="AJ123" s="1503">
        <v>3</v>
      </c>
      <c r="AK123" s="1498">
        <f>(AJ123+AH123+AF123+AD123+AB123)/5</f>
        <v>4.8</v>
      </c>
    </row>
    <row r="124" spans="1:37" s="320" customFormat="1" ht="18" customHeight="1" x14ac:dyDescent="0.3">
      <c r="A124" s="1510" t="s">
        <v>614</v>
      </c>
      <c r="B124" s="1920">
        <v>0</v>
      </c>
      <c r="C124" s="1920">
        <v>0</v>
      </c>
      <c r="D124" s="1920">
        <v>0</v>
      </c>
      <c r="E124" s="1920">
        <v>0</v>
      </c>
      <c r="F124" s="1920">
        <v>0</v>
      </c>
      <c r="G124" s="1919">
        <f t="shared" si="144"/>
        <v>0</v>
      </c>
      <c r="H124" s="1920">
        <v>0</v>
      </c>
      <c r="I124" s="1919">
        <f t="shared" si="145"/>
        <v>0</v>
      </c>
      <c r="J124" s="1920">
        <v>0</v>
      </c>
      <c r="K124" s="1919">
        <f t="shared" si="146"/>
        <v>0</v>
      </c>
      <c r="L124" s="1920">
        <v>0</v>
      </c>
      <c r="M124" s="1919">
        <f t="shared" si="147"/>
        <v>0</v>
      </c>
      <c r="N124" s="1920">
        <v>0</v>
      </c>
      <c r="O124" s="1269">
        <f t="shared" si="148"/>
        <v>0</v>
      </c>
      <c r="P124" s="1274">
        <v>0</v>
      </c>
      <c r="Q124" s="1271">
        <f t="shared" si="149"/>
        <v>0</v>
      </c>
      <c r="R124" s="1274">
        <v>0</v>
      </c>
      <c r="S124" s="1271">
        <f t="shared" si="150"/>
        <v>0</v>
      </c>
      <c r="T124" s="1274">
        <v>1</v>
      </c>
      <c r="U124" s="1266">
        <f>(T124+R124+P124+N124+L124)/5</f>
        <v>0.2</v>
      </c>
      <c r="V124" s="1274">
        <v>3</v>
      </c>
      <c r="W124" s="1266">
        <f>(V124+T124+R124+P124+N124)/5</f>
        <v>0.8</v>
      </c>
      <c r="X124" s="1274">
        <v>0</v>
      </c>
      <c r="Y124" s="1266">
        <f>(X124+V124+T124+R124+P124)/5</f>
        <v>0.8</v>
      </c>
      <c r="Z124" s="1274">
        <v>0</v>
      </c>
      <c r="AA124" s="1266">
        <f>(Z124+X124+V124+T124+R124)/5</f>
        <v>0.8</v>
      </c>
      <c r="AB124" s="1274">
        <v>0</v>
      </c>
      <c r="AC124" s="1266">
        <f>(AB124+Z124+X124+V124+T124)/5</f>
        <v>0.8</v>
      </c>
      <c r="AD124" s="1274">
        <v>0</v>
      </c>
      <c r="AE124" s="1266">
        <f>(AD124+AB124+Z124+X124+V124)/5</f>
        <v>0.6</v>
      </c>
      <c r="AF124" s="1274">
        <v>0</v>
      </c>
      <c r="AG124" s="1266">
        <f>(AF124+AD124+AB124+Z124+X124)/5</f>
        <v>0</v>
      </c>
      <c r="AH124" s="1927">
        <v>0</v>
      </c>
      <c r="AI124" s="1266">
        <f>(AH124+AF124+AD124+AB124+Z124)/5</f>
        <v>0</v>
      </c>
      <c r="AJ124" s="1503">
        <v>0</v>
      </c>
      <c r="AK124" s="1498">
        <f>(AJ124+AH124+AF124+AD124+AB124)/5</f>
        <v>0</v>
      </c>
    </row>
    <row r="125" spans="1:37" ht="18" customHeight="1" x14ac:dyDescent="0.3">
      <c r="A125" s="552" t="s">
        <v>1130</v>
      </c>
      <c r="B125" s="1629">
        <v>39</v>
      </c>
      <c r="C125" s="1629">
        <v>38</v>
      </c>
      <c r="D125" s="1629">
        <v>35</v>
      </c>
      <c r="E125" s="1629">
        <v>51</v>
      </c>
      <c r="F125" s="1629">
        <v>39</v>
      </c>
      <c r="G125" s="1912">
        <f t="shared" si="144"/>
        <v>40.4</v>
      </c>
      <c r="H125" s="1629">
        <f>33+12</f>
        <v>45</v>
      </c>
      <c r="I125" s="1912">
        <f t="shared" si="145"/>
        <v>41.6</v>
      </c>
      <c r="J125" s="1629">
        <v>34</v>
      </c>
      <c r="K125" s="1912">
        <f t="shared" si="146"/>
        <v>40.799999999999997</v>
      </c>
      <c r="L125" s="1629">
        <v>32</v>
      </c>
      <c r="M125" s="1912">
        <f t="shared" si="147"/>
        <v>40.200000000000003</v>
      </c>
      <c r="N125" s="1629">
        <v>32</v>
      </c>
      <c r="O125" s="1264">
        <f t="shared" si="148"/>
        <v>36.4</v>
      </c>
      <c r="P125" s="1265">
        <v>34</v>
      </c>
      <c r="Q125" s="1266">
        <f t="shared" si="149"/>
        <v>35.4</v>
      </c>
      <c r="R125" s="1265">
        <v>57</v>
      </c>
      <c r="S125" s="1266">
        <f t="shared" si="150"/>
        <v>37.799999999999997</v>
      </c>
      <c r="T125" s="1265">
        <v>62</v>
      </c>
      <c r="U125" s="1266">
        <f t="shared" ref="U125:U138" si="151">(T125+R125+P125+N125+L125)/5</f>
        <v>43.4</v>
      </c>
      <c r="V125" s="1265">
        <v>57</v>
      </c>
      <c r="W125" s="1266">
        <f t="shared" ref="W125:W138" si="152">(V125+T125+R125+P125+N125)/5</f>
        <v>48.4</v>
      </c>
      <c r="X125" s="1265">
        <v>47</v>
      </c>
      <c r="Y125" s="1266">
        <f t="shared" ref="Y125:Y138" si="153">(X125+V125+T125+R125+P125)/5</f>
        <v>51.4</v>
      </c>
      <c r="Z125" s="1265">
        <v>41</v>
      </c>
      <c r="AA125" s="1266">
        <f t="shared" ref="AA125:AA138" si="154">(Z125+X125+V125+T125+R125)/5</f>
        <v>52.8</v>
      </c>
      <c r="AB125" s="1265">
        <v>29</v>
      </c>
      <c r="AC125" s="1266">
        <f t="shared" ref="AC125:AC138" si="155">(AB125+Z125+X125+V125+T125)/5</f>
        <v>47.2</v>
      </c>
      <c r="AD125" s="1265">
        <v>27</v>
      </c>
      <c r="AE125" s="1266">
        <f t="shared" ref="AE125:AE138" si="156">(AD125+AB125+Z125+X125+V125)/5</f>
        <v>40.200000000000003</v>
      </c>
      <c r="AF125" s="1265">
        <v>27</v>
      </c>
      <c r="AG125" s="1266">
        <f t="shared" ref="AG125:AG138" si="157">(AF125+AD125+AB125+Z125+X125)/5</f>
        <v>34.200000000000003</v>
      </c>
      <c r="AH125" s="1926">
        <v>27</v>
      </c>
      <c r="AI125" s="1266">
        <f t="shared" ref="AI125:AI138" si="158">(AH125+AF125+AD125+AB125+Z125)/5</f>
        <v>30.2</v>
      </c>
      <c r="AJ125" s="1496">
        <v>43</v>
      </c>
      <c r="AK125" s="1498">
        <f t="shared" ref="AK125:AK138" si="159">(AJ125+AH125+AF125+AD125+AB125)/5</f>
        <v>30.6</v>
      </c>
    </row>
    <row r="126" spans="1:37" ht="18" customHeight="1" x14ac:dyDescent="0.3">
      <c r="A126" s="552" t="s">
        <v>1504</v>
      </c>
      <c r="B126" s="1629">
        <v>0</v>
      </c>
      <c r="C126" s="1629">
        <v>0</v>
      </c>
      <c r="D126" s="1629">
        <v>0</v>
      </c>
      <c r="E126" s="1629">
        <v>0</v>
      </c>
      <c r="F126" s="1629">
        <v>0</v>
      </c>
      <c r="G126" s="1912">
        <f t="shared" si="144"/>
        <v>0</v>
      </c>
      <c r="H126" s="1629">
        <v>0</v>
      </c>
      <c r="I126" s="1912">
        <f t="shared" si="145"/>
        <v>0</v>
      </c>
      <c r="J126" s="1629">
        <v>0</v>
      </c>
      <c r="K126" s="1912">
        <f t="shared" si="146"/>
        <v>0</v>
      </c>
      <c r="L126" s="1629">
        <v>0</v>
      </c>
      <c r="M126" s="1912">
        <f t="shared" si="147"/>
        <v>0</v>
      </c>
      <c r="N126" s="1629">
        <v>0</v>
      </c>
      <c r="O126" s="1912">
        <f>(N126+L126+J126+H126+G126)/5</f>
        <v>0</v>
      </c>
      <c r="P126" s="1629">
        <v>0</v>
      </c>
      <c r="Q126" s="1912">
        <f>(P126+N126+L126+J126+I126)/5</f>
        <v>0</v>
      </c>
      <c r="R126" s="1629">
        <v>0</v>
      </c>
      <c r="S126" s="1912">
        <f>(R126+P126+N126+L126+K126)/5</f>
        <v>0</v>
      </c>
      <c r="T126" s="1629">
        <v>0</v>
      </c>
      <c r="U126" s="1912">
        <f>(T126+R126+P126+N126+M126)/5</f>
        <v>0</v>
      </c>
      <c r="V126" s="1629">
        <v>0</v>
      </c>
      <c r="W126" s="1912">
        <f>(V126+T126+R126+P126+O126)/5</f>
        <v>0</v>
      </c>
      <c r="X126" s="1265">
        <v>1</v>
      </c>
      <c r="Y126" s="1266">
        <f t="shared" si="153"/>
        <v>0.2</v>
      </c>
      <c r="Z126" s="1265">
        <v>0</v>
      </c>
      <c r="AA126" s="1266">
        <f t="shared" si="154"/>
        <v>0.2</v>
      </c>
      <c r="AB126" s="1265">
        <v>0</v>
      </c>
      <c r="AC126" s="1266">
        <f t="shared" si="155"/>
        <v>0.2</v>
      </c>
      <c r="AD126" s="1265">
        <v>0</v>
      </c>
      <c r="AE126" s="1266">
        <f t="shared" si="156"/>
        <v>0.2</v>
      </c>
      <c r="AF126" s="1265">
        <v>0</v>
      </c>
      <c r="AG126" s="1266">
        <f t="shared" si="157"/>
        <v>0.2</v>
      </c>
      <c r="AH126" s="1926">
        <v>0</v>
      </c>
      <c r="AI126" s="1266">
        <f t="shared" si="158"/>
        <v>0</v>
      </c>
      <c r="AJ126" s="1496">
        <v>0</v>
      </c>
      <c r="AK126" s="1498">
        <f t="shared" si="159"/>
        <v>0</v>
      </c>
    </row>
    <row r="127" spans="1:37" ht="18" customHeight="1" x14ac:dyDescent="0.3">
      <c r="A127" s="552" t="s">
        <v>776</v>
      </c>
      <c r="B127" s="1629">
        <v>0</v>
      </c>
      <c r="C127" s="1629">
        <v>0</v>
      </c>
      <c r="D127" s="1629">
        <v>0</v>
      </c>
      <c r="E127" s="1629">
        <v>0</v>
      </c>
      <c r="F127" s="1629">
        <v>0</v>
      </c>
      <c r="G127" s="1912">
        <f t="shared" si="144"/>
        <v>0</v>
      </c>
      <c r="H127" s="1629">
        <v>20</v>
      </c>
      <c r="I127" s="1912">
        <f t="shared" si="145"/>
        <v>4</v>
      </c>
      <c r="J127" s="1629">
        <v>24</v>
      </c>
      <c r="K127" s="1912">
        <f t="shared" si="146"/>
        <v>8.8000000000000007</v>
      </c>
      <c r="L127" s="1629">
        <v>25</v>
      </c>
      <c r="M127" s="1912">
        <f t="shared" si="147"/>
        <v>13.8</v>
      </c>
      <c r="N127" s="1629">
        <v>21</v>
      </c>
      <c r="O127" s="1264">
        <f t="shared" si="148"/>
        <v>18</v>
      </c>
      <c r="P127" s="1265">
        <v>18</v>
      </c>
      <c r="Q127" s="1266">
        <f t="shared" si="149"/>
        <v>21.6</v>
      </c>
      <c r="R127" s="1265">
        <v>3</v>
      </c>
      <c r="S127" s="1266">
        <f t="shared" si="150"/>
        <v>18.2</v>
      </c>
      <c r="T127" s="1265">
        <v>6</v>
      </c>
      <c r="U127" s="1266">
        <f t="shared" si="151"/>
        <v>14.6</v>
      </c>
      <c r="V127" s="1265">
        <v>2</v>
      </c>
      <c r="W127" s="1266">
        <f t="shared" si="152"/>
        <v>10</v>
      </c>
      <c r="X127" s="1265">
        <v>1</v>
      </c>
      <c r="Y127" s="1266">
        <f t="shared" si="153"/>
        <v>6</v>
      </c>
      <c r="Z127" s="1265">
        <v>0</v>
      </c>
      <c r="AA127" s="1266">
        <f t="shared" si="154"/>
        <v>2.4</v>
      </c>
      <c r="AB127" s="1265">
        <v>0</v>
      </c>
      <c r="AC127" s="1266">
        <f t="shared" si="155"/>
        <v>1.8</v>
      </c>
      <c r="AD127" s="1265">
        <v>0</v>
      </c>
      <c r="AE127" s="1266">
        <f t="shared" si="156"/>
        <v>0.6</v>
      </c>
      <c r="AF127" s="1265">
        <v>0</v>
      </c>
      <c r="AG127" s="1266">
        <f t="shared" si="157"/>
        <v>0.2</v>
      </c>
      <c r="AH127" s="1926">
        <v>0</v>
      </c>
      <c r="AI127" s="1266">
        <f t="shared" si="158"/>
        <v>0</v>
      </c>
      <c r="AJ127" s="1496">
        <v>0</v>
      </c>
      <c r="AK127" s="1498">
        <f t="shared" si="159"/>
        <v>0</v>
      </c>
    </row>
    <row r="128" spans="1:37" ht="18" customHeight="1" x14ac:dyDescent="0.3">
      <c r="A128" s="552" t="s">
        <v>395</v>
      </c>
      <c r="B128" s="1629">
        <v>0</v>
      </c>
      <c r="C128" s="1629">
        <v>0</v>
      </c>
      <c r="D128" s="1629">
        <v>0</v>
      </c>
      <c r="E128" s="1629">
        <v>0</v>
      </c>
      <c r="F128" s="1629">
        <v>0</v>
      </c>
      <c r="G128" s="1912">
        <f t="shared" si="144"/>
        <v>0</v>
      </c>
      <c r="H128" s="1629">
        <v>0</v>
      </c>
      <c r="I128" s="1912">
        <f t="shared" si="145"/>
        <v>0</v>
      </c>
      <c r="J128" s="1629">
        <f>4+1+2</f>
        <v>7</v>
      </c>
      <c r="K128" s="1912">
        <f t="shared" si="146"/>
        <v>1.4</v>
      </c>
      <c r="L128" s="1629">
        <v>11</v>
      </c>
      <c r="M128" s="1912">
        <f t="shared" si="147"/>
        <v>3.6</v>
      </c>
      <c r="N128" s="1629">
        <v>13</v>
      </c>
      <c r="O128" s="1264">
        <f t="shared" si="148"/>
        <v>6.2</v>
      </c>
      <c r="P128" s="1265">
        <v>18</v>
      </c>
      <c r="Q128" s="1266">
        <f t="shared" si="149"/>
        <v>9.8000000000000007</v>
      </c>
      <c r="R128" s="1265">
        <v>13</v>
      </c>
      <c r="S128" s="1266">
        <f t="shared" si="150"/>
        <v>12.4</v>
      </c>
      <c r="T128" s="1265">
        <v>7</v>
      </c>
      <c r="U128" s="1266">
        <f t="shared" si="151"/>
        <v>12.4</v>
      </c>
      <c r="V128" s="1265">
        <v>8</v>
      </c>
      <c r="W128" s="1266">
        <f t="shared" si="152"/>
        <v>11.8</v>
      </c>
      <c r="X128" s="1265">
        <v>0</v>
      </c>
      <c r="Y128" s="1266">
        <f t="shared" si="153"/>
        <v>9.1999999999999993</v>
      </c>
      <c r="Z128" s="1265">
        <v>0</v>
      </c>
      <c r="AA128" s="1266">
        <f t="shared" si="154"/>
        <v>5.6</v>
      </c>
      <c r="AB128" s="1265">
        <v>0</v>
      </c>
      <c r="AC128" s="1266">
        <f t="shared" si="155"/>
        <v>3</v>
      </c>
      <c r="AD128" s="1265">
        <v>0</v>
      </c>
      <c r="AE128" s="1266">
        <f t="shared" si="156"/>
        <v>1.6</v>
      </c>
      <c r="AF128" s="1265">
        <v>0</v>
      </c>
      <c r="AG128" s="1266">
        <f t="shared" si="157"/>
        <v>0</v>
      </c>
      <c r="AH128" s="1926">
        <v>0</v>
      </c>
      <c r="AI128" s="1266">
        <f t="shared" si="158"/>
        <v>0</v>
      </c>
      <c r="AJ128" s="1496">
        <v>0</v>
      </c>
      <c r="AK128" s="1498">
        <f t="shared" si="159"/>
        <v>0</v>
      </c>
    </row>
    <row r="129" spans="1:37" ht="18" customHeight="1" x14ac:dyDescent="0.3">
      <c r="A129" s="552" t="s">
        <v>789</v>
      </c>
      <c r="B129" s="1629">
        <v>0</v>
      </c>
      <c r="C129" s="1629">
        <v>0</v>
      </c>
      <c r="D129" s="1629">
        <v>0</v>
      </c>
      <c r="E129" s="1629">
        <v>0</v>
      </c>
      <c r="F129" s="1629">
        <v>0</v>
      </c>
      <c r="G129" s="1912">
        <f t="shared" si="144"/>
        <v>0</v>
      </c>
      <c r="H129" s="1629">
        <v>0</v>
      </c>
      <c r="I129" s="1912">
        <f t="shared" si="145"/>
        <v>0</v>
      </c>
      <c r="J129" s="1629">
        <v>7</v>
      </c>
      <c r="K129" s="1912">
        <f t="shared" si="146"/>
        <v>1.4</v>
      </c>
      <c r="L129" s="1629">
        <v>7</v>
      </c>
      <c r="M129" s="1912">
        <f t="shared" si="147"/>
        <v>2.8</v>
      </c>
      <c r="N129" s="1629">
        <v>9</v>
      </c>
      <c r="O129" s="1264">
        <f t="shared" si="148"/>
        <v>4.5999999999999996</v>
      </c>
      <c r="P129" s="1265">
        <v>8</v>
      </c>
      <c r="Q129" s="1266">
        <f t="shared" si="149"/>
        <v>6.2</v>
      </c>
      <c r="R129" s="1265">
        <v>6</v>
      </c>
      <c r="S129" s="1266">
        <f t="shared" si="150"/>
        <v>7.4</v>
      </c>
      <c r="T129" s="1265">
        <v>4</v>
      </c>
      <c r="U129" s="1266">
        <f t="shared" si="151"/>
        <v>6.8</v>
      </c>
      <c r="V129" s="1265">
        <v>9</v>
      </c>
      <c r="W129" s="1266">
        <f t="shared" si="152"/>
        <v>7.2</v>
      </c>
      <c r="X129" s="1265">
        <v>9</v>
      </c>
      <c r="Y129" s="1266">
        <f t="shared" si="153"/>
        <v>7.2</v>
      </c>
      <c r="Z129" s="1265">
        <v>9</v>
      </c>
      <c r="AA129" s="1266">
        <f t="shared" si="154"/>
        <v>7.4</v>
      </c>
      <c r="AB129" s="1265">
        <v>7</v>
      </c>
      <c r="AC129" s="1266">
        <f t="shared" si="155"/>
        <v>7.6</v>
      </c>
      <c r="AD129" s="1265">
        <v>8</v>
      </c>
      <c r="AE129" s="1266">
        <f t="shared" si="156"/>
        <v>8.4</v>
      </c>
      <c r="AF129" s="1265">
        <v>10</v>
      </c>
      <c r="AG129" s="1266">
        <f t="shared" si="157"/>
        <v>8.6</v>
      </c>
      <c r="AH129" s="1926">
        <v>7</v>
      </c>
      <c r="AI129" s="1266">
        <f t="shared" si="158"/>
        <v>8.1999999999999993</v>
      </c>
      <c r="AJ129" s="1496">
        <v>6</v>
      </c>
      <c r="AK129" s="1498">
        <f t="shared" si="159"/>
        <v>7.6</v>
      </c>
    </row>
    <row r="130" spans="1:37" ht="18" customHeight="1" x14ac:dyDescent="0.3">
      <c r="A130" s="552" t="s">
        <v>396</v>
      </c>
      <c r="B130" s="1629">
        <v>0</v>
      </c>
      <c r="C130" s="1629">
        <v>0</v>
      </c>
      <c r="D130" s="1629">
        <v>0</v>
      </c>
      <c r="E130" s="1629">
        <v>0</v>
      </c>
      <c r="F130" s="1629">
        <v>0</v>
      </c>
      <c r="G130" s="1912">
        <f t="shared" si="144"/>
        <v>0</v>
      </c>
      <c r="H130" s="1629">
        <v>0</v>
      </c>
      <c r="I130" s="1912">
        <f t="shared" si="145"/>
        <v>0</v>
      </c>
      <c r="J130" s="1629">
        <v>6</v>
      </c>
      <c r="K130" s="1912">
        <f t="shared" si="146"/>
        <v>1.2</v>
      </c>
      <c r="L130" s="1629">
        <v>8</v>
      </c>
      <c r="M130" s="1912">
        <f t="shared" si="147"/>
        <v>2.8</v>
      </c>
      <c r="N130" s="1629">
        <v>3</v>
      </c>
      <c r="O130" s="1264">
        <f t="shared" si="148"/>
        <v>3.4</v>
      </c>
      <c r="P130" s="1265">
        <v>0</v>
      </c>
      <c r="Q130" s="1266">
        <f t="shared" si="149"/>
        <v>3.4</v>
      </c>
      <c r="R130" s="1265">
        <v>6</v>
      </c>
      <c r="S130" s="1266">
        <f t="shared" si="150"/>
        <v>4.5999999999999996</v>
      </c>
      <c r="T130" s="1265">
        <v>7</v>
      </c>
      <c r="U130" s="1266">
        <f t="shared" si="151"/>
        <v>4.8</v>
      </c>
      <c r="V130" s="1265">
        <v>2</v>
      </c>
      <c r="W130" s="1266">
        <f t="shared" si="152"/>
        <v>3.6</v>
      </c>
      <c r="X130" s="1265">
        <v>7</v>
      </c>
      <c r="Y130" s="1266">
        <f t="shared" si="153"/>
        <v>4.4000000000000004</v>
      </c>
      <c r="Z130" s="1265">
        <v>4</v>
      </c>
      <c r="AA130" s="1266">
        <f t="shared" si="154"/>
        <v>5.2</v>
      </c>
      <c r="AB130" s="1265">
        <v>0</v>
      </c>
      <c r="AC130" s="1266">
        <f t="shared" si="155"/>
        <v>4</v>
      </c>
      <c r="AD130" s="1265">
        <v>0</v>
      </c>
      <c r="AE130" s="1266">
        <f t="shared" si="156"/>
        <v>2.6</v>
      </c>
      <c r="AF130" s="1265">
        <v>0</v>
      </c>
      <c r="AG130" s="1266">
        <f t="shared" si="157"/>
        <v>2.2000000000000002</v>
      </c>
      <c r="AH130" s="1926">
        <v>0</v>
      </c>
      <c r="AI130" s="1266">
        <f t="shared" si="158"/>
        <v>0.8</v>
      </c>
      <c r="AJ130" s="1496">
        <v>0</v>
      </c>
      <c r="AK130" s="1498">
        <f t="shared" si="159"/>
        <v>0</v>
      </c>
    </row>
    <row r="131" spans="1:37" ht="18" customHeight="1" x14ac:dyDescent="0.3">
      <c r="A131" s="552" t="s">
        <v>1131</v>
      </c>
      <c r="B131" s="1629">
        <v>5</v>
      </c>
      <c r="C131" s="1629">
        <v>6</v>
      </c>
      <c r="D131" s="1629">
        <v>3</v>
      </c>
      <c r="E131" s="1629">
        <v>4</v>
      </c>
      <c r="F131" s="1629">
        <v>14</v>
      </c>
      <c r="G131" s="1912">
        <f t="shared" si="144"/>
        <v>6.4</v>
      </c>
      <c r="H131" s="1629">
        <v>0</v>
      </c>
      <c r="I131" s="1912">
        <f t="shared" si="145"/>
        <v>5.4</v>
      </c>
      <c r="J131" s="1629">
        <v>0</v>
      </c>
      <c r="K131" s="1912">
        <f t="shared" si="146"/>
        <v>4.2</v>
      </c>
      <c r="L131" s="1629">
        <v>0</v>
      </c>
      <c r="M131" s="1912">
        <f t="shared" si="147"/>
        <v>3.6</v>
      </c>
      <c r="N131" s="1629">
        <v>0</v>
      </c>
      <c r="O131" s="1264">
        <f t="shared" si="148"/>
        <v>2.8</v>
      </c>
      <c r="P131" s="1265">
        <v>0</v>
      </c>
      <c r="Q131" s="1266">
        <f t="shared" si="149"/>
        <v>0</v>
      </c>
      <c r="R131" s="1265">
        <v>0</v>
      </c>
      <c r="S131" s="1266">
        <f t="shared" si="150"/>
        <v>0</v>
      </c>
      <c r="T131" s="1265">
        <v>0</v>
      </c>
      <c r="U131" s="1266">
        <f t="shared" si="151"/>
        <v>0</v>
      </c>
      <c r="V131" s="1265">
        <v>0</v>
      </c>
      <c r="W131" s="1266">
        <f t="shared" si="152"/>
        <v>0</v>
      </c>
      <c r="X131" s="1265">
        <v>0</v>
      </c>
      <c r="Y131" s="1266">
        <f t="shared" si="153"/>
        <v>0</v>
      </c>
      <c r="Z131" s="1265">
        <v>0</v>
      </c>
      <c r="AA131" s="1266">
        <f t="shared" si="154"/>
        <v>0</v>
      </c>
      <c r="AB131" s="1265">
        <v>0</v>
      </c>
      <c r="AC131" s="1266">
        <f t="shared" si="155"/>
        <v>0</v>
      </c>
      <c r="AD131" s="1265">
        <v>0</v>
      </c>
      <c r="AE131" s="1266">
        <f t="shared" si="156"/>
        <v>0</v>
      </c>
      <c r="AF131" s="1265">
        <v>0</v>
      </c>
      <c r="AG131" s="1266">
        <f t="shared" si="157"/>
        <v>0</v>
      </c>
      <c r="AH131" s="1926">
        <v>0</v>
      </c>
      <c r="AI131" s="1266">
        <f t="shared" si="158"/>
        <v>0</v>
      </c>
      <c r="AJ131" s="1496">
        <v>0</v>
      </c>
      <c r="AK131" s="1498">
        <f t="shared" si="159"/>
        <v>0</v>
      </c>
    </row>
    <row r="132" spans="1:37" ht="18" customHeight="1" x14ac:dyDescent="0.3">
      <c r="A132" s="552" t="s">
        <v>1663</v>
      </c>
      <c r="B132" s="1629">
        <v>0</v>
      </c>
      <c r="C132" s="1629">
        <v>0</v>
      </c>
      <c r="D132" s="1629">
        <v>0</v>
      </c>
      <c r="E132" s="1629">
        <v>0</v>
      </c>
      <c r="F132" s="1629">
        <v>0</v>
      </c>
      <c r="G132" s="1912">
        <f t="shared" si="144"/>
        <v>0</v>
      </c>
      <c r="H132" s="1629">
        <v>0</v>
      </c>
      <c r="I132" s="1912">
        <f t="shared" si="145"/>
        <v>0</v>
      </c>
      <c r="J132" s="1629">
        <v>0</v>
      </c>
      <c r="K132" s="1912">
        <f t="shared" si="146"/>
        <v>0</v>
      </c>
      <c r="L132" s="1629">
        <v>0</v>
      </c>
      <c r="M132" s="1912">
        <f t="shared" si="147"/>
        <v>0</v>
      </c>
      <c r="N132" s="1629">
        <v>0</v>
      </c>
      <c r="O132" s="1264">
        <f t="shared" si="148"/>
        <v>0</v>
      </c>
      <c r="P132" s="1265">
        <v>0</v>
      </c>
      <c r="Q132" s="1266">
        <f t="shared" si="149"/>
        <v>0</v>
      </c>
      <c r="R132" s="1265">
        <v>0</v>
      </c>
      <c r="S132" s="1266">
        <f t="shared" si="150"/>
        <v>0</v>
      </c>
      <c r="T132" s="1265">
        <v>0</v>
      </c>
      <c r="U132" s="1266">
        <f t="shared" si="151"/>
        <v>0</v>
      </c>
      <c r="V132" s="1265">
        <v>0</v>
      </c>
      <c r="W132" s="1266">
        <f t="shared" si="152"/>
        <v>0</v>
      </c>
      <c r="X132" s="1265">
        <v>0</v>
      </c>
      <c r="Y132" s="1266">
        <f t="shared" si="153"/>
        <v>0</v>
      </c>
      <c r="Z132" s="1265">
        <v>0</v>
      </c>
      <c r="AA132" s="1266">
        <f t="shared" si="154"/>
        <v>0</v>
      </c>
      <c r="AB132" s="1265">
        <v>0</v>
      </c>
      <c r="AC132" s="1266">
        <f t="shared" si="155"/>
        <v>0</v>
      </c>
      <c r="AD132" s="1265">
        <v>0</v>
      </c>
      <c r="AE132" s="1266">
        <f t="shared" si="156"/>
        <v>0</v>
      </c>
      <c r="AF132" s="1265">
        <v>0</v>
      </c>
      <c r="AG132" s="1266">
        <f t="shared" si="157"/>
        <v>0</v>
      </c>
      <c r="AH132" s="1926">
        <v>8</v>
      </c>
      <c r="AI132" s="1266">
        <f t="shared" si="158"/>
        <v>1.6</v>
      </c>
      <c r="AJ132" s="1496">
        <v>9</v>
      </c>
      <c r="AK132" s="1498">
        <f t="shared" si="159"/>
        <v>3.4</v>
      </c>
    </row>
    <row r="133" spans="1:37" ht="18" customHeight="1" x14ac:dyDescent="0.3">
      <c r="A133" s="552" t="s">
        <v>1106</v>
      </c>
      <c r="B133" s="1629">
        <v>53</v>
      </c>
      <c r="C133" s="1629">
        <v>45</v>
      </c>
      <c r="D133" s="1629">
        <v>43</v>
      </c>
      <c r="E133" s="1629">
        <v>26</v>
      </c>
      <c r="F133" s="1629">
        <v>28</v>
      </c>
      <c r="G133" s="1912">
        <f t="shared" si="144"/>
        <v>39</v>
      </c>
      <c r="H133" s="1629">
        <v>34</v>
      </c>
      <c r="I133" s="1912">
        <f t="shared" si="145"/>
        <v>35.200000000000003</v>
      </c>
      <c r="J133" s="1629">
        <v>40</v>
      </c>
      <c r="K133" s="1912">
        <f t="shared" si="146"/>
        <v>34.200000000000003</v>
      </c>
      <c r="L133" s="1629">
        <v>46</v>
      </c>
      <c r="M133" s="1912">
        <f t="shared" si="147"/>
        <v>34.799999999999997</v>
      </c>
      <c r="N133" s="1629">
        <v>50</v>
      </c>
      <c r="O133" s="1264">
        <f t="shared" si="148"/>
        <v>39.6</v>
      </c>
      <c r="P133" s="1265">
        <v>48</v>
      </c>
      <c r="Q133" s="1266">
        <f t="shared" si="149"/>
        <v>43.6</v>
      </c>
      <c r="R133" s="1265">
        <v>53</v>
      </c>
      <c r="S133" s="1266">
        <f t="shared" si="150"/>
        <v>47.4</v>
      </c>
      <c r="T133" s="1265">
        <v>49</v>
      </c>
      <c r="U133" s="1266">
        <f t="shared" si="151"/>
        <v>49.2</v>
      </c>
      <c r="V133" s="1265">
        <v>48</v>
      </c>
      <c r="W133" s="1266">
        <f t="shared" si="152"/>
        <v>49.6</v>
      </c>
      <c r="X133" s="1265">
        <v>37</v>
      </c>
      <c r="Y133" s="1266">
        <f t="shared" si="153"/>
        <v>47</v>
      </c>
      <c r="Z133" s="1265">
        <v>54</v>
      </c>
      <c r="AA133" s="1266">
        <f t="shared" si="154"/>
        <v>48.2</v>
      </c>
      <c r="AB133" s="1265">
        <v>54</v>
      </c>
      <c r="AC133" s="1266">
        <f t="shared" si="155"/>
        <v>48.4</v>
      </c>
      <c r="AD133" s="1265">
        <v>58</v>
      </c>
      <c r="AE133" s="1266">
        <f t="shared" si="156"/>
        <v>50.2</v>
      </c>
      <c r="AF133" s="1265">
        <v>60</v>
      </c>
      <c r="AG133" s="1266">
        <f t="shared" si="157"/>
        <v>52.6</v>
      </c>
      <c r="AH133" s="1926">
        <v>63</v>
      </c>
      <c r="AI133" s="1266">
        <f t="shared" si="158"/>
        <v>57.8</v>
      </c>
      <c r="AJ133" s="1496">
        <v>51</v>
      </c>
      <c r="AK133" s="1498">
        <f t="shared" si="159"/>
        <v>57.2</v>
      </c>
    </row>
    <row r="134" spans="1:37" ht="18" customHeight="1" x14ac:dyDescent="0.3">
      <c r="A134" s="552" t="s">
        <v>397</v>
      </c>
      <c r="B134" s="1629">
        <v>0</v>
      </c>
      <c r="C134" s="1629">
        <v>0</v>
      </c>
      <c r="D134" s="1629">
        <v>1</v>
      </c>
      <c r="E134" s="1629">
        <v>2</v>
      </c>
      <c r="F134" s="1629">
        <v>3</v>
      </c>
      <c r="G134" s="1912">
        <f t="shared" si="144"/>
        <v>1.2</v>
      </c>
      <c r="H134" s="1629">
        <v>3</v>
      </c>
      <c r="I134" s="1912">
        <f t="shared" si="145"/>
        <v>1.8</v>
      </c>
      <c r="J134" s="1629">
        <v>4</v>
      </c>
      <c r="K134" s="1912">
        <f t="shared" si="146"/>
        <v>2.6</v>
      </c>
      <c r="L134" s="1629">
        <v>3</v>
      </c>
      <c r="M134" s="1912">
        <f t="shared" si="147"/>
        <v>3</v>
      </c>
      <c r="N134" s="1629">
        <v>5</v>
      </c>
      <c r="O134" s="1264">
        <f t="shared" si="148"/>
        <v>3.6</v>
      </c>
      <c r="P134" s="1265">
        <v>8</v>
      </c>
      <c r="Q134" s="1266">
        <f t="shared" si="149"/>
        <v>4.5999999999999996</v>
      </c>
      <c r="R134" s="1265">
        <v>7</v>
      </c>
      <c r="S134" s="1266">
        <f t="shared" si="150"/>
        <v>5.4</v>
      </c>
      <c r="T134" s="1265">
        <v>4</v>
      </c>
      <c r="U134" s="1266">
        <f t="shared" si="151"/>
        <v>5.4</v>
      </c>
      <c r="V134" s="1265">
        <v>5</v>
      </c>
      <c r="W134" s="1266">
        <f t="shared" si="152"/>
        <v>5.8</v>
      </c>
      <c r="X134" s="1265">
        <v>4</v>
      </c>
      <c r="Y134" s="1266">
        <f t="shared" si="153"/>
        <v>5.6</v>
      </c>
      <c r="Z134" s="1265">
        <v>2</v>
      </c>
      <c r="AA134" s="1266">
        <f t="shared" si="154"/>
        <v>4.4000000000000004</v>
      </c>
      <c r="AB134" s="1265">
        <v>0</v>
      </c>
      <c r="AC134" s="1266">
        <f t="shared" si="155"/>
        <v>3</v>
      </c>
      <c r="AD134" s="1265">
        <v>0</v>
      </c>
      <c r="AE134" s="1266">
        <f t="shared" si="156"/>
        <v>2.2000000000000002</v>
      </c>
      <c r="AF134" s="1265">
        <v>0</v>
      </c>
      <c r="AG134" s="1266">
        <f t="shared" si="157"/>
        <v>1.2</v>
      </c>
      <c r="AH134" s="1926">
        <v>0</v>
      </c>
      <c r="AI134" s="1266">
        <f t="shared" si="158"/>
        <v>0.4</v>
      </c>
      <c r="AJ134" s="1496">
        <v>0</v>
      </c>
      <c r="AK134" s="1498">
        <f t="shared" si="159"/>
        <v>0</v>
      </c>
    </row>
    <row r="135" spans="1:37" ht="18" customHeight="1" x14ac:dyDescent="0.3">
      <c r="A135" s="552" t="s">
        <v>1108</v>
      </c>
      <c r="B135" s="1629">
        <v>80</v>
      </c>
      <c r="C135" s="1629">
        <v>75</v>
      </c>
      <c r="D135" s="1629">
        <v>72</v>
      </c>
      <c r="E135" s="1629">
        <v>60</v>
      </c>
      <c r="F135" s="1629">
        <v>54</v>
      </c>
      <c r="G135" s="1912">
        <f t="shared" si="144"/>
        <v>68.2</v>
      </c>
      <c r="H135" s="1629">
        <v>55</v>
      </c>
      <c r="I135" s="1912">
        <f t="shared" si="145"/>
        <v>63.2</v>
      </c>
      <c r="J135" s="1629">
        <v>58</v>
      </c>
      <c r="K135" s="1912">
        <f t="shared" si="146"/>
        <v>59.8</v>
      </c>
      <c r="L135" s="1629">
        <v>47</v>
      </c>
      <c r="M135" s="1912">
        <f t="shared" si="147"/>
        <v>54.8</v>
      </c>
      <c r="N135" s="1629">
        <v>54</v>
      </c>
      <c r="O135" s="1264">
        <f t="shared" si="148"/>
        <v>53.6</v>
      </c>
      <c r="P135" s="1265">
        <v>39</v>
      </c>
      <c r="Q135" s="1266">
        <f t="shared" si="149"/>
        <v>50.6</v>
      </c>
      <c r="R135" s="1265">
        <v>53</v>
      </c>
      <c r="S135" s="1266">
        <f t="shared" si="150"/>
        <v>50.2</v>
      </c>
      <c r="T135" s="1265">
        <v>49</v>
      </c>
      <c r="U135" s="1266">
        <f t="shared" si="151"/>
        <v>48.4</v>
      </c>
      <c r="V135" s="1265">
        <v>63</v>
      </c>
      <c r="W135" s="1266">
        <f t="shared" si="152"/>
        <v>51.6</v>
      </c>
      <c r="X135" s="1265">
        <v>59</v>
      </c>
      <c r="Y135" s="1266">
        <f t="shared" si="153"/>
        <v>52.6</v>
      </c>
      <c r="Z135" s="1265">
        <v>70</v>
      </c>
      <c r="AA135" s="1266">
        <f t="shared" si="154"/>
        <v>58.8</v>
      </c>
      <c r="AB135" s="1265">
        <v>79</v>
      </c>
      <c r="AC135" s="1266">
        <f t="shared" si="155"/>
        <v>64</v>
      </c>
      <c r="AD135" s="1265">
        <v>86</v>
      </c>
      <c r="AE135" s="1266">
        <f t="shared" si="156"/>
        <v>71.400000000000006</v>
      </c>
      <c r="AF135" s="1265">
        <v>76</v>
      </c>
      <c r="AG135" s="1266">
        <f t="shared" si="157"/>
        <v>74</v>
      </c>
      <c r="AH135" s="1926">
        <v>84</v>
      </c>
      <c r="AI135" s="1266">
        <f t="shared" si="158"/>
        <v>79</v>
      </c>
      <c r="AJ135" s="1496">
        <v>91</v>
      </c>
      <c r="AK135" s="1498">
        <f t="shared" si="159"/>
        <v>83.2</v>
      </c>
    </row>
    <row r="136" spans="1:37" ht="18" customHeight="1" x14ac:dyDescent="0.3">
      <c r="A136" s="552" t="s">
        <v>399</v>
      </c>
      <c r="B136" s="1629">
        <v>15</v>
      </c>
      <c r="C136" s="1629">
        <v>14</v>
      </c>
      <c r="D136" s="1629">
        <v>14</v>
      </c>
      <c r="E136" s="1629">
        <v>10</v>
      </c>
      <c r="F136" s="1629">
        <v>5</v>
      </c>
      <c r="G136" s="1912">
        <f t="shared" si="144"/>
        <v>11.6</v>
      </c>
      <c r="H136" s="1629">
        <v>3</v>
      </c>
      <c r="I136" s="1912">
        <f t="shared" si="145"/>
        <v>9.1999999999999993</v>
      </c>
      <c r="J136" s="1629">
        <v>8</v>
      </c>
      <c r="K136" s="1912">
        <f t="shared" si="146"/>
        <v>8</v>
      </c>
      <c r="L136" s="1629">
        <v>9</v>
      </c>
      <c r="M136" s="1912">
        <f t="shared" si="147"/>
        <v>7</v>
      </c>
      <c r="N136" s="1629">
        <v>7</v>
      </c>
      <c r="O136" s="1264">
        <f t="shared" si="148"/>
        <v>6.4</v>
      </c>
      <c r="P136" s="1265">
        <v>6</v>
      </c>
      <c r="Q136" s="1266">
        <f t="shared" si="149"/>
        <v>6.6</v>
      </c>
      <c r="R136" s="1265">
        <v>11</v>
      </c>
      <c r="S136" s="1266">
        <f t="shared" si="150"/>
        <v>8.1999999999999993</v>
      </c>
      <c r="T136" s="1265">
        <v>6</v>
      </c>
      <c r="U136" s="1266">
        <f t="shared" si="151"/>
        <v>7.8</v>
      </c>
      <c r="V136" s="1265">
        <v>5</v>
      </c>
      <c r="W136" s="1266">
        <f t="shared" si="152"/>
        <v>7</v>
      </c>
      <c r="X136" s="1265">
        <v>3</v>
      </c>
      <c r="Y136" s="1266">
        <f t="shared" si="153"/>
        <v>6.2</v>
      </c>
      <c r="Z136" s="1265">
        <v>2</v>
      </c>
      <c r="AA136" s="1266">
        <f t="shared" si="154"/>
        <v>5.4</v>
      </c>
      <c r="AB136" s="1265">
        <v>1</v>
      </c>
      <c r="AC136" s="1266">
        <f t="shared" si="155"/>
        <v>3.4</v>
      </c>
      <c r="AD136" s="1265">
        <v>0</v>
      </c>
      <c r="AE136" s="1266">
        <f t="shared" si="156"/>
        <v>2.2000000000000002</v>
      </c>
      <c r="AF136" s="1265">
        <v>0</v>
      </c>
      <c r="AG136" s="1266">
        <f t="shared" si="157"/>
        <v>1.2</v>
      </c>
      <c r="AH136" s="1926">
        <v>0</v>
      </c>
      <c r="AI136" s="1266">
        <f t="shared" si="158"/>
        <v>0.6</v>
      </c>
      <c r="AJ136" s="1496">
        <v>0</v>
      </c>
      <c r="AK136" s="1498">
        <f t="shared" si="159"/>
        <v>0.2</v>
      </c>
    </row>
    <row r="137" spans="1:37" s="320" customFormat="1" ht="18" customHeight="1" x14ac:dyDescent="0.3">
      <c r="A137" s="1523" t="s">
        <v>1015</v>
      </c>
      <c r="B137" s="1837">
        <f>SUM(B123:B136)</f>
        <v>192</v>
      </c>
      <c r="C137" s="1837">
        <f>SUM(C123:C136)</f>
        <v>178</v>
      </c>
      <c r="D137" s="1837">
        <f>SUM(D123:D136)</f>
        <v>168</v>
      </c>
      <c r="E137" s="1837">
        <f>SUM(E123:E136)</f>
        <v>153</v>
      </c>
      <c r="F137" s="1837">
        <f>SUM(F123:F136)</f>
        <v>143</v>
      </c>
      <c r="G137" s="1919">
        <f t="shared" si="144"/>
        <v>166.8</v>
      </c>
      <c r="H137" s="1837">
        <f>SUM(H123:H136)</f>
        <v>160</v>
      </c>
      <c r="I137" s="1919">
        <f t="shared" si="145"/>
        <v>160.4</v>
      </c>
      <c r="J137" s="1837">
        <f>SUM(J123:J136)</f>
        <v>188</v>
      </c>
      <c r="K137" s="1919">
        <f t="shared" si="146"/>
        <v>162.4</v>
      </c>
      <c r="L137" s="1837">
        <f>SUM(L123:L136)</f>
        <v>188</v>
      </c>
      <c r="M137" s="1919">
        <f t="shared" si="147"/>
        <v>166.4</v>
      </c>
      <c r="N137" s="1837">
        <f>SUM(N123:N136)</f>
        <v>194</v>
      </c>
      <c r="O137" s="1269">
        <f t="shared" si="148"/>
        <v>174.6</v>
      </c>
      <c r="P137" s="1837">
        <f>SUM(P123:P136)</f>
        <v>179</v>
      </c>
      <c r="Q137" s="1271">
        <f t="shared" si="149"/>
        <v>181.8</v>
      </c>
      <c r="R137" s="1837">
        <f>SUM(R123:R136)</f>
        <v>218</v>
      </c>
      <c r="S137" s="1271">
        <f t="shared" si="150"/>
        <v>193.4</v>
      </c>
      <c r="T137" s="1837">
        <f>SUM(T123:T136)</f>
        <v>204</v>
      </c>
      <c r="U137" s="1271">
        <f t="shared" si="151"/>
        <v>196.6</v>
      </c>
      <c r="V137" s="1837">
        <f>SUM(V123:V136)</f>
        <v>216</v>
      </c>
      <c r="W137" s="1271">
        <f t="shared" si="152"/>
        <v>202.2</v>
      </c>
      <c r="X137" s="1837">
        <f>SUM(X123:X136)</f>
        <v>182</v>
      </c>
      <c r="Y137" s="1271">
        <f t="shared" si="153"/>
        <v>199.8</v>
      </c>
      <c r="Z137" s="1837">
        <f>SUM(Z123:Z136)</f>
        <v>192</v>
      </c>
      <c r="AA137" s="1271">
        <f t="shared" si="154"/>
        <v>202.4</v>
      </c>
      <c r="AB137" s="1837">
        <f>SUM(AB123:AB136)</f>
        <v>179</v>
      </c>
      <c r="AC137" s="1271">
        <f t="shared" si="155"/>
        <v>194.6</v>
      </c>
      <c r="AD137" s="1837">
        <f>SUM(AD123:AD136)</f>
        <v>184</v>
      </c>
      <c r="AE137" s="1271">
        <f t="shared" si="156"/>
        <v>190.6</v>
      </c>
      <c r="AF137" s="1837">
        <f>SUM(AF123:AF136)</f>
        <v>178</v>
      </c>
      <c r="AG137" s="1271">
        <f t="shared" si="157"/>
        <v>183</v>
      </c>
      <c r="AH137" s="1928">
        <f>SUM(AH123:AH136)</f>
        <v>191</v>
      </c>
      <c r="AI137" s="1271">
        <f t="shared" si="158"/>
        <v>184.8</v>
      </c>
      <c r="AJ137" s="1837">
        <f>SUM(AJ123:AJ136)</f>
        <v>203</v>
      </c>
      <c r="AK137" s="1508">
        <f t="shared" si="159"/>
        <v>187</v>
      </c>
    </row>
    <row r="138" spans="1:37" ht="18" customHeight="1" thickBot="1" x14ac:dyDescent="0.35">
      <c r="A138" s="856" t="s">
        <v>430</v>
      </c>
      <c r="B138" s="857">
        <f>+B137+B121</f>
        <v>646</v>
      </c>
      <c r="C138" s="857">
        <f>+C137+C121</f>
        <v>647</v>
      </c>
      <c r="D138" s="857">
        <f>+D137+D121</f>
        <v>673</v>
      </c>
      <c r="E138" s="857">
        <f>+E137+E121</f>
        <v>646</v>
      </c>
      <c r="F138" s="857">
        <f>+F137+F121</f>
        <v>641</v>
      </c>
      <c r="G138" s="858">
        <f t="shared" si="144"/>
        <v>650.6</v>
      </c>
      <c r="H138" s="857">
        <f>+H137+H121</f>
        <v>672</v>
      </c>
      <c r="I138" s="858">
        <f t="shared" si="145"/>
        <v>655.8</v>
      </c>
      <c r="J138" s="857">
        <f>+J137+J121</f>
        <v>691</v>
      </c>
      <c r="K138" s="858">
        <f t="shared" si="146"/>
        <v>664.6</v>
      </c>
      <c r="L138" s="857">
        <f>+L137+L121</f>
        <v>652</v>
      </c>
      <c r="M138" s="858">
        <f t="shared" si="147"/>
        <v>660.4</v>
      </c>
      <c r="N138" s="857">
        <f>+N137+N121</f>
        <v>655</v>
      </c>
      <c r="O138" s="859">
        <f t="shared" si="148"/>
        <v>662.2</v>
      </c>
      <c r="P138" s="860">
        <f>+P137+P121</f>
        <v>656</v>
      </c>
      <c r="Q138" s="861">
        <f t="shared" si="149"/>
        <v>665.2</v>
      </c>
      <c r="R138" s="860">
        <f>+R137+R121</f>
        <v>677</v>
      </c>
      <c r="S138" s="861">
        <f t="shared" si="150"/>
        <v>666.2</v>
      </c>
      <c r="T138" s="860">
        <f>+T137+T121</f>
        <v>611</v>
      </c>
      <c r="U138" s="861">
        <f t="shared" si="151"/>
        <v>650.20000000000005</v>
      </c>
      <c r="V138" s="860">
        <f>+V137+V121</f>
        <v>681</v>
      </c>
      <c r="W138" s="861">
        <f t="shared" si="152"/>
        <v>656</v>
      </c>
      <c r="X138" s="860">
        <f>+X137+X121</f>
        <v>691</v>
      </c>
      <c r="Y138" s="861">
        <f t="shared" si="153"/>
        <v>663.2</v>
      </c>
      <c r="Z138" s="860">
        <f>+Z137+Z121</f>
        <v>676</v>
      </c>
      <c r="AA138" s="861">
        <f t="shared" si="154"/>
        <v>667.2</v>
      </c>
      <c r="AB138" s="860">
        <f>+AB137+AB121</f>
        <v>643</v>
      </c>
      <c r="AC138" s="861">
        <f t="shared" si="155"/>
        <v>660.4</v>
      </c>
      <c r="AD138" s="860">
        <f>+AD137+AD121</f>
        <v>648</v>
      </c>
      <c r="AE138" s="861">
        <f t="shared" si="156"/>
        <v>667.8</v>
      </c>
      <c r="AF138" s="860">
        <f>+AF137+AF121</f>
        <v>619</v>
      </c>
      <c r="AG138" s="861">
        <f t="shared" si="157"/>
        <v>655.4</v>
      </c>
      <c r="AH138" s="1929">
        <f>+AH137+AH121</f>
        <v>610</v>
      </c>
      <c r="AI138" s="861">
        <f t="shared" si="158"/>
        <v>639.20000000000005</v>
      </c>
      <c r="AJ138" s="857">
        <f>+AJ137+AJ121</f>
        <v>641</v>
      </c>
      <c r="AK138" s="1506">
        <f t="shared" si="159"/>
        <v>632.20000000000005</v>
      </c>
    </row>
    <row r="139" spans="1:37" ht="18" customHeight="1" thickBot="1" x14ac:dyDescent="0.35">
      <c r="A139" s="1517" t="s">
        <v>984</v>
      </c>
      <c r="B139" s="1518"/>
      <c r="C139" s="1518"/>
      <c r="D139" s="1518"/>
      <c r="E139" s="1518"/>
      <c r="F139" s="1519"/>
      <c r="G139" s="1520"/>
      <c r="H139" s="1519"/>
      <c r="I139" s="1520"/>
      <c r="J139" s="1519"/>
      <c r="K139" s="1520"/>
      <c r="L139" s="1519"/>
      <c r="M139" s="1521"/>
      <c r="N139" s="1519"/>
      <c r="O139" s="1520"/>
      <c r="P139" s="1519"/>
      <c r="Q139" s="1519"/>
      <c r="R139" s="1519"/>
      <c r="S139" s="1519"/>
      <c r="T139" s="1519"/>
      <c r="U139" s="1519"/>
      <c r="V139" s="1519"/>
      <c r="W139" s="1519"/>
      <c r="X139" s="1519"/>
      <c r="Y139" s="1519"/>
      <c r="Z139" s="1519"/>
      <c r="AA139" s="1519"/>
      <c r="AB139" s="1519"/>
      <c r="AC139" s="1519"/>
      <c r="AD139" s="1519"/>
      <c r="AE139" s="1519"/>
      <c r="AF139" s="1519"/>
      <c r="AG139" s="1519"/>
      <c r="AH139" s="1519"/>
      <c r="AI139" s="1934"/>
      <c r="AJ139" s="1519"/>
      <c r="AK139" s="1522"/>
    </row>
    <row r="140" spans="1:37" ht="18" customHeight="1" x14ac:dyDescent="0.3">
      <c r="A140" s="552" t="s">
        <v>1144</v>
      </c>
      <c r="B140" s="1629">
        <v>345</v>
      </c>
      <c r="C140" s="1629">
        <v>318</v>
      </c>
      <c r="D140" s="1629">
        <v>340</v>
      </c>
      <c r="E140" s="1629">
        <v>385</v>
      </c>
      <c r="F140" s="1629">
        <v>357</v>
      </c>
      <c r="G140" s="1912">
        <f t="shared" ref="G140:G145" si="160">AVERAGE(B140:F140)</f>
        <v>349</v>
      </c>
      <c r="H140" s="1629">
        <v>338</v>
      </c>
      <c r="I140" s="1912">
        <f t="shared" ref="I140:I145" si="161">(H140+F140+E140+D140+C140)/5</f>
        <v>347.6</v>
      </c>
      <c r="J140" s="1629">
        <v>354</v>
      </c>
      <c r="K140" s="1912">
        <f t="shared" ref="K140:K145" si="162">(J140+H140+F140+E140+D140)/5</f>
        <v>354.8</v>
      </c>
      <c r="L140" s="1629">
        <v>358</v>
      </c>
      <c r="M140" s="1912">
        <f t="shared" ref="M140:M145" si="163">(L140+J140+H140+F140+E140)/5</f>
        <v>358.4</v>
      </c>
      <c r="N140" s="1629">
        <v>377</v>
      </c>
      <c r="O140" s="1264">
        <f t="shared" ref="O140:O145" si="164">(+N140+L140+J140+H140+F140)/5</f>
        <v>356.8</v>
      </c>
      <c r="P140" s="1921">
        <v>305</v>
      </c>
      <c r="Q140" s="1922">
        <f t="shared" ref="Q140:Q145" si="165">(P140+N140+L140+J140+H140)/5</f>
        <v>346.4</v>
      </c>
      <c r="R140" s="1921">
        <v>267</v>
      </c>
      <c r="S140" s="1922">
        <f t="shared" ref="S140:S145" si="166">(R140+P140+N140+L140+J140)/5</f>
        <v>332.2</v>
      </c>
      <c r="T140" s="1921">
        <v>210</v>
      </c>
      <c r="U140" s="1922">
        <f t="shared" ref="U140:U145" si="167">(T140+R140+P140+N140+L140)/5</f>
        <v>303.39999999999998</v>
      </c>
      <c r="V140" s="1921">
        <v>189</v>
      </c>
      <c r="W140" s="1922">
        <f t="shared" ref="W140:W145" si="168">(V140+T140+R140+P140+N140)/5</f>
        <v>269.60000000000002</v>
      </c>
      <c r="X140" s="1921">
        <f>212</f>
        <v>212</v>
      </c>
      <c r="Y140" s="1922">
        <f t="shared" ref="Y140:Y145" si="169">(X140+V140+T140+R140+P140)/5</f>
        <v>236.6</v>
      </c>
      <c r="Z140" s="1921">
        <v>120</v>
      </c>
      <c r="AA140" s="1922">
        <f t="shared" ref="AA140:AA145" si="170">(Z140+X140+V140+T140+R140)/5</f>
        <v>199.6</v>
      </c>
      <c r="AB140" s="1921">
        <v>244</v>
      </c>
      <c r="AC140" s="1922">
        <f t="shared" ref="AC140:AC145" si="171">(AB140+Z140+X140+V140+T140)/5</f>
        <v>195</v>
      </c>
      <c r="AD140" s="1921">
        <v>351</v>
      </c>
      <c r="AE140" s="1922">
        <f t="shared" ref="AE140:AE145" si="172">(AD140+AB140+Z140+X140+V140)/5</f>
        <v>223.2</v>
      </c>
      <c r="AF140" s="1921">
        <v>84</v>
      </c>
      <c r="AG140" s="1922">
        <f t="shared" ref="AG140:AG145" si="173">(AF140+AD140+AB140+Z140+X140)/5</f>
        <v>202.2</v>
      </c>
      <c r="AH140" s="1930">
        <v>280</v>
      </c>
      <c r="AI140" s="1922">
        <f t="shared" ref="AI140:AI145" si="174">(AH140+AF140+AD140+AB140+Z140)/5</f>
        <v>215.8</v>
      </c>
      <c r="AJ140" s="1629">
        <v>204</v>
      </c>
      <c r="AK140" s="1516">
        <f t="shared" ref="AK140:AK145" si="175">(AJ140+AH140+AF140+AD140+AB140)/5</f>
        <v>232.6</v>
      </c>
    </row>
    <row r="141" spans="1:37" ht="18" customHeight="1" x14ac:dyDescent="0.3">
      <c r="A141" s="552" t="s">
        <v>1145</v>
      </c>
      <c r="B141" s="1629">
        <v>2</v>
      </c>
      <c r="C141" s="1629">
        <v>8</v>
      </c>
      <c r="D141" s="1629">
        <v>7</v>
      </c>
      <c r="E141" s="1629">
        <v>8</v>
      </c>
      <c r="F141" s="1629">
        <v>6</v>
      </c>
      <c r="G141" s="1912">
        <f t="shared" si="160"/>
        <v>6.2</v>
      </c>
      <c r="H141" s="1629">
        <v>3</v>
      </c>
      <c r="I141" s="1912">
        <f t="shared" si="161"/>
        <v>6.4</v>
      </c>
      <c r="J141" s="1629">
        <v>5</v>
      </c>
      <c r="K141" s="1912">
        <f t="shared" si="162"/>
        <v>5.8</v>
      </c>
      <c r="L141" s="1629">
        <v>1</v>
      </c>
      <c r="M141" s="1912">
        <f t="shared" si="163"/>
        <v>4.5999999999999996</v>
      </c>
      <c r="N141" s="1629">
        <v>3</v>
      </c>
      <c r="O141" s="1264">
        <f t="shared" si="164"/>
        <v>3.6</v>
      </c>
      <c r="P141" s="1265">
        <v>0</v>
      </c>
      <c r="Q141" s="1266">
        <f t="shared" si="165"/>
        <v>2.4</v>
      </c>
      <c r="R141" s="1265">
        <v>0</v>
      </c>
      <c r="S141" s="1266">
        <f t="shared" si="166"/>
        <v>1.8</v>
      </c>
      <c r="T141" s="1265">
        <v>0</v>
      </c>
      <c r="U141" s="1266">
        <f t="shared" si="167"/>
        <v>0.8</v>
      </c>
      <c r="V141" s="1265">
        <v>0</v>
      </c>
      <c r="W141" s="1266">
        <f t="shared" si="168"/>
        <v>0.6</v>
      </c>
      <c r="X141" s="1265">
        <v>0</v>
      </c>
      <c r="Y141" s="1266">
        <f t="shared" si="169"/>
        <v>0</v>
      </c>
      <c r="Z141" s="1265">
        <v>0</v>
      </c>
      <c r="AA141" s="1266">
        <f t="shared" si="170"/>
        <v>0</v>
      </c>
      <c r="AB141" s="1265">
        <v>0</v>
      </c>
      <c r="AC141" s="1266">
        <f t="shared" si="171"/>
        <v>0</v>
      </c>
      <c r="AD141" s="1265">
        <v>0</v>
      </c>
      <c r="AE141" s="1266">
        <f t="shared" si="172"/>
        <v>0</v>
      </c>
      <c r="AF141" s="1265">
        <v>0</v>
      </c>
      <c r="AG141" s="1266">
        <f t="shared" si="173"/>
        <v>0</v>
      </c>
      <c r="AH141" s="1926">
        <v>8</v>
      </c>
      <c r="AI141" s="1266">
        <f t="shared" si="174"/>
        <v>1.6</v>
      </c>
      <c r="AJ141" s="1496">
        <v>24</v>
      </c>
      <c r="AK141" s="1498">
        <f t="shared" si="175"/>
        <v>6.4</v>
      </c>
    </row>
    <row r="142" spans="1:37" ht="18" customHeight="1" x14ac:dyDescent="0.3">
      <c r="A142" s="552" t="s">
        <v>1146</v>
      </c>
      <c r="B142" s="1629">
        <v>5</v>
      </c>
      <c r="C142" s="1629">
        <v>0</v>
      </c>
      <c r="D142" s="1629">
        <v>1</v>
      </c>
      <c r="E142" s="1629">
        <v>4</v>
      </c>
      <c r="F142" s="1629">
        <v>2</v>
      </c>
      <c r="G142" s="1912">
        <f t="shared" si="160"/>
        <v>2.4</v>
      </c>
      <c r="H142" s="1629">
        <v>2</v>
      </c>
      <c r="I142" s="1912">
        <f t="shared" si="161"/>
        <v>1.8</v>
      </c>
      <c r="J142" s="1629">
        <v>4</v>
      </c>
      <c r="K142" s="1912">
        <f t="shared" si="162"/>
        <v>2.6</v>
      </c>
      <c r="L142" s="1629">
        <v>0</v>
      </c>
      <c r="M142" s="1912">
        <f t="shared" si="163"/>
        <v>2.4</v>
      </c>
      <c r="N142" s="1629">
        <v>0</v>
      </c>
      <c r="O142" s="1264">
        <f t="shared" si="164"/>
        <v>1.6</v>
      </c>
      <c r="P142" s="1265">
        <v>0</v>
      </c>
      <c r="Q142" s="1266">
        <f t="shared" si="165"/>
        <v>1.2</v>
      </c>
      <c r="R142" s="1265">
        <v>0</v>
      </c>
      <c r="S142" s="1266">
        <f t="shared" si="166"/>
        <v>0.8</v>
      </c>
      <c r="T142" s="1265">
        <v>0</v>
      </c>
      <c r="U142" s="1266">
        <f t="shared" si="167"/>
        <v>0</v>
      </c>
      <c r="V142" s="1265">
        <v>0</v>
      </c>
      <c r="W142" s="1266">
        <f t="shared" si="168"/>
        <v>0</v>
      </c>
      <c r="X142" s="1265">
        <v>0</v>
      </c>
      <c r="Y142" s="1266">
        <f t="shared" si="169"/>
        <v>0</v>
      </c>
      <c r="Z142" s="1265">
        <v>0</v>
      </c>
      <c r="AA142" s="1266">
        <f t="shared" si="170"/>
        <v>0</v>
      </c>
      <c r="AB142" s="1265">
        <v>0</v>
      </c>
      <c r="AC142" s="1266">
        <f t="shared" si="171"/>
        <v>0</v>
      </c>
      <c r="AD142" s="1265">
        <v>0</v>
      </c>
      <c r="AE142" s="1266">
        <f t="shared" si="172"/>
        <v>0</v>
      </c>
      <c r="AF142" s="1265">
        <v>0</v>
      </c>
      <c r="AG142" s="1266">
        <f t="shared" si="173"/>
        <v>0</v>
      </c>
      <c r="AH142" s="1926">
        <v>0</v>
      </c>
      <c r="AI142" s="1266">
        <f t="shared" si="174"/>
        <v>0</v>
      </c>
      <c r="AJ142" s="1496">
        <v>0</v>
      </c>
      <c r="AK142" s="1498">
        <f t="shared" si="175"/>
        <v>0</v>
      </c>
    </row>
    <row r="143" spans="1:37" ht="18" customHeight="1" x14ac:dyDescent="0.3">
      <c r="A143" s="552" t="s">
        <v>1761</v>
      </c>
      <c r="B143" s="1629">
        <v>59</v>
      </c>
      <c r="C143" s="1629">
        <v>80</v>
      </c>
      <c r="D143" s="1629">
        <v>65</v>
      </c>
      <c r="E143" s="1629">
        <v>81</v>
      </c>
      <c r="F143" s="1629">
        <v>84</v>
      </c>
      <c r="G143" s="1912">
        <f t="shared" si="160"/>
        <v>73.8</v>
      </c>
      <c r="H143" s="1629">
        <f>78-9</f>
        <v>69</v>
      </c>
      <c r="I143" s="1912">
        <f t="shared" si="161"/>
        <v>75.8</v>
      </c>
      <c r="J143" s="1629">
        <f>65-4+1</f>
        <v>62</v>
      </c>
      <c r="K143" s="1912">
        <f t="shared" si="162"/>
        <v>72.2</v>
      </c>
      <c r="L143" s="1629">
        <f>67-8</f>
        <v>59</v>
      </c>
      <c r="M143" s="1912">
        <f t="shared" si="163"/>
        <v>71</v>
      </c>
      <c r="N143" s="1629">
        <f>211-132</f>
        <v>79</v>
      </c>
      <c r="O143" s="1264">
        <f t="shared" si="164"/>
        <v>70.599999999999994</v>
      </c>
      <c r="P143" s="1265">
        <v>44</v>
      </c>
      <c r="Q143" s="1266">
        <f t="shared" si="165"/>
        <v>62.6</v>
      </c>
      <c r="R143" s="1265">
        <v>50</v>
      </c>
      <c r="S143" s="1266">
        <f t="shared" si="166"/>
        <v>58.8</v>
      </c>
      <c r="T143" s="1265">
        <v>33</v>
      </c>
      <c r="U143" s="1266">
        <f t="shared" si="167"/>
        <v>53</v>
      </c>
      <c r="V143" s="1265">
        <v>47</v>
      </c>
      <c r="W143" s="1266">
        <f t="shared" si="168"/>
        <v>50.6</v>
      </c>
      <c r="X143" s="1265">
        <v>31</v>
      </c>
      <c r="Y143" s="1266">
        <f t="shared" si="169"/>
        <v>41</v>
      </c>
      <c r="Z143" s="1265">
        <v>244</v>
      </c>
      <c r="AA143" s="1266">
        <f t="shared" si="170"/>
        <v>81</v>
      </c>
      <c r="AB143" s="1265">
        <v>227</v>
      </c>
      <c r="AC143" s="1266">
        <f t="shared" si="171"/>
        <v>116.4</v>
      </c>
      <c r="AD143" s="1265">
        <v>65</v>
      </c>
      <c r="AE143" s="1266">
        <f t="shared" si="172"/>
        <v>122.8</v>
      </c>
      <c r="AF143" s="1265">
        <v>235</v>
      </c>
      <c r="AG143" s="1266">
        <f t="shared" si="173"/>
        <v>160.4</v>
      </c>
      <c r="AH143" s="1926">
        <v>41</v>
      </c>
      <c r="AI143" s="1266">
        <f t="shared" si="174"/>
        <v>162.4</v>
      </c>
      <c r="AJ143" s="1496">
        <v>49</v>
      </c>
      <c r="AK143" s="1498">
        <f t="shared" si="175"/>
        <v>123.4</v>
      </c>
    </row>
    <row r="144" spans="1:37" ht="18" customHeight="1" x14ac:dyDescent="0.3">
      <c r="A144" s="553" t="s">
        <v>1015</v>
      </c>
      <c r="B144" s="1843">
        <f>SUM(B140:B143)</f>
        <v>411</v>
      </c>
      <c r="C144" s="1843">
        <f>SUM(C140:C143)</f>
        <v>406</v>
      </c>
      <c r="D144" s="1843">
        <f>SUM(D140:D143)</f>
        <v>413</v>
      </c>
      <c r="E144" s="1843">
        <f>SUM(E140:E143)</f>
        <v>478</v>
      </c>
      <c r="F144" s="1843">
        <f>SUM(F140:F143)</f>
        <v>449</v>
      </c>
      <c r="G144" s="1912">
        <f t="shared" si="160"/>
        <v>431.4</v>
      </c>
      <c r="H144" s="1843">
        <f>SUM(H140:H143)</f>
        <v>412</v>
      </c>
      <c r="I144" s="1912">
        <f t="shared" si="161"/>
        <v>431.6</v>
      </c>
      <c r="J144" s="1844">
        <f>SUM(J140:J143)</f>
        <v>425</v>
      </c>
      <c r="K144" s="1912">
        <f t="shared" si="162"/>
        <v>435.4</v>
      </c>
      <c r="L144" s="1844">
        <f>SUM(L140:L143)</f>
        <v>418</v>
      </c>
      <c r="M144" s="1912">
        <f t="shared" si="163"/>
        <v>436.4</v>
      </c>
      <c r="N144" s="1844">
        <f>SUM(N140:N143)</f>
        <v>459</v>
      </c>
      <c r="O144" s="1264">
        <f t="shared" si="164"/>
        <v>432.6</v>
      </c>
      <c r="P144" s="1275">
        <f>SUM(P140:P143)</f>
        <v>349</v>
      </c>
      <c r="Q144" s="1266">
        <f t="shared" si="165"/>
        <v>412.6</v>
      </c>
      <c r="R144" s="1275">
        <f>SUM(R140:R143)</f>
        <v>317</v>
      </c>
      <c r="S144" s="1266">
        <f t="shared" si="166"/>
        <v>393.6</v>
      </c>
      <c r="T144" s="1275">
        <f>SUM(T140:T143)</f>
        <v>243</v>
      </c>
      <c r="U144" s="1266">
        <f t="shared" si="167"/>
        <v>357.2</v>
      </c>
      <c r="V144" s="1275">
        <f>SUM(V140:V143)</f>
        <v>236</v>
      </c>
      <c r="W144" s="1266">
        <f t="shared" si="168"/>
        <v>320.8</v>
      </c>
      <c r="X144" s="1275">
        <f>SUM(X140:X143)</f>
        <v>243</v>
      </c>
      <c r="Y144" s="1266">
        <f t="shared" si="169"/>
        <v>277.60000000000002</v>
      </c>
      <c r="Z144" s="1275">
        <f>SUM(Z140:Z143)</f>
        <v>364</v>
      </c>
      <c r="AA144" s="1266">
        <f t="shared" si="170"/>
        <v>280.60000000000002</v>
      </c>
      <c r="AB144" s="1275">
        <f>SUM(AB140:AB143)</f>
        <v>471</v>
      </c>
      <c r="AC144" s="1266">
        <f t="shared" si="171"/>
        <v>311.39999999999998</v>
      </c>
      <c r="AD144" s="1275">
        <f>SUM(AD140:AD143)</f>
        <v>416</v>
      </c>
      <c r="AE144" s="1266">
        <f t="shared" si="172"/>
        <v>346</v>
      </c>
      <c r="AF144" s="1275">
        <f>SUM(AF140:AF143)</f>
        <v>319</v>
      </c>
      <c r="AG144" s="1266">
        <f t="shared" si="173"/>
        <v>362.6</v>
      </c>
      <c r="AH144" s="1931">
        <f>SUM(AH140:AH143)</f>
        <v>329</v>
      </c>
      <c r="AI144" s="1266">
        <f t="shared" si="174"/>
        <v>379.8</v>
      </c>
      <c r="AJ144" s="1504">
        <f>SUM(AJ140:AJ143)</f>
        <v>277</v>
      </c>
      <c r="AK144" s="1498">
        <f t="shared" si="175"/>
        <v>362.4</v>
      </c>
    </row>
    <row r="145" spans="1:37" ht="18" customHeight="1" thickBot="1" x14ac:dyDescent="0.35">
      <c r="A145" s="1511" t="s">
        <v>1003</v>
      </c>
      <c r="B145" s="1512">
        <f>+B144+B138+B110+B71+B36</f>
        <v>2722</v>
      </c>
      <c r="C145" s="1512">
        <f>+C144+C138+C110+C71+C36</f>
        <v>2731</v>
      </c>
      <c r="D145" s="1512">
        <f>+D144+D138+D110+D71+D36</f>
        <v>2600</v>
      </c>
      <c r="E145" s="1512">
        <f>+E144+E138+E110+E71+E36</f>
        <v>2883</v>
      </c>
      <c r="F145" s="1512">
        <f>+F144+F138+F110+F71+F36</f>
        <v>2935</v>
      </c>
      <c r="G145" s="1512">
        <f t="shared" si="160"/>
        <v>2774.2</v>
      </c>
      <c r="H145" s="1512">
        <f>+H144+H138+H110+H71+H36</f>
        <v>2710</v>
      </c>
      <c r="I145" s="1512">
        <f t="shared" si="161"/>
        <v>2771.8</v>
      </c>
      <c r="J145" s="1512">
        <f>+J144+J138+J110+J71+J36</f>
        <v>2947</v>
      </c>
      <c r="K145" s="1512">
        <f t="shared" si="162"/>
        <v>2815</v>
      </c>
      <c r="L145" s="1512">
        <f>+L144+L138+L110+L71+L36</f>
        <v>2950</v>
      </c>
      <c r="M145" s="1512">
        <f t="shared" si="163"/>
        <v>2885</v>
      </c>
      <c r="N145" s="1512">
        <f>+N144+N138+N110+N71+N36</f>
        <v>2918</v>
      </c>
      <c r="O145" s="1513">
        <f t="shared" si="164"/>
        <v>2892</v>
      </c>
      <c r="P145" s="1514">
        <f>+P144+P138+P110+P71+P36</f>
        <v>2703</v>
      </c>
      <c r="Q145" s="1505">
        <f t="shared" si="165"/>
        <v>2845.6</v>
      </c>
      <c r="R145" s="1514">
        <f>+R144+R138+R110+R71+R36</f>
        <v>2682</v>
      </c>
      <c r="S145" s="1505">
        <f t="shared" si="166"/>
        <v>2840</v>
      </c>
      <c r="T145" s="1514">
        <f>+T144+T138+T110+T71+T36</f>
        <v>2408</v>
      </c>
      <c r="U145" s="1505">
        <f t="shared" si="167"/>
        <v>2732.2</v>
      </c>
      <c r="V145" s="1514">
        <f>+V144+V138+V110+V71+V36</f>
        <v>2614</v>
      </c>
      <c r="W145" s="1505">
        <f t="shared" si="168"/>
        <v>2665</v>
      </c>
      <c r="X145" s="1514">
        <f>+X144+X138+X110+X71+X36</f>
        <v>2838</v>
      </c>
      <c r="Y145" s="1505">
        <f t="shared" si="169"/>
        <v>2649</v>
      </c>
      <c r="Z145" s="1514">
        <f>+Z144+Z138+Z110+Z71+Z36</f>
        <v>3060</v>
      </c>
      <c r="AA145" s="1505">
        <f t="shared" si="170"/>
        <v>2720.4</v>
      </c>
      <c r="AB145" s="1514">
        <f>+AB144+AB138+AB110+AB71+AB36</f>
        <v>3069</v>
      </c>
      <c r="AC145" s="1505">
        <f t="shared" si="171"/>
        <v>2797.8</v>
      </c>
      <c r="AD145" s="1514">
        <f>+AD144+AD138+AD110+AD71+AD36</f>
        <v>3049</v>
      </c>
      <c r="AE145" s="1505">
        <f t="shared" si="172"/>
        <v>2926</v>
      </c>
      <c r="AF145" s="1514">
        <f>+AF144+AF138+AF110+AF71+AF36</f>
        <v>2877</v>
      </c>
      <c r="AG145" s="1505">
        <f t="shared" si="173"/>
        <v>2978.6</v>
      </c>
      <c r="AH145" s="1932">
        <f>+AH144+AH138+AH110+AH71+AH36</f>
        <v>2787</v>
      </c>
      <c r="AI145" s="1505">
        <f t="shared" si="174"/>
        <v>2968.4</v>
      </c>
      <c r="AJ145" s="1512">
        <f>+AJ144+AJ138+AJ110+AJ71+AJ36</f>
        <v>2701</v>
      </c>
      <c r="AK145" s="1515">
        <f t="shared" si="175"/>
        <v>2896.6</v>
      </c>
    </row>
    <row r="146" spans="1:37" ht="16.8" x14ac:dyDescent="0.3">
      <c r="P146" s="660"/>
      <c r="Q146" s="660"/>
    </row>
    <row r="147" spans="1:37" ht="16.8" x14ac:dyDescent="0.3">
      <c r="P147" s="660"/>
      <c r="Q147" s="660"/>
    </row>
    <row r="148" spans="1:37" ht="16.8" x14ac:dyDescent="0.3">
      <c r="P148" s="660"/>
      <c r="Q148" s="660"/>
    </row>
    <row r="149" spans="1:37" ht="16.8" x14ac:dyDescent="0.3">
      <c r="P149" s="660"/>
      <c r="Q149" s="660"/>
    </row>
    <row r="150" spans="1:37" ht="16.8" x14ac:dyDescent="0.3">
      <c r="P150" s="660"/>
      <c r="Q150" s="660"/>
    </row>
    <row r="151" spans="1:37" ht="16.8" x14ac:dyDescent="0.3">
      <c r="P151" s="660"/>
      <c r="Q151" s="660"/>
    </row>
    <row r="152" spans="1:37" ht="16.8" x14ac:dyDescent="0.3">
      <c r="P152" s="660"/>
      <c r="Q152" s="660"/>
    </row>
    <row r="153" spans="1:37" ht="16.8" x14ac:dyDescent="0.3">
      <c r="P153" s="660"/>
      <c r="Q153" s="660"/>
    </row>
    <row r="154" spans="1:37" ht="16.8" x14ac:dyDescent="0.3">
      <c r="P154" s="660"/>
      <c r="Q154" s="660"/>
    </row>
    <row r="155" spans="1:37" ht="16.8" x14ac:dyDescent="0.3">
      <c r="P155" s="660"/>
      <c r="Q155" s="660"/>
    </row>
    <row r="156" spans="1:37" ht="16.8" x14ac:dyDescent="0.3">
      <c r="P156" s="660"/>
      <c r="Q156" s="660"/>
    </row>
    <row r="157" spans="1:37" ht="16.8" x14ac:dyDescent="0.3">
      <c r="P157" s="660"/>
      <c r="Q157" s="660"/>
    </row>
    <row r="158" spans="1:37" ht="16.8" x14ac:dyDescent="0.3">
      <c r="P158" s="660"/>
      <c r="Q158" s="660"/>
    </row>
    <row r="159" spans="1:37" ht="16.8" x14ac:dyDescent="0.3">
      <c r="P159" s="660"/>
      <c r="Q159" s="660"/>
    </row>
    <row r="160" spans="1:37" ht="16.8" x14ac:dyDescent="0.3">
      <c r="P160" s="660"/>
      <c r="Q160" s="660"/>
    </row>
    <row r="161" spans="16:17" ht="16.8" x14ac:dyDescent="0.3">
      <c r="P161" s="660"/>
      <c r="Q161" s="660"/>
    </row>
    <row r="162" spans="16:17" ht="16.8" x14ac:dyDescent="0.3">
      <c r="P162" s="660"/>
      <c r="Q162" s="660"/>
    </row>
    <row r="163" spans="16:17" ht="16.8" x14ac:dyDescent="0.3">
      <c r="P163" s="660"/>
      <c r="Q163" s="660"/>
    </row>
    <row r="164" spans="16:17" ht="16.8" x14ac:dyDescent="0.3">
      <c r="P164" s="660"/>
      <c r="Q164" s="660"/>
    </row>
    <row r="165" spans="16:17" ht="16.8" x14ac:dyDescent="0.3">
      <c r="P165" s="660"/>
      <c r="Q165" s="660"/>
    </row>
    <row r="166" spans="16:17" ht="16.8" x14ac:dyDescent="0.3">
      <c r="P166" s="660"/>
      <c r="Q166" s="660"/>
    </row>
    <row r="167" spans="16:17" ht="16.8" x14ac:dyDescent="0.3">
      <c r="P167" s="660"/>
      <c r="Q167" s="660"/>
    </row>
    <row r="168" spans="16:17" ht="16.8" x14ac:dyDescent="0.3">
      <c r="P168" s="660"/>
      <c r="Q168" s="660"/>
    </row>
    <row r="169" spans="16:17" ht="16.8" x14ac:dyDescent="0.3">
      <c r="P169" s="660"/>
      <c r="Q169" s="660"/>
    </row>
    <row r="170" spans="16:17" ht="16.8" x14ac:dyDescent="0.3">
      <c r="P170" s="660"/>
      <c r="Q170" s="660"/>
    </row>
    <row r="171" spans="16:17" ht="16.8" x14ac:dyDescent="0.3">
      <c r="P171" s="660"/>
      <c r="Q171" s="660"/>
    </row>
    <row r="172" spans="16:17" ht="16.8" x14ac:dyDescent="0.3">
      <c r="P172" s="660"/>
      <c r="Q172" s="660"/>
    </row>
    <row r="173" spans="16:17" ht="16.8" x14ac:dyDescent="0.3">
      <c r="P173" s="660"/>
      <c r="Q173" s="660"/>
    </row>
    <row r="174" spans="16:17" ht="16.8" x14ac:dyDescent="0.3">
      <c r="P174" s="660"/>
      <c r="Q174" s="660"/>
    </row>
    <row r="175" spans="16:17" ht="16.8" x14ac:dyDescent="0.3">
      <c r="P175" s="660"/>
      <c r="Q175" s="660"/>
    </row>
    <row r="176" spans="16:17" ht="16.8" x14ac:dyDescent="0.3">
      <c r="P176" s="660"/>
      <c r="Q176" s="660"/>
    </row>
    <row r="177" spans="16:17" ht="16.8" x14ac:dyDescent="0.3">
      <c r="P177" s="660"/>
      <c r="Q177" s="660"/>
    </row>
    <row r="178" spans="16:17" ht="16.8" x14ac:dyDescent="0.3">
      <c r="P178" s="660"/>
      <c r="Q178" s="660"/>
    </row>
    <row r="179" spans="16:17" ht="16.8" x14ac:dyDescent="0.3">
      <c r="P179" s="660"/>
      <c r="Q179" s="660"/>
    </row>
    <row r="180" spans="16:17" ht="16.8" x14ac:dyDescent="0.3">
      <c r="P180" s="660"/>
      <c r="Q180" s="660"/>
    </row>
    <row r="181" spans="16:17" ht="16.8" x14ac:dyDescent="0.3">
      <c r="P181" s="660"/>
      <c r="Q181" s="660"/>
    </row>
    <row r="182" spans="16:17" ht="16.8" x14ac:dyDescent="0.3">
      <c r="P182" s="660"/>
      <c r="Q182" s="660"/>
    </row>
    <row r="183" spans="16:17" ht="16.8" x14ac:dyDescent="0.3">
      <c r="P183" s="660"/>
      <c r="Q183" s="660"/>
    </row>
    <row r="184" spans="16:17" ht="16.8" x14ac:dyDescent="0.3">
      <c r="P184" s="660"/>
      <c r="Q184" s="660"/>
    </row>
    <row r="185" spans="16:17" ht="16.8" x14ac:dyDescent="0.3">
      <c r="P185" s="660"/>
      <c r="Q185" s="660"/>
    </row>
    <row r="186" spans="16:17" ht="16.8" x14ac:dyDescent="0.3">
      <c r="P186" s="660"/>
      <c r="Q186" s="660"/>
    </row>
    <row r="187" spans="16:17" ht="16.8" x14ac:dyDescent="0.3">
      <c r="P187" s="660"/>
      <c r="Q187" s="660"/>
    </row>
    <row r="188" spans="16:17" ht="16.8" x14ac:dyDescent="0.3">
      <c r="P188" s="660"/>
      <c r="Q188" s="660"/>
    </row>
    <row r="189" spans="16:17" ht="16.8" x14ac:dyDescent="0.3">
      <c r="P189" s="660"/>
      <c r="Q189" s="660"/>
    </row>
    <row r="190" spans="16:17" ht="16.8" x14ac:dyDescent="0.3">
      <c r="P190" s="660"/>
      <c r="Q190" s="660"/>
    </row>
    <row r="191" spans="16:17" ht="16.8" x14ac:dyDescent="0.3">
      <c r="P191" s="660"/>
      <c r="Q191" s="660"/>
    </row>
    <row r="192" spans="16:17" ht="16.8" x14ac:dyDescent="0.3">
      <c r="P192" s="660"/>
      <c r="Q192" s="660"/>
    </row>
    <row r="193" spans="16:17" ht="16.8" x14ac:dyDescent="0.3">
      <c r="P193" s="660"/>
      <c r="Q193" s="660"/>
    </row>
    <row r="194" spans="16:17" ht="16.8" x14ac:dyDescent="0.3">
      <c r="P194" s="660"/>
      <c r="Q194" s="660"/>
    </row>
    <row r="195" spans="16:17" ht="16.8" x14ac:dyDescent="0.3">
      <c r="P195" s="660"/>
      <c r="Q195" s="660"/>
    </row>
    <row r="196" spans="16:17" ht="16.8" x14ac:dyDescent="0.3">
      <c r="P196" s="660"/>
      <c r="Q196" s="660"/>
    </row>
    <row r="197" spans="16:17" ht="16.8" x14ac:dyDescent="0.3">
      <c r="P197" s="660"/>
      <c r="Q197" s="660"/>
    </row>
    <row r="198" spans="16:17" ht="16.8" x14ac:dyDescent="0.3">
      <c r="P198" s="660"/>
      <c r="Q198" s="660"/>
    </row>
    <row r="199" spans="16:17" ht="16.8" x14ac:dyDescent="0.3">
      <c r="P199" s="660"/>
      <c r="Q199" s="660"/>
    </row>
    <row r="200" spans="16:17" ht="16.8" x14ac:dyDescent="0.3">
      <c r="P200" s="660"/>
      <c r="Q200" s="660"/>
    </row>
    <row r="201" spans="16:17" ht="16.8" x14ac:dyDescent="0.3">
      <c r="P201" s="660"/>
      <c r="Q201" s="660"/>
    </row>
    <row r="202" spans="16:17" ht="16.8" x14ac:dyDescent="0.3">
      <c r="P202" s="660"/>
      <c r="Q202" s="660"/>
    </row>
    <row r="203" spans="16:17" ht="16.8" x14ac:dyDescent="0.3">
      <c r="P203" s="660"/>
      <c r="Q203" s="660"/>
    </row>
    <row r="204" spans="16:17" ht="16.8" x14ac:dyDescent="0.3">
      <c r="P204" s="660"/>
      <c r="Q204" s="660"/>
    </row>
    <row r="205" spans="16:17" ht="16.8" x14ac:dyDescent="0.3">
      <c r="P205" s="660"/>
      <c r="Q205" s="660"/>
    </row>
    <row r="206" spans="16:17" ht="16.8" x14ac:dyDescent="0.3">
      <c r="P206" s="660"/>
      <c r="Q206" s="660"/>
    </row>
    <row r="207" spans="16:17" ht="16.8" x14ac:dyDescent="0.3">
      <c r="P207" s="660"/>
      <c r="Q207" s="660"/>
    </row>
    <row r="208" spans="16:17" ht="16.8" x14ac:dyDescent="0.3">
      <c r="P208" s="660"/>
      <c r="Q208" s="660"/>
    </row>
    <row r="209" spans="16:17" ht="16.8" x14ac:dyDescent="0.3">
      <c r="P209" s="660"/>
      <c r="Q209" s="660"/>
    </row>
    <row r="210" spans="16:17" ht="16.8" x14ac:dyDescent="0.3">
      <c r="P210" s="660"/>
      <c r="Q210" s="660"/>
    </row>
    <row r="211" spans="16:17" ht="16.8" x14ac:dyDescent="0.3">
      <c r="P211" s="660"/>
      <c r="Q211" s="660"/>
    </row>
    <row r="212" spans="16:17" ht="16.8" x14ac:dyDescent="0.3">
      <c r="P212" s="660"/>
      <c r="Q212" s="660"/>
    </row>
    <row r="213" spans="16:17" ht="16.8" x14ac:dyDescent="0.3">
      <c r="P213" s="660"/>
      <c r="Q213" s="660"/>
    </row>
    <row r="214" spans="16:17" ht="16.8" x14ac:dyDescent="0.3">
      <c r="P214" s="660"/>
      <c r="Q214" s="660"/>
    </row>
    <row r="215" spans="16:17" ht="16.8" x14ac:dyDescent="0.3">
      <c r="P215" s="660"/>
      <c r="Q215" s="660"/>
    </row>
    <row r="216" spans="16:17" ht="16.8" x14ac:dyDescent="0.3">
      <c r="P216" s="660"/>
      <c r="Q216" s="660"/>
    </row>
    <row r="217" spans="16:17" ht="16.8" x14ac:dyDescent="0.3">
      <c r="P217" s="660"/>
      <c r="Q217" s="660"/>
    </row>
    <row r="218" spans="16:17" ht="16.8" x14ac:dyDescent="0.3">
      <c r="P218" s="660"/>
      <c r="Q218" s="660"/>
    </row>
    <row r="219" spans="16:17" ht="16.8" x14ac:dyDescent="0.3">
      <c r="P219" s="660"/>
      <c r="Q219" s="660"/>
    </row>
    <row r="220" spans="16:17" ht="16.8" x14ac:dyDescent="0.3">
      <c r="P220" s="660"/>
      <c r="Q220" s="660"/>
    </row>
    <row r="221" spans="16:17" ht="16.8" x14ac:dyDescent="0.3">
      <c r="P221" s="660"/>
      <c r="Q221" s="660"/>
    </row>
    <row r="222" spans="16:17" ht="16.8" x14ac:dyDescent="0.3">
      <c r="P222" s="660"/>
      <c r="Q222" s="660"/>
    </row>
    <row r="223" spans="16:17" ht="16.8" x14ac:dyDescent="0.3">
      <c r="P223" s="660"/>
      <c r="Q223" s="660"/>
    </row>
    <row r="224" spans="16:17" ht="16.8" x14ac:dyDescent="0.3">
      <c r="P224" s="660"/>
      <c r="Q224" s="660"/>
    </row>
    <row r="225" spans="16:17" ht="16.8" x14ac:dyDescent="0.3">
      <c r="P225" s="660"/>
      <c r="Q225" s="660"/>
    </row>
    <row r="226" spans="16:17" ht="16.8" x14ac:dyDescent="0.3">
      <c r="P226" s="660"/>
      <c r="Q226" s="660"/>
    </row>
    <row r="227" spans="16:17" ht="16.8" x14ac:dyDescent="0.3">
      <c r="P227" s="660"/>
      <c r="Q227" s="660"/>
    </row>
    <row r="228" spans="16:17" ht="16.8" x14ac:dyDescent="0.3">
      <c r="P228" s="660"/>
      <c r="Q228" s="660"/>
    </row>
    <row r="229" spans="16:17" ht="16.8" x14ac:dyDescent="0.3">
      <c r="P229" s="660"/>
      <c r="Q229" s="660"/>
    </row>
    <row r="230" spans="16:17" ht="16.8" x14ac:dyDescent="0.3">
      <c r="P230" s="660"/>
      <c r="Q230" s="660"/>
    </row>
    <row r="231" spans="16:17" ht="16.8" x14ac:dyDescent="0.3">
      <c r="P231" s="660"/>
      <c r="Q231" s="660"/>
    </row>
    <row r="232" spans="16:17" ht="16.8" x14ac:dyDescent="0.3">
      <c r="P232" s="660"/>
      <c r="Q232" s="660"/>
    </row>
    <row r="233" spans="16:17" ht="16.8" x14ac:dyDescent="0.3">
      <c r="P233" s="660"/>
      <c r="Q233" s="660"/>
    </row>
    <row r="234" spans="16:17" ht="16.8" x14ac:dyDescent="0.3">
      <c r="P234" s="660"/>
      <c r="Q234" s="660"/>
    </row>
    <row r="235" spans="16:17" ht="16.8" x14ac:dyDescent="0.3">
      <c r="P235" s="660"/>
      <c r="Q235" s="660"/>
    </row>
    <row r="236" spans="16:17" ht="16.8" x14ac:dyDescent="0.3">
      <c r="P236" s="660"/>
      <c r="Q236" s="660"/>
    </row>
    <row r="237" spans="16:17" ht="16.8" x14ac:dyDescent="0.3">
      <c r="P237" s="660"/>
      <c r="Q237" s="660"/>
    </row>
    <row r="238" spans="16:17" ht="16.8" x14ac:dyDescent="0.3">
      <c r="P238" s="660"/>
      <c r="Q238" s="660"/>
    </row>
    <row r="239" spans="16:17" ht="16.8" x14ac:dyDescent="0.3">
      <c r="P239" s="660"/>
      <c r="Q239" s="660"/>
    </row>
    <row r="240" spans="16:17" ht="16.8" x14ac:dyDescent="0.3">
      <c r="P240" s="660"/>
      <c r="Q240" s="660"/>
    </row>
    <row r="241" spans="16:17" ht="16.8" x14ac:dyDescent="0.3">
      <c r="P241" s="660"/>
      <c r="Q241" s="660"/>
    </row>
    <row r="242" spans="16:17" ht="16.8" x14ac:dyDescent="0.3">
      <c r="P242" s="660"/>
      <c r="Q242" s="660"/>
    </row>
    <row r="243" spans="16:17" ht="16.8" x14ac:dyDescent="0.3">
      <c r="P243" s="660"/>
      <c r="Q243" s="660"/>
    </row>
    <row r="244" spans="16:17" ht="16.8" x14ac:dyDescent="0.3">
      <c r="P244" s="660"/>
      <c r="Q244" s="660"/>
    </row>
    <row r="245" spans="16:17" ht="16.8" x14ac:dyDescent="0.3">
      <c r="P245" s="660"/>
      <c r="Q245" s="660"/>
    </row>
    <row r="246" spans="16:17" ht="16.8" x14ac:dyDescent="0.3">
      <c r="P246" s="660"/>
      <c r="Q246" s="660"/>
    </row>
    <row r="247" spans="16:17" ht="16.8" x14ac:dyDescent="0.3">
      <c r="P247" s="660"/>
      <c r="Q247" s="660"/>
    </row>
    <row r="248" spans="16:17" ht="16.8" x14ac:dyDescent="0.3">
      <c r="P248" s="660"/>
      <c r="Q248" s="660"/>
    </row>
    <row r="249" spans="16:17" ht="16.8" x14ac:dyDescent="0.3">
      <c r="P249" s="660"/>
      <c r="Q249" s="660"/>
    </row>
    <row r="250" spans="16:17" ht="16.8" x14ac:dyDescent="0.3">
      <c r="P250" s="660"/>
      <c r="Q250" s="660"/>
    </row>
    <row r="251" spans="16:17" ht="16.8" x14ac:dyDescent="0.3">
      <c r="P251" s="660"/>
      <c r="Q251" s="660"/>
    </row>
    <row r="252" spans="16:17" ht="16.8" x14ac:dyDescent="0.3">
      <c r="P252" s="660"/>
      <c r="Q252" s="660"/>
    </row>
    <row r="253" spans="16:17" ht="16.8" x14ac:dyDescent="0.3">
      <c r="P253" s="660"/>
      <c r="Q253" s="660"/>
    </row>
    <row r="254" spans="16:17" ht="16.8" x14ac:dyDescent="0.3">
      <c r="P254" s="660"/>
      <c r="Q254" s="660"/>
    </row>
    <row r="255" spans="16:17" ht="16.8" x14ac:dyDescent="0.3">
      <c r="P255" s="660"/>
      <c r="Q255" s="660"/>
    </row>
    <row r="256" spans="16:17" ht="16.8" x14ac:dyDescent="0.3">
      <c r="P256" s="660"/>
      <c r="Q256" s="660"/>
    </row>
    <row r="257" spans="16:17" ht="16.8" x14ac:dyDescent="0.3">
      <c r="P257" s="660"/>
      <c r="Q257" s="660"/>
    </row>
    <row r="258" spans="16:17" ht="16.8" x14ac:dyDescent="0.3">
      <c r="P258" s="660"/>
      <c r="Q258" s="660"/>
    </row>
    <row r="259" spans="16:17" ht="16.8" x14ac:dyDescent="0.3">
      <c r="P259" s="660"/>
      <c r="Q259" s="660"/>
    </row>
    <row r="260" spans="16:17" ht="16.8" x14ac:dyDescent="0.3">
      <c r="P260" s="660"/>
      <c r="Q260" s="660"/>
    </row>
    <row r="261" spans="16:17" ht="16.8" x14ac:dyDescent="0.3">
      <c r="P261" s="660"/>
      <c r="Q261" s="660"/>
    </row>
    <row r="262" spans="16:17" ht="16.8" x14ac:dyDescent="0.3">
      <c r="P262" s="660"/>
      <c r="Q262" s="660"/>
    </row>
    <row r="263" spans="16:17" ht="16.8" x14ac:dyDescent="0.3">
      <c r="P263" s="660"/>
      <c r="Q263" s="660"/>
    </row>
    <row r="264" spans="16:17" ht="16.8" x14ac:dyDescent="0.3">
      <c r="P264" s="660"/>
      <c r="Q264" s="660"/>
    </row>
    <row r="265" spans="16:17" ht="16.8" x14ac:dyDescent="0.3">
      <c r="P265" s="660"/>
      <c r="Q265" s="660"/>
    </row>
    <row r="266" spans="16:17" ht="16.8" x14ac:dyDescent="0.3">
      <c r="P266" s="660"/>
      <c r="Q266" s="660"/>
    </row>
    <row r="267" spans="16:17" ht="16.8" x14ac:dyDescent="0.3">
      <c r="P267" s="660"/>
      <c r="Q267" s="660"/>
    </row>
    <row r="268" spans="16:17" ht="16.8" x14ac:dyDescent="0.3">
      <c r="P268" s="660"/>
      <c r="Q268" s="660"/>
    </row>
    <row r="269" spans="16:17" ht="16.8" x14ac:dyDescent="0.3">
      <c r="P269" s="660"/>
      <c r="Q269" s="660"/>
    </row>
    <row r="270" spans="16:17" ht="16.8" x14ac:dyDescent="0.3">
      <c r="P270" s="660"/>
      <c r="Q270" s="660"/>
    </row>
    <row r="271" spans="16:17" ht="16.8" x14ac:dyDescent="0.3">
      <c r="P271" s="660"/>
      <c r="Q271" s="660"/>
    </row>
    <row r="272" spans="16:17" ht="16.8" x14ac:dyDescent="0.3">
      <c r="P272" s="660"/>
      <c r="Q272" s="660"/>
    </row>
    <row r="273" spans="16:17" ht="16.8" x14ac:dyDescent="0.3">
      <c r="P273" s="660"/>
      <c r="Q273" s="660"/>
    </row>
    <row r="274" spans="16:17" ht="16.8" x14ac:dyDescent="0.3">
      <c r="P274" s="660"/>
      <c r="Q274" s="660"/>
    </row>
    <row r="275" spans="16:17" ht="16.8" x14ac:dyDescent="0.3">
      <c r="P275" s="660"/>
      <c r="Q275" s="660"/>
    </row>
    <row r="276" spans="16:17" ht="16.8" x14ac:dyDescent="0.3">
      <c r="P276" s="660"/>
      <c r="Q276" s="660"/>
    </row>
    <row r="277" spans="16:17" ht="16.8" x14ac:dyDescent="0.3">
      <c r="P277" s="660"/>
      <c r="Q277" s="660"/>
    </row>
    <row r="278" spans="16:17" ht="16.8" x14ac:dyDescent="0.3">
      <c r="P278" s="660"/>
      <c r="Q278" s="660"/>
    </row>
    <row r="279" spans="16:17" ht="16.8" x14ac:dyDescent="0.3">
      <c r="P279" s="660"/>
      <c r="Q279" s="660"/>
    </row>
    <row r="280" spans="16:17" ht="16.8" x14ac:dyDescent="0.3">
      <c r="P280" s="660"/>
      <c r="Q280" s="660"/>
    </row>
    <row r="281" spans="16:17" ht="16.8" x14ac:dyDescent="0.3">
      <c r="P281" s="660"/>
      <c r="Q281" s="660"/>
    </row>
    <row r="282" spans="16:17" ht="16.8" x14ac:dyDescent="0.3">
      <c r="P282" s="660"/>
      <c r="Q282" s="660"/>
    </row>
    <row r="283" spans="16:17" ht="16.8" x14ac:dyDescent="0.3">
      <c r="P283" s="660"/>
      <c r="Q283" s="660"/>
    </row>
    <row r="284" spans="16:17" ht="16.8" x14ac:dyDescent="0.3">
      <c r="P284" s="660"/>
      <c r="Q284" s="660"/>
    </row>
    <row r="285" spans="16:17" ht="16.8" x14ac:dyDescent="0.3">
      <c r="P285" s="660"/>
      <c r="Q285" s="660"/>
    </row>
    <row r="286" spans="16:17" ht="16.8" x14ac:dyDescent="0.3">
      <c r="P286" s="660"/>
      <c r="Q286" s="660"/>
    </row>
    <row r="287" spans="16:17" ht="16.8" x14ac:dyDescent="0.3">
      <c r="P287" s="660"/>
      <c r="Q287" s="660"/>
    </row>
    <row r="288" spans="16:17" ht="16.8" x14ac:dyDescent="0.3">
      <c r="P288" s="660"/>
      <c r="Q288" s="660"/>
    </row>
    <row r="289" spans="16:17" ht="16.8" x14ac:dyDescent="0.3">
      <c r="P289" s="660"/>
      <c r="Q289" s="660"/>
    </row>
    <row r="290" spans="16:17" ht="16.8" x14ac:dyDescent="0.3">
      <c r="P290" s="660"/>
      <c r="Q290" s="660"/>
    </row>
    <row r="291" spans="16:17" ht="16.8" x14ac:dyDescent="0.3">
      <c r="P291" s="660"/>
      <c r="Q291" s="660"/>
    </row>
    <row r="292" spans="16:17" ht="16.8" x14ac:dyDescent="0.3">
      <c r="P292" s="660"/>
      <c r="Q292" s="660"/>
    </row>
    <row r="293" spans="16:17" ht="16.8" x14ac:dyDescent="0.3">
      <c r="P293" s="660"/>
      <c r="Q293" s="660"/>
    </row>
    <row r="294" spans="16:17" ht="16.8" x14ac:dyDescent="0.3">
      <c r="P294" s="660"/>
      <c r="Q294" s="660"/>
    </row>
    <row r="295" spans="16:17" ht="16.8" x14ac:dyDescent="0.3">
      <c r="P295" s="660"/>
      <c r="Q295" s="660"/>
    </row>
    <row r="296" spans="16:17" ht="16.8" x14ac:dyDescent="0.3">
      <c r="P296" s="660"/>
      <c r="Q296" s="660"/>
    </row>
    <row r="297" spans="16:17" ht="16.8" x14ac:dyDescent="0.3">
      <c r="P297" s="660"/>
      <c r="Q297" s="660"/>
    </row>
    <row r="298" spans="16:17" ht="16.8" x14ac:dyDescent="0.3">
      <c r="P298" s="660"/>
      <c r="Q298" s="660"/>
    </row>
    <row r="299" spans="16:17" ht="16.8" x14ac:dyDescent="0.3">
      <c r="P299" s="660"/>
      <c r="Q299" s="660"/>
    </row>
    <row r="300" spans="16:17" ht="16.8" x14ac:dyDescent="0.3">
      <c r="P300" s="660"/>
      <c r="Q300" s="660"/>
    </row>
    <row r="301" spans="16:17" ht="16.8" x14ac:dyDescent="0.3">
      <c r="P301" s="660"/>
      <c r="Q301" s="660"/>
    </row>
    <row r="302" spans="16:17" ht="16.8" x14ac:dyDescent="0.3">
      <c r="P302" s="660"/>
      <c r="Q302" s="660"/>
    </row>
    <row r="303" spans="16:17" ht="16.8" x14ac:dyDescent="0.3">
      <c r="P303" s="660"/>
      <c r="Q303" s="660"/>
    </row>
    <row r="304" spans="16:17" ht="16.8" x14ac:dyDescent="0.3">
      <c r="P304" s="660"/>
      <c r="Q304" s="660"/>
    </row>
    <row r="305" spans="16:17" ht="16.8" x14ac:dyDescent="0.3">
      <c r="P305" s="660"/>
      <c r="Q305" s="660"/>
    </row>
    <row r="306" spans="16:17" ht="16.8" x14ac:dyDescent="0.3">
      <c r="P306" s="660"/>
      <c r="Q306" s="660"/>
    </row>
    <row r="307" spans="16:17" ht="16.8" x14ac:dyDescent="0.3">
      <c r="P307" s="660"/>
      <c r="Q307" s="660"/>
    </row>
    <row r="308" spans="16:17" ht="16.8" x14ac:dyDescent="0.3">
      <c r="P308" s="660"/>
      <c r="Q308" s="660"/>
    </row>
    <row r="309" spans="16:17" ht="16.8" x14ac:dyDescent="0.3">
      <c r="P309" s="660"/>
      <c r="Q309" s="660"/>
    </row>
    <row r="310" spans="16:17" ht="16.8" x14ac:dyDescent="0.3">
      <c r="P310" s="660"/>
      <c r="Q310" s="660"/>
    </row>
    <row r="311" spans="16:17" ht="16.8" x14ac:dyDescent="0.3">
      <c r="P311" s="660"/>
      <c r="Q311" s="660"/>
    </row>
    <row r="312" spans="16:17" ht="16.8" x14ac:dyDescent="0.3">
      <c r="P312" s="660"/>
      <c r="Q312" s="660"/>
    </row>
    <row r="313" spans="16:17" ht="16.8" x14ac:dyDescent="0.3">
      <c r="P313" s="660"/>
      <c r="Q313" s="660"/>
    </row>
    <row r="314" spans="16:17" ht="16.8" x14ac:dyDescent="0.3">
      <c r="P314" s="660"/>
      <c r="Q314" s="660"/>
    </row>
    <row r="315" spans="16:17" ht="16.8" x14ac:dyDescent="0.3">
      <c r="P315" s="660"/>
      <c r="Q315" s="660"/>
    </row>
    <row r="316" spans="16:17" ht="16.8" x14ac:dyDescent="0.3">
      <c r="P316" s="660"/>
      <c r="Q316" s="660"/>
    </row>
    <row r="317" spans="16:17" ht="16.8" x14ac:dyDescent="0.3">
      <c r="P317" s="660"/>
      <c r="Q317" s="660"/>
    </row>
    <row r="318" spans="16:17" ht="16.8" x14ac:dyDescent="0.3">
      <c r="P318" s="660"/>
      <c r="Q318" s="660"/>
    </row>
    <row r="319" spans="16:17" ht="16.8" x14ac:dyDescent="0.3">
      <c r="P319" s="660"/>
      <c r="Q319" s="660"/>
    </row>
  </sheetData>
  <mergeCells count="5">
    <mergeCell ref="A111:AK111"/>
    <mergeCell ref="A72:AK72"/>
    <mergeCell ref="A37:AK37"/>
    <mergeCell ref="A3:AK3"/>
    <mergeCell ref="A1:AK1"/>
  </mergeCells>
  <phoneticPr fontId="16" type="noConversion"/>
  <printOptions horizontalCentered="1" verticalCentered="1"/>
  <pageMargins left="0.2" right="0.2" top="0.3" bottom="0.4" header="0" footer="0.15"/>
  <pageSetup paperSize="5" scale="43" orientation="landscape" r:id="rId1"/>
  <headerFooter alignWithMargins="0">
    <oddFooter>&amp;LSource: Office of Institutional Research</oddFooter>
  </headerFooter>
  <rowBreaks count="1" manualBreakCount="1">
    <brk id="71" max="16383"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workbookViewId="0">
      <selection sqref="A1:J1"/>
    </sheetView>
  </sheetViews>
  <sheetFormatPr defaultRowHeight="13.2" x14ac:dyDescent="0.25"/>
  <cols>
    <col min="1" max="1" width="64.5546875" bestFit="1" customWidth="1"/>
    <col min="2" max="2" width="15.44140625" hidden="1" customWidth="1"/>
    <col min="3" max="30" width="15.44140625" customWidth="1"/>
  </cols>
  <sheetData>
    <row r="1" spans="1:10" ht="19.8" thickBot="1" x14ac:dyDescent="0.4">
      <c r="A1" s="2174" t="s">
        <v>1525</v>
      </c>
      <c r="B1" s="2174"/>
      <c r="C1" s="2174"/>
      <c r="D1" s="2174"/>
      <c r="E1" s="2174"/>
      <c r="F1" s="2174"/>
      <c r="G1" s="2174"/>
      <c r="H1" s="2174"/>
      <c r="I1" s="2174"/>
      <c r="J1" s="2174"/>
    </row>
    <row r="2" spans="1:10" ht="18" thickBot="1" x14ac:dyDescent="0.35">
      <c r="A2" s="2175"/>
      <c r="B2" s="2176"/>
      <c r="C2" s="2176"/>
      <c r="D2" s="2176"/>
      <c r="E2" s="2176"/>
      <c r="F2" s="2176"/>
      <c r="G2" s="2176"/>
      <c r="H2" s="2176"/>
      <c r="I2" s="2176"/>
      <c r="J2" s="2177"/>
    </row>
    <row r="3" spans="1:10" ht="16.8" x14ac:dyDescent="0.3">
      <c r="A3" s="549" t="s">
        <v>496</v>
      </c>
      <c r="B3" s="1193" t="s">
        <v>615</v>
      </c>
      <c r="C3" s="1193" t="s">
        <v>1418</v>
      </c>
      <c r="D3" s="1193" t="s">
        <v>1446</v>
      </c>
      <c r="E3" s="1193" t="s">
        <v>1447</v>
      </c>
      <c r="F3" s="1524" t="s">
        <v>1438</v>
      </c>
      <c r="G3" s="1524" t="s">
        <v>1549</v>
      </c>
      <c r="H3" s="1524" t="s">
        <v>1611</v>
      </c>
      <c r="I3" s="1524" t="s">
        <v>1639</v>
      </c>
      <c r="J3" s="1524" t="s">
        <v>1721</v>
      </c>
    </row>
    <row r="4" spans="1:10" ht="16.8" x14ac:dyDescent="0.3">
      <c r="A4" s="552" t="s">
        <v>489</v>
      </c>
      <c r="B4" s="544">
        <v>20</v>
      </c>
      <c r="C4" s="544">
        <v>21</v>
      </c>
      <c r="D4" s="544">
        <v>24</v>
      </c>
      <c r="E4" s="1077">
        <v>30</v>
      </c>
      <c r="F4" s="1076">
        <v>20</v>
      </c>
      <c r="G4" s="1076">
        <v>18</v>
      </c>
      <c r="H4" s="1076">
        <v>21</v>
      </c>
      <c r="I4" s="1076">
        <v>24</v>
      </c>
      <c r="J4" s="1076">
        <v>26</v>
      </c>
    </row>
    <row r="5" spans="1:10" ht="16.8" x14ac:dyDescent="0.3">
      <c r="A5" s="552" t="s">
        <v>490</v>
      </c>
      <c r="B5" s="544">
        <v>22</v>
      </c>
      <c r="C5" s="544">
        <v>24</v>
      </c>
      <c r="D5" s="544">
        <v>38</v>
      </c>
      <c r="E5" s="1077">
        <v>37</v>
      </c>
      <c r="F5" s="1076">
        <v>39</v>
      </c>
      <c r="G5" s="1076">
        <v>45</v>
      </c>
      <c r="H5" s="1076">
        <v>37</v>
      </c>
      <c r="I5" s="1076">
        <v>35</v>
      </c>
      <c r="J5" s="1076">
        <v>28</v>
      </c>
    </row>
    <row r="6" spans="1:10" ht="16.8" x14ac:dyDescent="0.3">
      <c r="A6" s="552" t="s">
        <v>491</v>
      </c>
      <c r="B6" s="544">
        <v>19</v>
      </c>
      <c r="C6" s="544">
        <v>20</v>
      </c>
      <c r="D6" s="544">
        <v>22</v>
      </c>
      <c r="E6" s="1077">
        <v>20</v>
      </c>
      <c r="F6" s="1076">
        <v>19</v>
      </c>
      <c r="G6" s="1076">
        <v>15</v>
      </c>
      <c r="H6" s="1076">
        <v>12</v>
      </c>
      <c r="I6" s="1076">
        <v>11</v>
      </c>
      <c r="J6" s="1076">
        <v>13</v>
      </c>
    </row>
    <row r="7" spans="1:10" ht="16.8" x14ac:dyDescent="0.3">
      <c r="A7" s="552" t="s">
        <v>492</v>
      </c>
      <c r="B7" s="544">
        <v>25</v>
      </c>
      <c r="C7" s="544">
        <v>30</v>
      </c>
      <c r="D7" s="544">
        <v>30</v>
      </c>
      <c r="E7" s="1077">
        <v>24</v>
      </c>
      <c r="F7" s="1076">
        <v>20</v>
      </c>
      <c r="G7" s="1076">
        <v>22</v>
      </c>
      <c r="H7" s="1076">
        <v>26</v>
      </c>
      <c r="I7" s="1076">
        <v>26</v>
      </c>
      <c r="J7" s="1076">
        <v>26</v>
      </c>
    </row>
    <row r="8" spans="1:10" ht="16.8" x14ac:dyDescent="0.3">
      <c r="A8" s="552" t="s">
        <v>493</v>
      </c>
      <c r="B8" s="544">
        <v>1</v>
      </c>
      <c r="C8" s="544">
        <v>0</v>
      </c>
      <c r="D8" s="544">
        <v>0</v>
      </c>
      <c r="E8" s="1077">
        <v>0</v>
      </c>
      <c r="F8" s="1076">
        <v>0</v>
      </c>
      <c r="G8" s="1076">
        <v>0</v>
      </c>
      <c r="H8" s="1076">
        <v>0</v>
      </c>
      <c r="I8" s="1076">
        <v>0</v>
      </c>
      <c r="J8" s="1076">
        <v>0</v>
      </c>
    </row>
    <row r="9" spans="1:10" ht="16.8" x14ac:dyDescent="0.3">
      <c r="A9" s="552" t="s">
        <v>494</v>
      </c>
      <c r="B9" s="544">
        <v>4</v>
      </c>
      <c r="C9" s="544">
        <v>0</v>
      </c>
      <c r="D9" s="544">
        <v>0</v>
      </c>
      <c r="E9" s="1077">
        <v>0</v>
      </c>
      <c r="F9" s="1076">
        <v>0</v>
      </c>
      <c r="G9" s="1076">
        <v>0</v>
      </c>
      <c r="H9" s="1076">
        <v>0</v>
      </c>
      <c r="I9" s="1076">
        <v>0</v>
      </c>
      <c r="J9" s="1076">
        <v>0</v>
      </c>
    </row>
    <row r="10" spans="1:10" ht="16.8" x14ac:dyDescent="0.3">
      <c r="A10" s="552" t="s">
        <v>495</v>
      </c>
      <c r="B10" s="544">
        <v>7</v>
      </c>
      <c r="C10" s="544">
        <v>8</v>
      </c>
      <c r="D10" s="544">
        <v>13</v>
      </c>
      <c r="E10" s="1077">
        <v>10</v>
      </c>
      <c r="F10" s="1076">
        <v>4</v>
      </c>
      <c r="G10" s="1076">
        <v>6</v>
      </c>
      <c r="H10" s="1076">
        <v>8</v>
      </c>
      <c r="I10" s="1076">
        <v>9</v>
      </c>
      <c r="J10" s="1076">
        <v>8</v>
      </c>
    </row>
    <row r="11" spans="1:10" ht="17.399999999999999" thickBot="1" x14ac:dyDescent="0.35">
      <c r="A11" s="725" t="s">
        <v>888</v>
      </c>
      <c r="B11" s="577">
        <f t="shared" ref="B11:G11" si="0">SUM(B4:B10)</f>
        <v>98</v>
      </c>
      <c r="C11" s="577">
        <f t="shared" si="0"/>
        <v>103</v>
      </c>
      <c r="D11" s="577">
        <f t="shared" si="0"/>
        <v>127</v>
      </c>
      <c r="E11" s="577">
        <f t="shared" si="0"/>
        <v>121</v>
      </c>
      <c r="F11" s="1010">
        <f t="shared" si="0"/>
        <v>102</v>
      </c>
      <c r="G11" s="1010">
        <f t="shared" si="0"/>
        <v>106</v>
      </c>
      <c r="H11" s="1010">
        <f>SUM(H4:H10)</f>
        <v>104</v>
      </c>
      <c r="I11" s="1010">
        <f>SUM(I4:I10)</f>
        <v>105</v>
      </c>
      <c r="J11" s="1010">
        <f>SUM(J4:J10)</f>
        <v>101</v>
      </c>
    </row>
  </sheetData>
  <mergeCells count="2">
    <mergeCell ref="A2:J2"/>
    <mergeCell ref="A1:J1"/>
  </mergeCells>
  <printOptions horizontalCentered="1" verticalCentered="1"/>
  <pageMargins left="0.2" right="0.2" top="0.3" bottom="0.4" header="0" footer="0.15"/>
  <pageSetup scale="53" orientation="landscape" r:id="rId1"/>
  <headerFooter alignWithMargins="0">
    <oddFooter>&amp;LSource: Office of Institutional Research</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TE58"/>
  <sheetViews>
    <sheetView topLeftCell="B1" workbookViewId="0"/>
  </sheetViews>
  <sheetFormatPr defaultColWidth="7.88671875" defaultRowHeight="13.2" x14ac:dyDescent="0.25"/>
  <cols>
    <col min="1" max="1" width="7.88671875" style="164" hidden="1" customWidth="1"/>
    <col min="2" max="2" width="30" style="1" customWidth="1"/>
    <col min="3" max="6" width="10.6640625" style="1" hidden="1" customWidth="1"/>
    <col min="7" max="7" width="10" style="1" hidden="1" customWidth="1"/>
    <col min="8" max="8" width="10.6640625" style="1" hidden="1" customWidth="1"/>
    <col min="9" max="9" width="10.33203125" style="1" hidden="1" customWidth="1"/>
    <col min="10" max="42" width="10.6640625" style="1" customWidth="1"/>
    <col min="43" max="16384" width="7.88671875" style="1"/>
  </cols>
  <sheetData>
    <row r="1" spans="1:1201" ht="17.399999999999999" x14ac:dyDescent="0.3">
      <c r="A1" s="166"/>
      <c r="B1" s="2180" t="s">
        <v>1173</v>
      </c>
      <c r="C1" s="2180"/>
      <c r="D1" s="2180"/>
      <c r="E1" s="2180"/>
      <c r="F1" s="2180"/>
      <c r="G1" s="2180"/>
      <c r="H1" s="2180"/>
      <c r="I1" s="2180"/>
      <c r="J1" s="2180"/>
      <c r="K1" s="2180"/>
      <c r="L1" s="2180"/>
      <c r="M1" s="2180"/>
      <c r="N1" s="2180"/>
      <c r="O1" s="2180"/>
      <c r="P1" s="2180"/>
      <c r="Q1" s="2180"/>
      <c r="R1" s="2180"/>
      <c r="S1" s="2180"/>
    </row>
    <row r="2" spans="1:1201" x14ac:dyDescent="0.25">
      <c r="A2" s="164" t="s">
        <v>1174</v>
      </c>
      <c r="B2" s="163"/>
      <c r="C2" s="163"/>
      <c r="D2" s="163"/>
    </row>
    <row r="3" spans="1:1201" s="167" customFormat="1" x14ac:dyDescent="0.25">
      <c r="A3" s="163"/>
      <c r="B3" s="428"/>
      <c r="C3" s="1062" t="s">
        <v>969</v>
      </c>
      <c r="D3" s="2181" t="s">
        <v>1419</v>
      </c>
      <c r="E3" s="2179"/>
      <c r="F3" s="2178" t="s">
        <v>1443</v>
      </c>
      <c r="G3" s="2179"/>
      <c r="H3" s="2178" t="s">
        <v>1444</v>
      </c>
      <c r="I3" s="2179"/>
      <c r="J3" s="2178" t="s">
        <v>1445</v>
      </c>
      <c r="K3" s="2179"/>
      <c r="L3" s="2178" t="s">
        <v>1566</v>
      </c>
      <c r="M3" s="2179"/>
      <c r="N3" s="2178" t="s">
        <v>1613</v>
      </c>
      <c r="O3" s="2179"/>
      <c r="P3" s="2178" t="s">
        <v>1660</v>
      </c>
      <c r="Q3" s="2179"/>
      <c r="R3" s="2178" t="s">
        <v>1749</v>
      </c>
      <c r="S3" s="2179"/>
      <c r="T3" s="163"/>
      <c r="U3" s="163"/>
      <c r="V3" s="163"/>
      <c r="W3" s="163"/>
      <c r="X3" s="163"/>
      <c r="Y3" s="163"/>
      <c r="Z3" s="163"/>
      <c r="AA3" s="163"/>
      <c r="AB3" s="163"/>
      <c r="AC3" s="163"/>
      <c r="AD3" s="163"/>
      <c r="AE3" s="163"/>
      <c r="AF3" s="163"/>
      <c r="AG3" s="163"/>
      <c r="AH3" s="163"/>
      <c r="AI3" s="163"/>
      <c r="AJ3" s="163"/>
      <c r="AK3" s="163"/>
      <c r="AL3" s="163"/>
      <c r="AM3" s="163"/>
      <c r="AN3" s="163"/>
      <c r="AO3" s="163"/>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row>
    <row r="4" spans="1:1201" s="167" customFormat="1" x14ac:dyDescent="0.25">
      <c r="A4" s="163"/>
      <c r="B4" s="1366"/>
      <c r="C4" s="1365" t="s">
        <v>1087</v>
      </c>
      <c r="D4" s="170" t="s">
        <v>1087</v>
      </c>
      <c r="E4" s="169" t="s">
        <v>1088</v>
      </c>
      <c r="F4" s="170" t="s">
        <v>1087</v>
      </c>
      <c r="G4" s="169" t="s">
        <v>1088</v>
      </c>
      <c r="H4" s="170" t="s">
        <v>1087</v>
      </c>
      <c r="I4" s="169" t="s">
        <v>1088</v>
      </c>
      <c r="J4" s="170" t="s">
        <v>1087</v>
      </c>
      <c r="K4" s="169" t="s">
        <v>1088</v>
      </c>
      <c r="L4" s="170" t="s">
        <v>1087</v>
      </c>
      <c r="M4" s="169" t="s">
        <v>1088</v>
      </c>
      <c r="N4" s="170" t="s">
        <v>1087</v>
      </c>
      <c r="O4" s="169" t="s">
        <v>1088</v>
      </c>
      <c r="P4" s="170" t="s">
        <v>1087</v>
      </c>
      <c r="Q4" s="169" t="s">
        <v>1088</v>
      </c>
      <c r="R4" s="170" t="s">
        <v>1087</v>
      </c>
      <c r="S4" s="169" t="s">
        <v>1088</v>
      </c>
      <c r="T4" s="163"/>
      <c r="U4" s="163"/>
      <c r="V4" s="163"/>
      <c r="W4" s="163"/>
      <c r="X4" s="163"/>
      <c r="Y4" s="163"/>
      <c r="Z4" s="163"/>
      <c r="AA4" s="163"/>
      <c r="AB4" s="163"/>
      <c r="AC4" s="163"/>
      <c r="AD4" s="163"/>
      <c r="AE4" s="163"/>
      <c r="AF4" s="163"/>
      <c r="AG4" s="163"/>
      <c r="AH4" s="163"/>
      <c r="AI4" s="163"/>
      <c r="AJ4" s="163"/>
      <c r="AK4" s="163"/>
      <c r="AL4" s="163"/>
      <c r="AM4" s="163"/>
      <c r="AN4" s="163"/>
      <c r="AO4" s="163"/>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row>
    <row r="5" spans="1:1201" ht="13.8" thickBot="1" x14ac:dyDescent="0.3">
      <c r="B5" s="1367"/>
      <c r="C5" s="1368"/>
      <c r="D5" s="1369"/>
      <c r="E5" s="1370"/>
      <c r="F5" s="1371"/>
      <c r="G5" s="1370"/>
      <c r="H5" s="1371"/>
      <c r="I5" s="1370"/>
      <c r="J5" s="1371"/>
      <c r="K5" s="1370"/>
      <c r="L5" s="1371"/>
      <c r="M5" s="1370"/>
      <c r="N5" s="1371"/>
      <c r="O5" s="1370"/>
      <c r="P5" s="1371"/>
      <c r="Q5" s="1370"/>
      <c r="R5" s="1371"/>
      <c r="S5" s="1370"/>
    </row>
    <row r="6" spans="1:1201" x14ac:dyDescent="0.25">
      <c r="B6" s="429" t="s">
        <v>1175</v>
      </c>
      <c r="C6" s="1063">
        <v>12</v>
      </c>
      <c r="D6" s="171">
        <v>5</v>
      </c>
      <c r="E6" s="123">
        <f t="shared" ref="E6:E54" si="0">IF(C6&gt;0,(D6-C6)/C6,(IF(D6=0,"N/A",100%)))</f>
        <v>-0.58333333333333337</v>
      </c>
      <c r="F6" s="171">
        <v>6</v>
      </c>
      <c r="G6" s="123">
        <f t="shared" ref="G6:G54" si="1">IF(D6&gt;0,(F6-D6)/D6,(IF(F6=0,"N/A",100%)))</f>
        <v>0.2</v>
      </c>
      <c r="H6" s="171">
        <v>6</v>
      </c>
      <c r="I6" s="123">
        <f t="shared" ref="I6:I54" si="2">IF(F6&gt;0,(H6-F6)/F6,(IF(H6=0,"N/A",100%)))</f>
        <v>0</v>
      </c>
      <c r="J6" s="171">
        <v>2</v>
      </c>
      <c r="K6" s="123">
        <f t="shared" ref="K6:K54" si="3">IF(H6&gt;0,(J6-H6)/H6,(IF(J6=0,"N/A",100%)))</f>
        <v>-0.66666666666666663</v>
      </c>
      <c r="L6" s="171">
        <v>2</v>
      </c>
      <c r="M6" s="123">
        <f t="shared" ref="M6:M54" si="4">IF(J6&gt;0,(L6-J6)/J6,(IF(L6=0,"N/A",100%)))</f>
        <v>0</v>
      </c>
      <c r="N6" s="171">
        <v>3</v>
      </c>
      <c r="O6" s="123">
        <f t="shared" ref="O6:O54" si="5">IF(L6&gt;0,(N6-L6)/L6,(IF(N6=0,"N/A",100%)))</f>
        <v>0.5</v>
      </c>
      <c r="P6" s="171">
        <v>0</v>
      </c>
      <c r="Q6" s="123">
        <f t="shared" ref="Q6:Q54" si="6">IF(N6&gt;0,(P6-N6)/N6,(IF(P6=0,"N/A",100%)))</f>
        <v>-1</v>
      </c>
      <c r="R6" s="171">
        <v>1</v>
      </c>
      <c r="S6" s="123">
        <f t="shared" ref="S6:S54" si="7">IF(P6&gt;0,(R6-P6)/P6,(IF(R6=0,"N/A",100%)))</f>
        <v>1</v>
      </c>
    </row>
    <row r="7" spans="1:1201" x14ac:dyDescent="0.25">
      <c r="A7" s="164">
        <v>2202</v>
      </c>
      <c r="B7" s="354" t="s">
        <v>1176</v>
      </c>
      <c r="C7" s="1064">
        <v>4</v>
      </c>
      <c r="D7" s="162">
        <v>2</v>
      </c>
      <c r="E7" s="123">
        <f t="shared" si="0"/>
        <v>-0.5</v>
      </c>
      <c r="F7" s="162">
        <v>1</v>
      </c>
      <c r="G7" s="123">
        <f t="shared" si="1"/>
        <v>-0.5</v>
      </c>
      <c r="H7" s="162">
        <v>0</v>
      </c>
      <c r="I7" s="123">
        <f t="shared" si="2"/>
        <v>-1</v>
      </c>
      <c r="J7" s="162">
        <v>1</v>
      </c>
      <c r="K7" s="123">
        <f t="shared" si="3"/>
        <v>1</v>
      </c>
      <c r="L7" s="162">
        <v>1</v>
      </c>
      <c r="M7" s="123">
        <f t="shared" si="4"/>
        <v>0</v>
      </c>
      <c r="N7" s="162">
        <v>0</v>
      </c>
      <c r="O7" s="123">
        <f t="shared" si="5"/>
        <v>-1</v>
      </c>
      <c r="P7" s="162">
        <v>0</v>
      </c>
      <c r="Q7" s="123" t="str">
        <f t="shared" si="6"/>
        <v>N/A</v>
      </c>
      <c r="R7" s="162">
        <v>0</v>
      </c>
      <c r="S7" s="123" t="str">
        <f t="shared" si="7"/>
        <v>N/A</v>
      </c>
    </row>
    <row r="8" spans="1:1201" x14ac:dyDescent="0.25">
      <c r="A8" s="164">
        <v>1003</v>
      </c>
      <c r="B8" s="354" t="s">
        <v>1177</v>
      </c>
      <c r="C8" s="1064">
        <v>2</v>
      </c>
      <c r="D8" s="162">
        <v>2</v>
      </c>
      <c r="E8" s="123">
        <f t="shared" si="0"/>
        <v>0</v>
      </c>
      <c r="F8" s="162">
        <v>1</v>
      </c>
      <c r="G8" s="123">
        <f t="shared" si="1"/>
        <v>-0.5</v>
      </c>
      <c r="H8" s="162">
        <v>0</v>
      </c>
      <c r="I8" s="123">
        <f t="shared" si="2"/>
        <v>-1</v>
      </c>
      <c r="J8" s="162">
        <v>0</v>
      </c>
      <c r="K8" s="123" t="str">
        <f t="shared" si="3"/>
        <v>N/A</v>
      </c>
      <c r="L8" s="162">
        <v>0</v>
      </c>
      <c r="M8" s="123" t="str">
        <f t="shared" si="4"/>
        <v>N/A</v>
      </c>
      <c r="N8" s="162">
        <v>0</v>
      </c>
      <c r="O8" s="123" t="str">
        <f t="shared" si="5"/>
        <v>N/A</v>
      </c>
      <c r="P8" s="162">
        <v>0</v>
      </c>
      <c r="Q8" s="123" t="str">
        <f t="shared" si="6"/>
        <v>N/A</v>
      </c>
      <c r="R8" s="162">
        <v>0</v>
      </c>
      <c r="S8" s="123" t="str">
        <f t="shared" si="7"/>
        <v>N/A</v>
      </c>
    </row>
    <row r="9" spans="1:1201" x14ac:dyDescent="0.25">
      <c r="A9" s="164">
        <v>401</v>
      </c>
      <c r="B9" s="354" t="s">
        <v>1110</v>
      </c>
      <c r="C9" s="1064">
        <v>35</v>
      </c>
      <c r="D9" s="162">
        <v>19</v>
      </c>
      <c r="E9" s="123">
        <f t="shared" si="0"/>
        <v>-0.45714285714285713</v>
      </c>
      <c r="F9" s="162">
        <v>10</v>
      </c>
      <c r="G9" s="123">
        <f t="shared" si="1"/>
        <v>-0.47368421052631576</v>
      </c>
      <c r="H9" s="162">
        <v>3</v>
      </c>
      <c r="I9" s="123">
        <f t="shared" si="2"/>
        <v>-0.7</v>
      </c>
      <c r="J9" s="162">
        <v>2</v>
      </c>
      <c r="K9" s="123">
        <f t="shared" si="3"/>
        <v>-0.33333333333333331</v>
      </c>
      <c r="L9" s="162">
        <v>4</v>
      </c>
      <c r="M9" s="123">
        <f t="shared" si="4"/>
        <v>1</v>
      </c>
      <c r="N9" s="162">
        <v>6</v>
      </c>
      <c r="O9" s="123">
        <f t="shared" si="5"/>
        <v>0.5</v>
      </c>
      <c r="P9" s="162">
        <v>4</v>
      </c>
      <c r="Q9" s="123">
        <f t="shared" si="6"/>
        <v>-0.33333333333333331</v>
      </c>
      <c r="R9" s="162">
        <v>1</v>
      </c>
      <c r="S9" s="123">
        <f t="shared" si="7"/>
        <v>-0.75</v>
      </c>
    </row>
    <row r="10" spans="1:1201" x14ac:dyDescent="0.25">
      <c r="A10" s="164">
        <v>501</v>
      </c>
      <c r="B10" s="354" t="s">
        <v>1178</v>
      </c>
      <c r="C10" s="1064">
        <v>77</v>
      </c>
      <c r="D10" s="162">
        <v>37</v>
      </c>
      <c r="E10" s="123">
        <f t="shared" si="0"/>
        <v>-0.51948051948051943</v>
      </c>
      <c r="F10" s="162">
        <v>21</v>
      </c>
      <c r="G10" s="123">
        <f t="shared" si="1"/>
        <v>-0.43243243243243246</v>
      </c>
      <c r="H10" s="162">
        <v>16</v>
      </c>
      <c r="I10" s="123">
        <f t="shared" si="2"/>
        <v>-0.23809523809523808</v>
      </c>
      <c r="J10" s="162">
        <v>13</v>
      </c>
      <c r="K10" s="123">
        <f t="shared" si="3"/>
        <v>-0.1875</v>
      </c>
      <c r="L10" s="162">
        <v>18</v>
      </c>
      <c r="M10" s="123">
        <f t="shared" si="4"/>
        <v>0.38461538461538464</v>
      </c>
      <c r="N10" s="162">
        <v>19</v>
      </c>
      <c r="O10" s="123">
        <f t="shared" si="5"/>
        <v>5.5555555555555552E-2</v>
      </c>
      <c r="P10" s="162">
        <v>27</v>
      </c>
      <c r="Q10" s="123">
        <f t="shared" si="6"/>
        <v>0.42105263157894735</v>
      </c>
      <c r="R10" s="162">
        <v>35</v>
      </c>
      <c r="S10" s="123">
        <f t="shared" si="7"/>
        <v>0.29629629629629628</v>
      </c>
    </row>
    <row r="11" spans="1:1201" x14ac:dyDescent="0.25">
      <c r="A11" s="164">
        <v>1905</v>
      </c>
      <c r="B11" s="355" t="s">
        <v>1111</v>
      </c>
      <c r="C11" s="1064">
        <v>18</v>
      </c>
      <c r="D11" s="162">
        <v>7</v>
      </c>
      <c r="E11" s="123">
        <f t="shared" si="0"/>
        <v>-0.61111111111111116</v>
      </c>
      <c r="F11" s="162">
        <v>6</v>
      </c>
      <c r="G11" s="123">
        <f t="shared" si="1"/>
        <v>-0.14285714285714285</v>
      </c>
      <c r="H11" s="162">
        <v>3</v>
      </c>
      <c r="I11" s="123">
        <f t="shared" si="2"/>
        <v>-0.5</v>
      </c>
      <c r="J11" s="162">
        <v>5</v>
      </c>
      <c r="K11" s="123">
        <f t="shared" si="3"/>
        <v>0.66666666666666663</v>
      </c>
      <c r="L11" s="162">
        <v>2</v>
      </c>
      <c r="M11" s="123">
        <f t="shared" si="4"/>
        <v>-0.6</v>
      </c>
      <c r="N11" s="162">
        <v>4</v>
      </c>
      <c r="O11" s="123">
        <f t="shared" si="5"/>
        <v>1</v>
      </c>
      <c r="P11" s="162">
        <v>6</v>
      </c>
      <c r="Q11" s="123">
        <f t="shared" si="6"/>
        <v>0.5</v>
      </c>
      <c r="R11" s="162">
        <v>7</v>
      </c>
      <c r="S11" s="123">
        <f t="shared" si="7"/>
        <v>0.16666666666666666</v>
      </c>
    </row>
    <row r="12" spans="1:1201" x14ac:dyDescent="0.25">
      <c r="A12" s="164">
        <v>2203</v>
      </c>
      <c r="B12" s="354" t="s">
        <v>1179</v>
      </c>
      <c r="C12" s="1064">
        <v>54</v>
      </c>
      <c r="D12" s="162">
        <v>12</v>
      </c>
      <c r="E12" s="123">
        <f t="shared" si="0"/>
        <v>-0.77777777777777779</v>
      </c>
      <c r="F12" s="162">
        <v>10</v>
      </c>
      <c r="G12" s="123">
        <f t="shared" si="1"/>
        <v>-0.16666666666666666</v>
      </c>
      <c r="H12" s="162">
        <v>2</v>
      </c>
      <c r="I12" s="123">
        <f t="shared" si="2"/>
        <v>-0.8</v>
      </c>
      <c r="J12" s="162">
        <v>3</v>
      </c>
      <c r="K12" s="123">
        <f t="shared" si="3"/>
        <v>0.5</v>
      </c>
      <c r="L12" s="162">
        <v>5</v>
      </c>
      <c r="M12" s="123">
        <f t="shared" si="4"/>
        <v>0.66666666666666663</v>
      </c>
      <c r="N12" s="162">
        <v>7</v>
      </c>
      <c r="O12" s="123">
        <f t="shared" si="5"/>
        <v>0.4</v>
      </c>
      <c r="P12" s="162">
        <v>9</v>
      </c>
      <c r="Q12" s="123">
        <f t="shared" si="6"/>
        <v>0.2857142857142857</v>
      </c>
      <c r="R12" s="162">
        <v>3</v>
      </c>
      <c r="S12" s="123">
        <f t="shared" si="7"/>
        <v>-0.66666666666666663</v>
      </c>
    </row>
    <row r="13" spans="1:1201" hidden="1" x14ac:dyDescent="0.25">
      <c r="A13" s="164">
        <v>899</v>
      </c>
      <c r="B13" s="354" t="s">
        <v>1180</v>
      </c>
      <c r="C13" s="1064">
        <v>0</v>
      </c>
      <c r="D13" s="162">
        <v>0</v>
      </c>
      <c r="E13" s="123" t="str">
        <f t="shared" si="0"/>
        <v>N/A</v>
      </c>
      <c r="F13" s="162">
        <v>0</v>
      </c>
      <c r="G13" s="123" t="str">
        <f t="shared" si="1"/>
        <v>N/A</v>
      </c>
      <c r="H13" s="162">
        <v>0</v>
      </c>
      <c r="I13" s="123" t="str">
        <f t="shared" si="2"/>
        <v>N/A</v>
      </c>
      <c r="J13" s="162">
        <v>0</v>
      </c>
      <c r="K13" s="123" t="str">
        <f t="shared" si="3"/>
        <v>N/A</v>
      </c>
      <c r="L13" s="162"/>
      <c r="M13" s="123" t="str">
        <f t="shared" si="4"/>
        <v>N/A</v>
      </c>
      <c r="N13" s="162"/>
      <c r="O13" s="123" t="str">
        <f t="shared" si="5"/>
        <v>N/A</v>
      </c>
      <c r="P13" s="162"/>
      <c r="Q13" s="123" t="str">
        <f t="shared" si="6"/>
        <v>N/A</v>
      </c>
      <c r="R13" s="162"/>
      <c r="S13" s="123" t="str">
        <f t="shared" si="7"/>
        <v>N/A</v>
      </c>
    </row>
    <row r="14" spans="1:1201" x14ac:dyDescent="0.25">
      <c r="A14" s="164">
        <v>701</v>
      </c>
      <c r="B14" s="354" t="s">
        <v>970</v>
      </c>
      <c r="C14" s="1064">
        <v>24</v>
      </c>
      <c r="D14" s="162">
        <v>10</v>
      </c>
      <c r="E14" s="123">
        <f t="shared" si="0"/>
        <v>-0.58333333333333337</v>
      </c>
      <c r="F14" s="162">
        <v>1</v>
      </c>
      <c r="G14" s="123">
        <f t="shared" si="1"/>
        <v>-0.9</v>
      </c>
      <c r="H14" s="162">
        <v>5</v>
      </c>
      <c r="I14" s="123">
        <f t="shared" si="2"/>
        <v>4</v>
      </c>
      <c r="J14" s="162">
        <v>1</v>
      </c>
      <c r="K14" s="123">
        <f t="shared" si="3"/>
        <v>-0.8</v>
      </c>
      <c r="L14" s="162">
        <v>0</v>
      </c>
      <c r="M14" s="123">
        <f t="shared" si="4"/>
        <v>-1</v>
      </c>
      <c r="N14" s="162">
        <v>1</v>
      </c>
      <c r="O14" s="123">
        <f t="shared" si="5"/>
        <v>1</v>
      </c>
      <c r="P14" s="162">
        <v>3</v>
      </c>
      <c r="Q14" s="123">
        <f t="shared" si="6"/>
        <v>2</v>
      </c>
      <c r="R14" s="162">
        <v>3</v>
      </c>
      <c r="S14" s="123">
        <f t="shared" si="7"/>
        <v>0</v>
      </c>
    </row>
    <row r="15" spans="1:1201" x14ac:dyDescent="0.25">
      <c r="B15" s="1057" t="s">
        <v>1505</v>
      </c>
      <c r="C15" s="1064">
        <v>0</v>
      </c>
      <c r="D15" s="162">
        <v>0</v>
      </c>
      <c r="E15" s="123" t="str">
        <f t="shared" si="0"/>
        <v>N/A</v>
      </c>
      <c r="F15" s="162">
        <v>3</v>
      </c>
      <c r="G15" s="123">
        <f t="shared" si="1"/>
        <v>1</v>
      </c>
      <c r="H15" s="162">
        <v>1</v>
      </c>
      <c r="I15" s="491">
        <f t="shared" si="2"/>
        <v>-0.66666666666666663</v>
      </c>
      <c r="J15" s="162">
        <v>0</v>
      </c>
      <c r="K15" s="123">
        <f t="shared" si="3"/>
        <v>-1</v>
      </c>
      <c r="L15" s="162">
        <v>0</v>
      </c>
      <c r="M15" s="123" t="str">
        <f t="shared" si="4"/>
        <v>N/A</v>
      </c>
      <c r="N15" s="162">
        <v>0</v>
      </c>
      <c r="O15" s="123" t="str">
        <f t="shared" si="5"/>
        <v>N/A</v>
      </c>
      <c r="P15" s="162">
        <v>0</v>
      </c>
      <c r="Q15" s="123" t="str">
        <f t="shared" si="6"/>
        <v>N/A</v>
      </c>
      <c r="R15" s="162">
        <v>0</v>
      </c>
      <c r="S15" s="123" t="str">
        <f t="shared" si="7"/>
        <v>N/A</v>
      </c>
    </row>
    <row r="16" spans="1:1201" x14ac:dyDescent="0.25">
      <c r="A16" s="164">
        <v>1008</v>
      </c>
      <c r="B16" s="355" t="s">
        <v>1181</v>
      </c>
      <c r="C16" s="1064">
        <v>30</v>
      </c>
      <c r="D16" s="162">
        <v>15</v>
      </c>
      <c r="E16" s="123">
        <f t="shared" si="0"/>
        <v>-0.5</v>
      </c>
      <c r="F16" s="162">
        <v>9</v>
      </c>
      <c r="G16" s="123">
        <f t="shared" si="1"/>
        <v>-0.4</v>
      </c>
      <c r="H16" s="162">
        <v>7</v>
      </c>
      <c r="I16" s="505">
        <f t="shared" si="2"/>
        <v>-0.22222222222222221</v>
      </c>
      <c r="J16" s="162">
        <v>3</v>
      </c>
      <c r="K16" s="123">
        <f t="shared" si="3"/>
        <v>-0.5714285714285714</v>
      </c>
      <c r="L16" s="162">
        <v>4</v>
      </c>
      <c r="M16" s="123">
        <f t="shared" si="4"/>
        <v>0.33333333333333331</v>
      </c>
      <c r="N16" s="162">
        <v>12</v>
      </c>
      <c r="O16" s="123">
        <f t="shared" si="5"/>
        <v>2</v>
      </c>
      <c r="P16" s="162">
        <v>11</v>
      </c>
      <c r="Q16" s="123">
        <f t="shared" si="6"/>
        <v>-8.3333333333333329E-2</v>
      </c>
      <c r="R16" s="162">
        <v>3</v>
      </c>
      <c r="S16" s="123">
        <f t="shared" si="7"/>
        <v>-0.72727272727272729</v>
      </c>
    </row>
    <row r="17" spans="1:19" x14ac:dyDescent="0.25">
      <c r="A17" s="164">
        <v>1009</v>
      </c>
      <c r="B17" s="355" t="s">
        <v>1182</v>
      </c>
      <c r="C17" s="1064">
        <v>7</v>
      </c>
      <c r="D17" s="162">
        <v>6</v>
      </c>
      <c r="E17" s="123">
        <f t="shared" si="0"/>
        <v>-0.14285714285714285</v>
      </c>
      <c r="F17" s="162">
        <v>4</v>
      </c>
      <c r="G17" s="123">
        <f t="shared" si="1"/>
        <v>-0.33333333333333331</v>
      </c>
      <c r="H17" s="162">
        <v>3</v>
      </c>
      <c r="I17" s="505">
        <f t="shared" si="2"/>
        <v>-0.25</v>
      </c>
      <c r="J17" s="162">
        <v>4</v>
      </c>
      <c r="K17" s="123">
        <f t="shared" si="3"/>
        <v>0.33333333333333331</v>
      </c>
      <c r="L17" s="162">
        <v>0</v>
      </c>
      <c r="M17" s="123">
        <f t="shared" si="4"/>
        <v>-1</v>
      </c>
      <c r="N17" s="162">
        <v>2</v>
      </c>
      <c r="O17" s="123">
        <f t="shared" si="5"/>
        <v>1</v>
      </c>
      <c r="P17" s="162">
        <v>3</v>
      </c>
      <c r="Q17" s="123">
        <f t="shared" si="6"/>
        <v>0.5</v>
      </c>
      <c r="R17" s="162">
        <v>2</v>
      </c>
      <c r="S17" s="123">
        <f t="shared" si="7"/>
        <v>-0.33333333333333331</v>
      </c>
    </row>
    <row r="18" spans="1:19" x14ac:dyDescent="0.25">
      <c r="A18" s="164">
        <v>1501</v>
      </c>
      <c r="B18" s="354" t="s">
        <v>1132</v>
      </c>
      <c r="C18" s="1064">
        <v>13</v>
      </c>
      <c r="D18" s="162">
        <v>9</v>
      </c>
      <c r="E18" s="123">
        <f t="shared" si="0"/>
        <v>-0.30769230769230771</v>
      </c>
      <c r="F18" s="162">
        <v>5</v>
      </c>
      <c r="G18" s="123">
        <f t="shared" si="1"/>
        <v>-0.44444444444444442</v>
      </c>
      <c r="H18" s="162">
        <v>5</v>
      </c>
      <c r="I18" s="505">
        <f t="shared" si="2"/>
        <v>0</v>
      </c>
      <c r="J18" s="162">
        <v>2</v>
      </c>
      <c r="K18" s="123">
        <f t="shared" si="3"/>
        <v>-0.6</v>
      </c>
      <c r="L18" s="162">
        <v>3</v>
      </c>
      <c r="M18" s="123">
        <f t="shared" si="4"/>
        <v>0.5</v>
      </c>
      <c r="N18" s="162">
        <v>4</v>
      </c>
      <c r="O18" s="123">
        <f t="shared" si="5"/>
        <v>0.33333333333333331</v>
      </c>
      <c r="P18" s="162">
        <v>5</v>
      </c>
      <c r="Q18" s="123">
        <f t="shared" si="6"/>
        <v>0.25</v>
      </c>
      <c r="R18" s="162">
        <v>3</v>
      </c>
      <c r="S18" s="123">
        <f t="shared" si="7"/>
        <v>-0.4</v>
      </c>
    </row>
    <row r="19" spans="1:19" hidden="1" x14ac:dyDescent="0.25">
      <c r="B19" s="354" t="s">
        <v>1183</v>
      </c>
      <c r="C19" s="1064">
        <v>0</v>
      </c>
      <c r="D19" s="162">
        <v>0</v>
      </c>
      <c r="E19" s="123" t="str">
        <f t="shared" si="0"/>
        <v>N/A</v>
      </c>
      <c r="F19" s="162">
        <v>0</v>
      </c>
      <c r="G19" s="123" t="str">
        <f t="shared" si="1"/>
        <v>N/A</v>
      </c>
      <c r="H19" s="162">
        <v>0</v>
      </c>
      <c r="I19" s="505" t="str">
        <f t="shared" si="2"/>
        <v>N/A</v>
      </c>
      <c r="J19" s="162">
        <v>0</v>
      </c>
      <c r="K19" s="123" t="str">
        <f t="shared" si="3"/>
        <v>N/A</v>
      </c>
      <c r="L19" s="162"/>
      <c r="M19" s="123" t="str">
        <f t="shared" si="4"/>
        <v>N/A</v>
      </c>
      <c r="N19" s="162"/>
      <c r="O19" s="123" t="str">
        <f t="shared" si="5"/>
        <v>N/A</v>
      </c>
      <c r="P19" s="162"/>
      <c r="Q19" s="123" t="str">
        <f t="shared" si="6"/>
        <v>N/A</v>
      </c>
      <c r="R19" s="162"/>
      <c r="S19" s="123" t="str">
        <f t="shared" si="7"/>
        <v>N/A</v>
      </c>
    </row>
    <row r="20" spans="1:19" x14ac:dyDescent="0.25">
      <c r="B20" s="354" t="s">
        <v>1113</v>
      </c>
      <c r="C20" s="1064">
        <v>9</v>
      </c>
      <c r="D20" s="162">
        <v>4</v>
      </c>
      <c r="E20" s="123">
        <f t="shared" si="0"/>
        <v>-0.55555555555555558</v>
      </c>
      <c r="F20" s="162">
        <v>1</v>
      </c>
      <c r="G20" s="123">
        <f t="shared" si="1"/>
        <v>-0.75</v>
      </c>
      <c r="H20" s="162">
        <v>0</v>
      </c>
      <c r="I20" s="505">
        <f t="shared" si="2"/>
        <v>-1</v>
      </c>
      <c r="J20" s="162">
        <v>0</v>
      </c>
      <c r="K20" s="123" t="str">
        <f t="shared" si="3"/>
        <v>N/A</v>
      </c>
      <c r="L20" s="162">
        <v>2</v>
      </c>
      <c r="M20" s="123">
        <f t="shared" si="4"/>
        <v>1</v>
      </c>
      <c r="N20" s="162">
        <v>0</v>
      </c>
      <c r="O20" s="123">
        <f t="shared" si="5"/>
        <v>-1</v>
      </c>
      <c r="P20" s="162">
        <v>2</v>
      </c>
      <c r="Q20" s="123">
        <f t="shared" si="6"/>
        <v>1</v>
      </c>
      <c r="R20" s="162">
        <v>1</v>
      </c>
      <c r="S20" s="123">
        <f t="shared" si="7"/>
        <v>-0.5</v>
      </c>
    </row>
    <row r="21" spans="1:19" x14ac:dyDescent="0.25">
      <c r="A21" s="164">
        <v>1102</v>
      </c>
      <c r="B21" s="354" t="s">
        <v>1184</v>
      </c>
      <c r="C21" s="1064">
        <v>6</v>
      </c>
      <c r="D21" s="162">
        <v>1</v>
      </c>
      <c r="E21" s="123">
        <f t="shared" si="0"/>
        <v>-0.83333333333333337</v>
      </c>
      <c r="F21" s="162">
        <v>3</v>
      </c>
      <c r="G21" s="123">
        <f t="shared" si="1"/>
        <v>2</v>
      </c>
      <c r="H21" s="162">
        <v>3</v>
      </c>
      <c r="I21" s="505">
        <f t="shared" si="2"/>
        <v>0</v>
      </c>
      <c r="J21" s="162">
        <v>3</v>
      </c>
      <c r="K21" s="123">
        <f t="shared" si="3"/>
        <v>0</v>
      </c>
      <c r="L21" s="162">
        <v>3</v>
      </c>
      <c r="M21" s="123">
        <f t="shared" si="4"/>
        <v>0</v>
      </c>
      <c r="N21" s="162">
        <v>2</v>
      </c>
      <c r="O21" s="123">
        <f t="shared" si="5"/>
        <v>-0.33333333333333331</v>
      </c>
      <c r="P21" s="162">
        <v>1</v>
      </c>
      <c r="Q21" s="123">
        <f t="shared" si="6"/>
        <v>-0.5</v>
      </c>
      <c r="R21" s="162">
        <v>1</v>
      </c>
      <c r="S21" s="123">
        <f t="shared" si="7"/>
        <v>0</v>
      </c>
    </row>
    <row r="22" spans="1:19" x14ac:dyDescent="0.25">
      <c r="B22" s="354" t="s">
        <v>971</v>
      </c>
      <c r="C22" s="1064">
        <v>3</v>
      </c>
      <c r="D22" s="162">
        <v>1</v>
      </c>
      <c r="E22" s="123">
        <f t="shared" si="0"/>
        <v>-0.66666666666666663</v>
      </c>
      <c r="F22" s="162">
        <v>0</v>
      </c>
      <c r="G22" s="123">
        <f t="shared" si="1"/>
        <v>-1</v>
      </c>
      <c r="H22" s="162">
        <v>0</v>
      </c>
      <c r="I22" s="505" t="str">
        <f t="shared" si="2"/>
        <v>N/A</v>
      </c>
      <c r="J22" s="162">
        <v>0</v>
      </c>
      <c r="K22" s="123" t="str">
        <f t="shared" si="3"/>
        <v>N/A</v>
      </c>
      <c r="L22" s="162">
        <v>0</v>
      </c>
      <c r="M22" s="123" t="str">
        <f t="shared" si="4"/>
        <v>N/A</v>
      </c>
      <c r="N22" s="162">
        <v>0</v>
      </c>
      <c r="O22" s="123" t="str">
        <f t="shared" si="5"/>
        <v>N/A</v>
      </c>
      <c r="P22" s="162">
        <v>0</v>
      </c>
      <c r="Q22" s="123" t="str">
        <f t="shared" si="6"/>
        <v>N/A</v>
      </c>
      <c r="R22" s="162">
        <v>0</v>
      </c>
      <c r="S22" s="123" t="str">
        <f t="shared" si="7"/>
        <v>N/A</v>
      </c>
    </row>
    <row r="23" spans="1:19" x14ac:dyDescent="0.25">
      <c r="B23" s="354" t="s">
        <v>972</v>
      </c>
      <c r="C23" s="1064">
        <v>26</v>
      </c>
      <c r="D23" s="162">
        <v>12</v>
      </c>
      <c r="E23" s="123">
        <f t="shared" si="0"/>
        <v>-0.53846153846153844</v>
      </c>
      <c r="F23" s="162">
        <v>10</v>
      </c>
      <c r="G23" s="123">
        <f t="shared" si="1"/>
        <v>-0.16666666666666666</v>
      </c>
      <c r="H23" s="162">
        <v>14</v>
      </c>
      <c r="I23" s="505">
        <f t="shared" si="2"/>
        <v>0.4</v>
      </c>
      <c r="J23" s="162">
        <v>13</v>
      </c>
      <c r="K23" s="123">
        <f t="shared" si="3"/>
        <v>-7.1428571428571425E-2</v>
      </c>
      <c r="L23" s="162">
        <v>19</v>
      </c>
      <c r="M23" s="123">
        <f t="shared" si="4"/>
        <v>0.46153846153846156</v>
      </c>
      <c r="N23" s="162">
        <v>20</v>
      </c>
      <c r="O23" s="123">
        <f t="shared" si="5"/>
        <v>5.2631578947368418E-2</v>
      </c>
      <c r="P23" s="162">
        <v>29</v>
      </c>
      <c r="Q23" s="123">
        <f t="shared" si="6"/>
        <v>0.45</v>
      </c>
      <c r="R23" s="162">
        <v>16</v>
      </c>
      <c r="S23" s="123">
        <f t="shared" si="7"/>
        <v>-0.44827586206896552</v>
      </c>
    </row>
    <row r="24" spans="1:19" x14ac:dyDescent="0.25">
      <c r="A24" s="164">
        <v>2205</v>
      </c>
      <c r="B24" s="354" t="s">
        <v>1129</v>
      </c>
      <c r="C24" s="1064">
        <v>29</v>
      </c>
      <c r="D24" s="162">
        <v>16</v>
      </c>
      <c r="E24" s="123">
        <f t="shared" si="0"/>
        <v>-0.44827586206896552</v>
      </c>
      <c r="F24" s="162">
        <v>8</v>
      </c>
      <c r="G24" s="123">
        <f t="shared" si="1"/>
        <v>-0.5</v>
      </c>
      <c r="H24" s="162">
        <v>4</v>
      </c>
      <c r="I24" s="505">
        <f t="shared" si="2"/>
        <v>-0.5</v>
      </c>
      <c r="J24" s="162">
        <v>8</v>
      </c>
      <c r="K24" s="123">
        <f t="shared" si="3"/>
        <v>1</v>
      </c>
      <c r="L24" s="162">
        <v>5</v>
      </c>
      <c r="M24" s="123">
        <f t="shared" si="4"/>
        <v>-0.375</v>
      </c>
      <c r="N24" s="162">
        <v>8</v>
      </c>
      <c r="O24" s="123">
        <f t="shared" si="5"/>
        <v>0.6</v>
      </c>
      <c r="P24" s="162">
        <v>5</v>
      </c>
      <c r="Q24" s="123">
        <f t="shared" si="6"/>
        <v>-0.375</v>
      </c>
      <c r="R24" s="162">
        <v>4</v>
      </c>
      <c r="S24" s="123">
        <f t="shared" si="7"/>
        <v>-0.2</v>
      </c>
    </row>
    <row r="25" spans="1:19" x14ac:dyDescent="0.25">
      <c r="B25" s="1057" t="s">
        <v>1506</v>
      </c>
      <c r="C25" s="1064">
        <v>0</v>
      </c>
      <c r="D25" s="162">
        <v>0</v>
      </c>
      <c r="E25" s="123" t="str">
        <f t="shared" si="0"/>
        <v>N/A</v>
      </c>
      <c r="F25" s="162">
        <v>1</v>
      </c>
      <c r="G25" s="123">
        <f t="shared" si="1"/>
        <v>1</v>
      </c>
      <c r="H25" s="162">
        <v>1</v>
      </c>
      <c r="I25" s="505">
        <f t="shared" si="2"/>
        <v>0</v>
      </c>
      <c r="J25" s="162">
        <v>4</v>
      </c>
      <c r="K25" s="123">
        <f t="shared" si="3"/>
        <v>3</v>
      </c>
      <c r="L25" s="162">
        <v>0</v>
      </c>
      <c r="M25" s="123">
        <f t="shared" si="4"/>
        <v>-1</v>
      </c>
      <c r="N25" s="162">
        <v>0</v>
      </c>
      <c r="O25" s="123" t="str">
        <f t="shared" si="5"/>
        <v>N/A</v>
      </c>
      <c r="P25" s="162">
        <v>0</v>
      </c>
      <c r="Q25" s="123" t="str">
        <f t="shared" si="6"/>
        <v>N/A</v>
      </c>
      <c r="R25" s="162">
        <v>0</v>
      </c>
      <c r="S25" s="123" t="str">
        <f t="shared" si="7"/>
        <v>N/A</v>
      </c>
    </row>
    <row r="26" spans="1:19" x14ac:dyDescent="0.25">
      <c r="B26" s="1286" t="s">
        <v>1750</v>
      </c>
      <c r="C26" s="1064">
        <v>0</v>
      </c>
      <c r="D26" s="162">
        <v>0</v>
      </c>
      <c r="E26" s="123" t="str">
        <f>IF(C26&gt;0,(D26-C26)/C26,(IF(D26=0,"N/A",100%)))</f>
        <v>N/A</v>
      </c>
      <c r="F26" s="162">
        <v>0</v>
      </c>
      <c r="G26" s="123" t="str">
        <f>IF(D26&gt;0,(F26-D26)/D26,(IF(F26=0,"N/A",100%)))</f>
        <v>N/A</v>
      </c>
      <c r="H26" s="162">
        <v>0</v>
      </c>
      <c r="I26" s="505" t="str">
        <f>IF(F26&gt;0,(H26-F26)/F26,(IF(H26=0,"N/A",100%)))</f>
        <v>N/A</v>
      </c>
      <c r="J26" s="162">
        <v>0</v>
      </c>
      <c r="K26" s="123" t="str">
        <f>IF(H26&gt;0,(J26-H26)/H26,(IF(J26=0,"N/A",100%)))</f>
        <v>N/A</v>
      </c>
      <c r="L26" s="162">
        <v>0</v>
      </c>
      <c r="M26" s="123" t="str">
        <f>IF(J26&gt;0,(L26-J26)/J26,(IF(L26=0,"N/A",100%)))</f>
        <v>N/A</v>
      </c>
      <c r="N26" s="162">
        <v>0</v>
      </c>
      <c r="O26" s="123" t="str">
        <f>IF(L26&gt;0,(N26-L26)/L26,(IF(N26=0,"N/A",100%)))</f>
        <v>N/A</v>
      </c>
      <c r="P26" s="162">
        <v>0</v>
      </c>
      <c r="Q26" s="123" t="str">
        <f>IF(N26&gt;0,(P26-N26)/N26,(IF(P26=0,"N/A",100%)))</f>
        <v>N/A</v>
      </c>
      <c r="R26" s="162">
        <v>2</v>
      </c>
      <c r="S26" s="123">
        <f>IF(P26&gt;0,(R26-P26)/P26,(IF(R26=0,"N/A",100%)))</f>
        <v>1</v>
      </c>
    </row>
    <row r="27" spans="1:19" x14ac:dyDescent="0.25">
      <c r="A27" s="164">
        <v>2206</v>
      </c>
      <c r="B27" s="354" t="s">
        <v>1186</v>
      </c>
      <c r="C27" s="1064">
        <v>6</v>
      </c>
      <c r="D27" s="162">
        <v>2</v>
      </c>
      <c r="E27" s="123">
        <f t="shared" si="0"/>
        <v>-0.66666666666666663</v>
      </c>
      <c r="F27" s="162">
        <v>2</v>
      </c>
      <c r="G27" s="123">
        <f t="shared" si="1"/>
        <v>0</v>
      </c>
      <c r="H27" s="162">
        <v>0</v>
      </c>
      <c r="I27" s="505">
        <f t="shared" si="2"/>
        <v>-1</v>
      </c>
      <c r="J27" s="162">
        <v>2</v>
      </c>
      <c r="K27" s="123">
        <f t="shared" si="3"/>
        <v>1</v>
      </c>
      <c r="L27" s="162">
        <v>4</v>
      </c>
      <c r="M27" s="123">
        <f t="shared" si="4"/>
        <v>1</v>
      </c>
      <c r="N27" s="162">
        <v>4</v>
      </c>
      <c r="O27" s="123">
        <f t="shared" si="5"/>
        <v>0</v>
      </c>
      <c r="P27" s="162">
        <v>4</v>
      </c>
      <c r="Q27" s="123">
        <f t="shared" si="6"/>
        <v>0</v>
      </c>
      <c r="R27" s="162">
        <v>4</v>
      </c>
      <c r="S27" s="123">
        <f t="shared" si="7"/>
        <v>0</v>
      </c>
    </row>
    <row r="28" spans="1:19" x14ac:dyDescent="0.25">
      <c r="B28" s="354" t="s">
        <v>973</v>
      </c>
      <c r="C28" s="1064">
        <v>1</v>
      </c>
      <c r="D28" s="162">
        <v>1</v>
      </c>
      <c r="E28" s="123">
        <f t="shared" si="0"/>
        <v>0</v>
      </c>
      <c r="F28" s="162">
        <v>1</v>
      </c>
      <c r="G28" s="123">
        <f t="shared" si="1"/>
        <v>0</v>
      </c>
      <c r="H28" s="162">
        <v>0</v>
      </c>
      <c r="I28" s="505">
        <f t="shared" si="2"/>
        <v>-1</v>
      </c>
      <c r="J28" s="162">
        <v>0</v>
      </c>
      <c r="K28" s="123" t="str">
        <f t="shared" si="3"/>
        <v>N/A</v>
      </c>
      <c r="L28" s="162">
        <v>0</v>
      </c>
      <c r="M28" s="123" t="str">
        <f t="shared" si="4"/>
        <v>N/A</v>
      </c>
      <c r="N28" s="162">
        <v>0</v>
      </c>
      <c r="O28" s="123" t="str">
        <f t="shared" si="5"/>
        <v>N/A</v>
      </c>
      <c r="P28" s="162">
        <v>0</v>
      </c>
      <c r="Q28" s="123" t="str">
        <f t="shared" si="6"/>
        <v>N/A</v>
      </c>
      <c r="R28" s="162">
        <v>0</v>
      </c>
      <c r="S28" s="123" t="str">
        <f t="shared" si="7"/>
        <v>N/A</v>
      </c>
    </row>
    <row r="29" spans="1:19" x14ac:dyDescent="0.25">
      <c r="B29" s="354" t="s">
        <v>677</v>
      </c>
      <c r="C29" s="1064">
        <v>1</v>
      </c>
      <c r="D29" s="162">
        <v>1</v>
      </c>
      <c r="E29" s="123">
        <f t="shared" si="0"/>
        <v>0</v>
      </c>
      <c r="F29" s="162">
        <v>0</v>
      </c>
      <c r="G29" s="123">
        <f t="shared" si="1"/>
        <v>-1</v>
      </c>
      <c r="H29" s="162">
        <v>0</v>
      </c>
      <c r="I29" s="505" t="str">
        <f t="shared" si="2"/>
        <v>N/A</v>
      </c>
      <c r="J29" s="162">
        <v>0</v>
      </c>
      <c r="K29" s="123" t="str">
        <f t="shared" si="3"/>
        <v>N/A</v>
      </c>
      <c r="L29" s="162">
        <v>0</v>
      </c>
      <c r="M29" s="123" t="str">
        <f t="shared" si="4"/>
        <v>N/A</v>
      </c>
      <c r="N29" s="162">
        <v>0</v>
      </c>
      <c r="O29" s="123" t="str">
        <f t="shared" si="5"/>
        <v>N/A</v>
      </c>
      <c r="P29" s="162">
        <v>0</v>
      </c>
      <c r="Q29" s="123" t="str">
        <f t="shared" si="6"/>
        <v>N/A</v>
      </c>
      <c r="R29" s="162">
        <v>0</v>
      </c>
      <c r="S29" s="123" t="str">
        <f t="shared" si="7"/>
        <v>N/A</v>
      </c>
    </row>
    <row r="30" spans="1:19" x14ac:dyDescent="0.25">
      <c r="B30" s="1286" t="s">
        <v>1631</v>
      </c>
      <c r="C30" s="1064">
        <v>0</v>
      </c>
      <c r="D30" s="162">
        <v>0</v>
      </c>
      <c r="E30" s="123" t="str">
        <f>IF(C30&gt;0,(D30-C30)/C30,(IF(D30=0,"N/A",100%)))</f>
        <v>N/A</v>
      </c>
      <c r="F30" s="162">
        <v>0</v>
      </c>
      <c r="G30" s="123" t="str">
        <f>IF(D30&gt;0,(F30-D30)/D30,(IF(F30=0,"N/A",100%)))</f>
        <v>N/A</v>
      </c>
      <c r="H30" s="162">
        <v>0</v>
      </c>
      <c r="I30" s="505" t="str">
        <f>IF(F30&gt;0,(H30-F30)/F30,(IF(H30=0,"N/A",100%)))</f>
        <v>N/A</v>
      </c>
      <c r="J30" s="162">
        <v>0</v>
      </c>
      <c r="K30" s="123" t="str">
        <f>IF(H30&gt;0,(J30-H30)/H30,(IF(J30=0,"N/A",100%)))</f>
        <v>N/A</v>
      </c>
      <c r="L30" s="162">
        <v>0</v>
      </c>
      <c r="M30" s="123" t="str">
        <f>IF(J30&gt;0,(L30-J30)/J30,(IF(L30=0,"N/A",100%)))</f>
        <v>N/A</v>
      </c>
      <c r="N30" s="162">
        <v>2</v>
      </c>
      <c r="O30" s="123">
        <f>IF(L30&gt;0,(N30-L30)/L30,(IF(N30=0,"N/A",100%)))</f>
        <v>1</v>
      </c>
      <c r="P30" s="162">
        <v>1</v>
      </c>
      <c r="Q30" s="123">
        <f t="shared" si="6"/>
        <v>-0.5</v>
      </c>
      <c r="R30" s="162">
        <v>1</v>
      </c>
      <c r="S30" s="123">
        <f t="shared" si="7"/>
        <v>0</v>
      </c>
    </row>
    <row r="31" spans="1:19" x14ac:dyDescent="0.25">
      <c r="B31" s="354" t="s">
        <v>1187</v>
      </c>
      <c r="C31" s="1064">
        <v>8</v>
      </c>
      <c r="D31" s="162">
        <v>7</v>
      </c>
      <c r="E31" s="123">
        <f t="shared" si="0"/>
        <v>-0.125</v>
      </c>
      <c r="F31" s="162">
        <v>7</v>
      </c>
      <c r="G31" s="123">
        <f t="shared" si="1"/>
        <v>0</v>
      </c>
      <c r="H31" s="162">
        <v>3</v>
      </c>
      <c r="I31" s="505">
        <f t="shared" si="2"/>
        <v>-0.5714285714285714</v>
      </c>
      <c r="J31" s="162">
        <v>2</v>
      </c>
      <c r="K31" s="123">
        <f t="shared" si="3"/>
        <v>-0.33333333333333331</v>
      </c>
      <c r="L31" s="162">
        <v>7</v>
      </c>
      <c r="M31" s="123">
        <f t="shared" si="4"/>
        <v>2.5</v>
      </c>
      <c r="N31" s="162">
        <v>7</v>
      </c>
      <c r="O31" s="123">
        <f t="shared" si="5"/>
        <v>0</v>
      </c>
      <c r="P31" s="162">
        <v>4</v>
      </c>
      <c r="Q31" s="123">
        <f t="shared" si="6"/>
        <v>-0.42857142857142855</v>
      </c>
      <c r="R31" s="162">
        <v>3</v>
      </c>
      <c r="S31" s="123">
        <f t="shared" si="7"/>
        <v>-0.25</v>
      </c>
    </row>
    <row r="32" spans="1:19" x14ac:dyDescent="0.25">
      <c r="A32" s="164">
        <v>604</v>
      </c>
      <c r="B32" s="354" t="s">
        <v>1188</v>
      </c>
      <c r="C32" s="1064">
        <v>8</v>
      </c>
      <c r="D32" s="162">
        <v>0</v>
      </c>
      <c r="E32" s="123">
        <f t="shared" si="0"/>
        <v>-1</v>
      </c>
      <c r="F32" s="162">
        <v>0</v>
      </c>
      <c r="G32" s="123" t="str">
        <f t="shared" si="1"/>
        <v>N/A</v>
      </c>
      <c r="H32" s="162">
        <v>0</v>
      </c>
      <c r="I32" s="505" t="str">
        <f t="shared" si="2"/>
        <v>N/A</v>
      </c>
      <c r="J32" s="162">
        <v>0</v>
      </c>
      <c r="K32" s="123" t="str">
        <f t="shared" si="3"/>
        <v>N/A</v>
      </c>
      <c r="L32" s="162">
        <v>0</v>
      </c>
      <c r="M32" s="123" t="str">
        <f t="shared" si="4"/>
        <v>N/A</v>
      </c>
      <c r="N32" s="162">
        <v>0</v>
      </c>
      <c r="O32" s="123" t="str">
        <f t="shared" si="5"/>
        <v>N/A</v>
      </c>
      <c r="P32" s="162">
        <v>0</v>
      </c>
      <c r="Q32" s="123" t="str">
        <f t="shared" si="6"/>
        <v>N/A</v>
      </c>
      <c r="R32" s="162">
        <v>0</v>
      </c>
      <c r="S32" s="123" t="str">
        <f t="shared" si="7"/>
        <v>N/A</v>
      </c>
    </row>
    <row r="33" spans="1:19" x14ac:dyDescent="0.25">
      <c r="A33" s="164">
        <v>1701</v>
      </c>
      <c r="B33" s="354" t="s">
        <v>1141</v>
      </c>
      <c r="C33" s="1064">
        <v>20</v>
      </c>
      <c r="D33" s="162">
        <v>9</v>
      </c>
      <c r="E33" s="123">
        <f t="shared" si="0"/>
        <v>-0.55000000000000004</v>
      </c>
      <c r="F33" s="162">
        <v>3</v>
      </c>
      <c r="G33" s="123">
        <f t="shared" si="1"/>
        <v>-0.66666666666666663</v>
      </c>
      <c r="H33" s="162">
        <v>7</v>
      </c>
      <c r="I33" s="505">
        <f t="shared" si="2"/>
        <v>1.3333333333333333</v>
      </c>
      <c r="J33" s="162">
        <v>2</v>
      </c>
      <c r="K33" s="123">
        <f t="shared" si="3"/>
        <v>-0.7142857142857143</v>
      </c>
      <c r="L33" s="162">
        <v>7</v>
      </c>
      <c r="M33" s="123">
        <f t="shared" si="4"/>
        <v>2.5</v>
      </c>
      <c r="N33" s="162">
        <v>10</v>
      </c>
      <c r="O33" s="123">
        <f t="shared" si="5"/>
        <v>0.42857142857142855</v>
      </c>
      <c r="P33" s="162">
        <v>13</v>
      </c>
      <c r="Q33" s="123">
        <f t="shared" si="6"/>
        <v>0.3</v>
      </c>
      <c r="R33" s="162">
        <v>9</v>
      </c>
      <c r="S33" s="123">
        <f t="shared" si="7"/>
        <v>-0.30769230769230771</v>
      </c>
    </row>
    <row r="34" spans="1:19" x14ac:dyDescent="0.25">
      <c r="A34" s="164">
        <v>603</v>
      </c>
      <c r="B34" s="354" t="s">
        <v>1189</v>
      </c>
      <c r="C34" s="1064">
        <v>1</v>
      </c>
      <c r="D34" s="162">
        <v>0</v>
      </c>
      <c r="E34" s="123">
        <f t="shared" si="0"/>
        <v>-1</v>
      </c>
      <c r="F34" s="162">
        <v>0</v>
      </c>
      <c r="G34" s="123" t="str">
        <f t="shared" si="1"/>
        <v>N/A</v>
      </c>
      <c r="H34" s="162">
        <v>0</v>
      </c>
      <c r="I34" s="505" t="str">
        <f t="shared" si="2"/>
        <v>N/A</v>
      </c>
      <c r="J34" s="162">
        <v>0</v>
      </c>
      <c r="K34" s="123" t="str">
        <f t="shared" si="3"/>
        <v>N/A</v>
      </c>
      <c r="L34" s="162">
        <v>0</v>
      </c>
      <c r="M34" s="123" t="str">
        <f t="shared" si="4"/>
        <v>N/A</v>
      </c>
      <c r="N34" s="162">
        <v>0</v>
      </c>
      <c r="O34" s="123" t="str">
        <f t="shared" si="5"/>
        <v>N/A</v>
      </c>
      <c r="P34" s="162">
        <v>0</v>
      </c>
      <c r="Q34" s="123" t="str">
        <f t="shared" si="6"/>
        <v>N/A</v>
      </c>
      <c r="R34" s="162">
        <v>0</v>
      </c>
      <c r="S34" s="123" t="str">
        <f t="shared" si="7"/>
        <v>N/A</v>
      </c>
    </row>
    <row r="35" spans="1:19" x14ac:dyDescent="0.25">
      <c r="B35" s="1057" t="s">
        <v>1507</v>
      </c>
      <c r="C35" s="1064">
        <v>0</v>
      </c>
      <c r="D35" s="162">
        <v>0</v>
      </c>
      <c r="E35" s="123" t="str">
        <f t="shared" si="0"/>
        <v>N/A</v>
      </c>
      <c r="F35" s="162">
        <v>0</v>
      </c>
      <c r="G35" s="123" t="str">
        <f t="shared" si="1"/>
        <v>N/A</v>
      </c>
      <c r="H35" s="162">
        <v>1</v>
      </c>
      <c r="I35" s="505">
        <f t="shared" si="2"/>
        <v>1</v>
      </c>
      <c r="J35" s="162">
        <v>1</v>
      </c>
      <c r="K35" s="123">
        <f t="shared" si="3"/>
        <v>0</v>
      </c>
      <c r="L35" s="162">
        <v>4</v>
      </c>
      <c r="M35" s="123">
        <f t="shared" si="4"/>
        <v>3</v>
      </c>
      <c r="N35" s="162">
        <v>4</v>
      </c>
      <c r="O35" s="123">
        <f t="shared" si="5"/>
        <v>0</v>
      </c>
      <c r="P35" s="162">
        <v>4</v>
      </c>
      <c r="Q35" s="123">
        <f t="shared" si="6"/>
        <v>0</v>
      </c>
      <c r="R35" s="162">
        <v>1</v>
      </c>
      <c r="S35" s="123">
        <f t="shared" si="7"/>
        <v>-0.75</v>
      </c>
    </row>
    <row r="36" spans="1:19" x14ac:dyDescent="0.25">
      <c r="A36" s="164">
        <v>1004</v>
      </c>
      <c r="B36" s="354" t="s">
        <v>1125</v>
      </c>
      <c r="C36" s="1064">
        <v>37</v>
      </c>
      <c r="D36" s="162">
        <v>18</v>
      </c>
      <c r="E36" s="123">
        <f t="shared" si="0"/>
        <v>-0.51351351351351349</v>
      </c>
      <c r="F36" s="162">
        <v>9</v>
      </c>
      <c r="G36" s="123">
        <f t="shared" si="1"/>
        <v>-0.5</v>
      </c>
      <c r="H36" s="162">
        <v>5</v>
      </c>
      <c r="I36" s="505">
        <f t="shared" si="2"/>
        <v>-0.44444444444444442</v>
      </c>
      <c r="J36" s="162">
        <v>3</v>
      </c>
      <c r="K36" s="123">
        <f t="shared" si="3"/>
        <v>-0.4</v>
      </c>
      <c r="L36" s="162">
        <v>2</v>
      </c>
      <c r="M36" s="123">
        <f t="shared" si="4"/>
        <v>-0.33333333333333331</v>
      </c>
      <c r="N36" s="162">
        <v>7</v>
      </c>
      <c r="O36" s="123">
        <f t="shared" si="5"/>
        <v>2.5</v>
      </c>
      <c r="P36" s="162">
        <v>5</v>
      </c>
      <c r="Q36" s="123">
        <f t="shared" si="6"/>
        <v>-0.2857142857142857</v>
      </c>
      <c r="R36" s="162">
        <v>9</v>
      </c>
      <c r="S36" s="123">
        <f t="shared" si="7"/>
        <v>0.8</v>
      </c>
    </row>
    <row r="37" spans="1:19" x14ac:dyDescent="0.25">
      <c r="B37" s="1057" t="s">
        <v>1508</v>
      </c>
      <c r="C37" s="1064">
        <v>0</v>
      </c>
      <c r="D37" s="162">
        <v>0</v>
      </c>
      <c r="E37" s="123" t="str">
        <f t="shared" si="0"/>
        <v>N/A</v>
      </c>
      <c r="F37" s="162">
        <v>0</v>
      </c>
      <c r="G37" s="123" t="str">
        <f t="shared" si="1"/>
        <v>N/A</v>
      </c>
      <c r="H37" s="162">
        <v>1</v>
      </c>
      <c r="I37" s="505">
        <f t="shared" si="2"/>
        <v>1</v>
      </c>
      <c r="J37" s="162">
        <v>1</v>
      </c>
      <c r="K37" s="123">
        <f t="shared" si="3"/>
        <v>0</v>
      </c>
      <c r="L37" s="162">
        <v>3</v>
      </c>
      <c r="M37" s="123">
        <f t="shared" si="4"/>
        <v>2</v>
      </c>
      <c r="N37" s="162">
        <v>3</v>
      </c>
      <c r="O37" s="123">
        <f t="shared" si="5"/>
        <v>0</v>
      </c>
      <c r="P37" s="162">
        <v>3</v>
      </c>
      <c r="Q37" s="123">
        <f t="shared" si="6"/>
        <v>0</v>
      </c>
      <c r="R37" s="162">
        <v>0</v>
      </c>
      <c r="S37" s="123">
        <f t="shared" si="7"/>
        <v>-1</v>
      </c>
    </row>
    <row r="38" spans="1:19" x14ac:dyDescent="0.25">
      <c r="A38" s="164">
        <v>1509</v>
      </c>
      <c r="B38" s="354" t="s">
        <v>1190</v>
      </c>
      <c r="C38" s="1064">
        <v>5</v>
      </c>
      <c r="D38" s="162">
        <v>3</v>
      </c>
      <c r="E38" s="123">
        <f t="shared" si="0"/>
        <v>-0.4</v>
      </c>
      <c r="F38" s="162">
        <v>6</v>
      </c>
      <c r="G38" s="123">
        <f t="shared" si="1"/>
        <v>1</v>
      </c>
      <c r="H38" s="162">
        <v>1</v>
      </c>
      <c r="I38" s="505">
        <f t="shared" si="2"/>
        <v>-0.83333333333333337</v>
      </c>
      <c r="J38" s="162">
        <v>1</v>
      </c>
      <c r="K38" s="123">
        <f t="shared" si="3"/>
        <v>0</v>
      </c>
      <c r="L38" s="162">
        <v>8</v>
      </c>
      <c r="M38" s="123">
        <f t="shared" si="4"/>
        <v>7</v>
      </c>
      <c r="N38" s="162">
        <v>6</v>
      </c>
      <c r="O38" s="123">
        <f t="shared" si="5"/>
        <v>-0.25</v>
      </c>
      <c r="P38" s="162">
        <v>5</v>
      </c>
      <c r="Q38" s="123">
        <f t="shared" si="6"/>
        <v>-0.16666666666666666</v>
      </c>
      <c r="R38" s="162">
        <v>6</v>
      </c>
      <c r="S38" s="123">
        <f t="shared" si="7"/>
        <v>0.2</v>
      </c>
    </row>
    <row r="39" spans="1:19" x14ac:dyDescent="0.25">
      <c r="A39" s="164">
        <v>2206</v>
      </c>
      <c r="B39" s="354" t="s">
        <v>1130</v>
      </c>
      <c r="C39" s="1064">
        <v>7</v>
      </c>
      <c r="D39" s="162">
        <v>4</v>
      </c>
      <c r="E39" s="123">
        <f t="shared" si="0"/>
        <v>-0.42857142857142855</v>
      </c>
      <c r="F39" s="162">
        <v>3</v>
      </c>
      <c r="G39" s="123">
        <f t="shared" si="1"/>
        <v>-0.25</v>
      </c>
      <c r="H39" s="162">
        <v>3</v>
      </c>
      <c r="I39" s="505">
        <f t="shared" si="2"/>
        <v>0</v>
      </c>
      <c r="J39" s="162">
        <v>5</v>
      </c>
      <c r="K39" s="123">
        <f t="shared" si="3"/>
        <v>0.66666666666666663</v>
      </c>
      <c r="L39" s="162">
        <v>4</v>
      </c>
      <c r="M39" s="123">
        <f t="shared" si="4"/>
        <v>-0.2</v>
      </c>
      <c r="N39" s="162">
        <v>2</v>
      </c>
      <c r="O39" s="123">
        <f t="shared" si="5"/>
        <v>-0.5</v>
      </c>
      <c r="P39" s="162">
        <v>5</v>
      </c>
      <c r="Q39" s="123">
        <f t="shared" si="6"/>
        <v>1.5</v>
      </c>
      <c r="R39" s="162">
        <v>3</v>
      </c>
      <c r="S39" s="123">
        <f t="shared" si="7"/>
        <v>-0.4</v>
      </c>
    </row>
    <row r="40" spans="1:19" x14ac:dyDescent="0.25">
      <c r="B40" s="354" t="s">
        <v>1131</v>
      </c>
      <c r="C40" s="1064">
        <v>14</v>
      </c>
      <c r="D40" s="162">
        <v>13</v>
      </c>
      <c r="E40" s="123">
        <f t="shared" si="0"/>
        <v>-7.1428571428571425E-2</v>
      </c>
      <c r="F40" s="162">
        <v>7</v>
      </c>
      <c r="G40" s="123">
        <f t="shared" si="1"/>
        <v>-0.46153846153846156</v>
      </c>
      <c r="H40" s="162">
        <v>5</v>
      </c>
      <c r="I40" s="505">
        <f t="shared" si="2"/>
        <v>-0.2857142857142857</v>
      </c>
      <c r="J40" s="162">
        <v>3</v>
      </c>
      <c r="K40" s="123">
        <f t="shared" si="3"/>
        <v>-0.4</v>
      </c>
      <c r="L40" s="162">
        <v>7</v>
      </c>
      <c r="M40" s="123">
        <f t="shared" si="4"/>
        <v>1.3333333333333333</v>
      </c>
      <c r="N40" s="162">
        <v>12</v>
      </c>
      <c r="O40" s="123">
        <f t="shared" si="5"/>
        <v>0.7142857142857143</v>
      </c>
      <c r="P40" s="162">
        <v>11</v>
      </c>
      <c r="Q40" s="123">
        <f t="shared" si="6"/>
        <v>-8.3333333333333329E-2</v>
      </c>
      <c r="R40" s="162">
        <v>8</v>
      </c>
      <c r="S40" s="123">
        <f t="shared" si="7"/>
        <v>-0.27272727272727271</v>
      </c>
    </row>
    <row r="41" spans="1:19" x14ac:dyDescent="0.25">
      <c r="A41" s="164">
        <v>2001</v>
      </c>
      <c r="B41" s="354" t="s">
        <v>1101</v>
      </c>
      <c r="C41" s="1064">
        <v>70</v>
      </c>
      <c r="D41" s="162">
        <v>37</v>
      </c>
      <c r="E41" s="123">
        <f t="shared" si="0"/>
        <v>-0.47142857142857142</v>
      </c>
      <c r="F41" s="162">
        <v>25</v>
      </c>
      <c r="G41" s="123">
        <f t="shared" si="1"/>
        <v>-0.32432432432432434</v>
      </c>
      <c r="H41" s="162">
        <v>16</v>
      </c>
      <c r="I41" s="505">
        <f t="shared" si="2"/>
        <v>-0.36</v>
      </c>
      <c r="J41" s="162">
        <v>10</v>
      </c>
      <c r="K41" s="123">
        <f t="shared" si="3"/>
        <v>-0.375</v>
      </c>
      <c r="L41" s="162">
        <v>24</v>
      </c>
      <c r="M41" s="123">
        <f t="shared" si="4"/>
        <v>1.4</v>
      </c>
      <c r="N41" s="162">
        <v>31</v>
      </c>
      <c r="O41" s="123">
        <f t="shared" si="5"/>
        <v>0.29166666666666669</v>
      </c>
      <c r="P41" s="162">
        <v>27</v>
      </c>
      <c r="Q41" s="123">
        <f t="shared" si="6"/>
        <v>-0.12903225806451613</v>
      </c>
      <c r="R41" s="162">
        <v>20</v>
      </c>
      <c r="S41" s="123">
        <f t="shared" si="7"/>
        <v>-0.25925925925925924</v>
      </c>
    </row>
    <row r="42" spans="1:19" x14ac:dyDescent="0.25">
      <c r="B42" s="354" t="s">
        <v>712</v>
      </c>
      <c r="C42" s="1064">
        <v>6</v>
      </c>
      <c r="D42" s="162">
        <v>4</v>
      </c>
      <c r="E42" s="123">
        <f t="shared" si="0"/>
        <v>-0.33333333333333331</v>
      </c>
      <c r="F42" s="162">
        <v>1</v>
      </c>
      <c r="G42" s="123">
        <f t="shared" si="1"/>
        <v>-0.75</v>
      </c>
      <c r="H42" s="162">
        <v>1</v>
      </c>
      <c r="I42" s="505">
        <f t="shared" si="2"/>
        <v>0</v>
      </c>
      <c r="J42" s="162">
        <v>2</v>
      </c>
      <c r="K42" s="123">
        <f t="shared" si="3"/>
        <v>1</v>
      </c>
      <c r="L42" s="162">
        <v>1</v>
      </c>
      <c r="M42" s="123">
        <f t="shared" si="4"/>
        <v>-0.5</v>
      </c>
      <c r="N42" s="162">
        <v>1</v>
      </c>
      <c r="O42" s="123">
        <f t="shared" si="5"/>
        <v>0</v>
      </c>
      <c r="P42" s="162">
        <v>1</v>
      </c>
      <c r="Q42" s="123">
        <f t="shared" si="6"/>
        <v>0</v>
      </c>
      <c r="R42" s="162">
        <v>1</v>
      </c>
      <c r="S42" s="123">
        <f t="shared" si="7"/>
        <v>0</v>
      </c>
    </row>
    <row r="43" spans="1:19" x14ac:dyDescent="0.25">
      <c r="B43" s="1286" t="s">
        <v>1665</v>
      </c>
      <c r="C43" s="1064">
        <v>0</v>
      </c>
      <c r="D43" s="1526">
        <v>0</v>
      </c>
      <c r="E43" s="1307" t="str">
        <f t="shared" si="0"/>
        <v>N/A</v>
      </c>
      <c r="F43" s="1526">
        <v>0</v>
      </c>
      <c r="G43" s="1307" t="str">
        <f t="shared" si="1"/>
        <v>N/A</v>
      </c>
      <c r="H43" s="1526">
        <v>0</v>
      </c>
      <c r="I43" s="505" t="str">
        <f t="shared" si="2"/>
        <v>N/A</v>
      </c>
      <c r="J43" s="1526">
        <v>0</v>
      </c>
      <c r="K43" s="1307" t="str">
        <f t="shared" si="3"/>
        <v>N/A</v>
      </c>
      <c r="L43" s="1526">
        <v>0</v>
      </c>
      <c r="M43" s="1307" t="str">
        <f t="shared" si="4"/>
        <v>N/A</v>
      </c>
      <c r="N43" s="1526">
        <v>0</v>
      </c>
      <c r="O43" s="1307" t="str">
        <f t="shared" si="5"/>
        <v>N/A</v>
      </c>
      <c r="P43" s="1526">
        <v>10</v>
      </c>
      <c r="Q43" s="1307">
        <f t="shared" si="6"/>
        <v>1</v>
      </c>
      <c r="R43" s="1526">
        <v>11</v>
      </c>
      <c r="S43" s="1307">
        <f t="shared" si="7"/>
        <v>0.1</v>
      </c>
    </row>
    <row r="44" spans="1:19" x14ac:dyDescent="0.25">
      <c r="A44" s="164">
        <v>2208</v>
      </c>
      <c r="B44" s="354" t="s">
        <v>1106</v>
      </c>
      <c r="C44" s="1064">
        <v>18</v>
      </c>
      <c r="D44" s="162">
        <v>5</v>
      </c>
      <c r="E44" s="123">
        <f t="shared" si="0"/>
        <v>-0.72222222222222221</v>
      </c>
      <c r="F44" s="162">
        <v>5</v>
      </c>
      <c r="G44" s="123">
        <f t="shared" si="1"/>
        <v>0</v>
      </c>
      <c r="H44" s="162">
        <v>3</v>
      </c>
      <c r="I44" s="505">
        <f t="shared" si="2"/>
        <v>-0.4</v>
      </c>
      <c r="J44" s="162">
        <v>4</v>
      </c>
      <c r="K44" s="123">
        <f t="shared" si="3"/>
        <v>0.33333333333333331</v>
      </c>
      <c r="L44" s="162">
        <v>4</v>
      </c>
      <c r="M44" s="123">
        <f t="shared" si="4"/>
        <v>0</v>
      </c>
      <c r="N44" s="162">
        <v>6</v>
      </c>
      <c r="O44" s="123">
        <f t="shared" si="5"/>
        <v>0.5</v>
      </c>
      <c r="P44" s="162">
        <v>6</v>
      </c>
      <c r="Q44" s="123">
        <f t="shared" si="6"/>
        <v>0</v>
      </c>
      <c r="R44" s="162">
        <v>2</v>
      </c>
      <c r="S44" s="123">
        <f t="shared" si="7"/>
        <v>-0.66666666666666663</v>
      </c>
    </row>
    <row r="45" spans="1:19" x14ac:dyDescent="0.25">
      <c r="A45" s="164">
        <v>1105</v>
      </c>
      <c r="B45" s="354" t="s">
        <v>1133</v>
      </c>
      <c r="C45" s="1064">
        <v>53</v>
      </c>
      <c r="D45" s="162">
        <v>24</v>
      </c>
      <c r="E45" s="123">
        <f t="shared" si="0"/>
        <v>-0.54716981132075471</v>
      </c>
      <c r="F45" s="162">
        <v>16</v>
      </c>
      <c r="G45" s="491">
        <f t="shared" si="1"/>
        <v>-0.33333333333333331</v>
      </c>
      <c r="H45" s="162">
        <v>10</v>
      </c>
      <c r="I45" s="505">
        <f t="shared" si="2"/>
        <v>-0.375</v>
      </c>
      <c r="J45" s="162">
        <v>7</v>
      </c>
      <c r="K45" s="123">
        <f t="shared" si="3"/>
        <v>-0.3</v>
      </c>
      <c r="L45" s="162">
        <v>8</v>
      </c>
      <c r="M45" s="123">
        <f t="shared" si="4"/>
        <v>0.14285714285714285</v>
      </c>
      <c r="N45" s="162">
        <v>11</v>
      </c>
      <c r="O45" s="123">
        <f t="shared" si="5"/>
        <v>0.375</v>
      </c>
      <c r="P45" s="162">
        <v>12</v>
      </c>
      <c r="Q45" s="123">
        <f t="shared" si="6"/>
        <v>9.0909090909090912E-2</v>
      </c>
      <c r="R45" s="162">
        <v>11</v>
      </c>
      <c r="S45" s="123">
        <f t="shared" si="7"/>
        <v>-8.3333333333333329E-2</v>
      </c>
    </row>
    <row r="46" spans="1:19" x14ac:dyDescent="0.25">
      <c r="A46" s="164">
        <v>808</v>
      </c>
      <c r="B46" s="354" t="s">
        <v>1169</v>
      </c>
      <c r="C46" s="1064">
        <v>2</v>
      </c>
      <c r="D46" s="162">
        <v>2</v>
      </c>
      <c r="E46" s="491">
        <f t="shared" si="0"/>
        <v>0</v>
      </c>
      <c r="F46" s="162">
        <v>1</v>
      </c>
      <c r="G46" s="505">
        <f t="shared" si="1"/>
        <v>-0.5</v>
      </c>
      <c r="H46" s="162">
        <v>0</v>
      </c>
      <c r="I46" s="505">
        <f t="shared" si="2"/>
        <v>-1</v>
      </c>
      <c r="J46" s="162">
        <v>0</v>
      </c>
      <c r="K46" s="123" t="str">
        <f t="shared" si="3"/>
        <v>N/A</v>
      </c>
      <c r="L46" s="162">
        <v>0</v>
      </c>
      <c r="M46" s="123" t="str">
        <f t="shared" si="4"/>
        <v>N/A</v>
      </c>
      <c r="N46" s="162">
        <v>0</v>
      </c>
      <c r="O46" s="123" t="str">
        <f t="shared" si="5"/>
        <v>N/A</v>
      </c>
      <c r="P46" s="162">
        <v>0</v>
      </c>
      <c r="Q46" s="123" t="str">
        <f t="shared" si="6"/>
        <v>N/A</v>
      </c>
      <c r="R46" s="162">
        <v>0</v>
      </c>
      <c r="S46" s="123" t="str">
        <f t="shared" si="7"/>
        <v>N/A</v>
      </c>
    </row>
    <row r="47" spans="1:19" x14ac:dyDescent="0.25">
      <c r="A47" s="164">
        <v>1007</v>
      </c>
      <c r="B47" s="430" t="s">
        <v>1127</v>
      </c>
      <c r="C47" s="1065">
        <v>13</v>
      </c>
      <c r="D47" s="1060">
        <v>0</v>
      </c>
      <c r="E47" s="491">
        <f t="shared" si="0"/>
        <v>-1</v>
      </c>
      <c r="F47" s="1060">
        <v>0</v>
      </c>
      <c r="G47" s="491" t="str">
        <f t="shared" si="1"/>
        <v>N/A</v>
      </c>
      <c r="H47" s="1060">
        <v>0</v>
      </c>
      <c r="I47" s="491" t="str">
        <f t="shared" si="2"/>
        <v>N/A</v>
      </c>
      <c r="J47" s="1060">
        <v>0</v>
      </c>
      <c r="K47" s="123" t="str">
        <f t="shared" si="3"/>
        <v>N/A</v>
      </c>
      <c r="L47" s="1060">
        <v>0</v>
      </c>
      <c r="M47" s="123" t="str">
        <f t="shared" si="4"/>
        <v>N/A</v>
      </c>
      <c r="N47" s="1060">
        <v>0</v>
      </c>
      <c r="O47" s="123" t="str">
        <f t="shared" si="5"/>
        <v>N/A</v>
      </c>
      <c r="P47" s="1060">
        <v>0</v>
      </c>
      <c r="Q47" s="123" t="str">
        <f t="shared" si="6"/>
        <v>N/A</v>
      </c>
      <c r="R47" s="1060">
        <v>0</v>
      </c>
      <c r="S47" s="123" t="str">
        <f t="shared" si="7"/>
        <v>N/A</v>
      </c>
    </row>
    <row r="48" spans="1:19" x14ac:dyDescent="0.25">
      <c r="B48" s="1059" t="s">
        <v>1509</v>
      </c>
      <c r="C48" s="1065">
        <v>0</v>
      </c>
      <c r="D48" s="1060">
        <v>0</v>
      </c>
      <c r="E48" s="491" t="str">
        <f t="shared" si="0"/>
        <v>N/A</v>
      </c>
      <c r="F48" s="1060">
        <v>0</v>
      </c>
      <c r="G48" s="491" t="str">
        <f t="shared" si="1"/>
        <v>N/A</v>
      </c>
      <c r="H48" s="1060">
        <v>2</v>
      </c>
      <c r="I48" s="491">
        <f t="shared" si="2"/>
        <v>1</v>
      </c>
      <c r="J48" s="1060">
        <v>2</v>
      </c>
      <c r="K48" s="123">
        <f t="shared" si="3"/>
        <v>0</v>
      </c>
      <c r="L48" s="1060">
        <v>1</v>
      </c>
      <c r="M48" s="123">
        <f t="shared" si="4"/>
        <v>-0.5</v>
      </c>
      <c r="N48" s="1060">
        <v>2</v>
      </c>
      <c r="O48" s="123">
        <f t="shared" si="5"/>
        <v>1</v>
      </c>
      <c r="P48" s="1060">
        <v>1</v>
      </c>
      <c r="Q48" s="123">
        <f t="shared" si="6"/>
        <v>-0.5</v>
      </c>
      <c r="R48" s="1060">
        <v>1</v>
      </c>
      <c r="S48" s="123">
        <f t="shared" si="7"/>
        <v>0</v>
      </c>
    </row>
    <row r="49" spans="1:19" x14ac:dyDescent="0.25">
      <c r="B49" s="862" t="s">
        <v>1510</v>
      </c>
      <c r="C49" s="1065">
        <v>0</v>
      </c>
      <c r="D49" s="1060">
        <v>0</v>
      </c>
      <c r="E49" s="491" t="str">
        <f t="shared" si="0"/>
        <v>N/A</v>
      </c>
      <c r="F49" s="1060">
        <v>0</v>
      </c>
      <c r="G49" s="491" t="str">
        <f t="shared" si="1"/>
        <v>N/A</v>
      </c>
      <c r="H49" s="1060">
        <v>2</v>
      </c>
      <c r="I49" s="491">
        <f t="shared" si="2"/>
        <v>1</v>
      </c>
      <c r="J49" s="1060">
        <v>4</v>
      </c>
      <c r="K49" s="123">
        <f t="shared" si="3"/>
        <v>1</v>
      </c>
      <c r="L49" s="1060">
        <v>4</v>
      </c>
      <c r="M49" s="123">
        <f t="shared" si="4"/>
        <v>0</v>
      </c>
      <c r="N49" s="1060">
        <v>7</v>
      </c>
      <c r="O49" s="123">
        <f t="shared" si="5"/>
        <v>0.75</v>
      </c>
      <c r="P49" s="1060">
        <v>7</v>
      </c>
      <c r="Q49" s="123">
        <f t="shared" si="6"/>
        <v>0</v>
      </c>
      <c r="R49" s="1060">
        <v>4</v>
      </c>
      <c r="S49" s="123">
        <f t="shared" si="7"/>
        <v>-0.42857142857142855</v>
      </c>
    </row>
    <row r="50" spans="1:19" x14ac:dyDescent="0.25">
      <c r="A50" s="164">
        <v>1002</v>
      </c>
      <c r="B50" s="1061" t="s">
        <v>1128</v>
      </c>
      <c r="C50" s="1066">
        <v>25</v>
      </c>
      <c r="D50" s="168">
        <v>10</v>
      </c>
      <c r="E50" s="505">
        <f t="shared" si="0"/>
        <v>-0.6</v>
      </c>
      <c r="F50" s="168">
        <v>5</v>
      </c>
      <c r="G50" s="505">
        <f t="shared" si="1"/>
        <v>-0.5</v>
      </c>
      <c r="H50" s="168">
        <v>5</v>
      </c>
      <c r="I50" s="505">
        <f t="shared" si="2"/>
        <v>0</v>
      </c>
      <c r="J50" s="168">
        <v>1</v>
      </c>
      <c r="K50" s="123">
        <f t="shared" si="3"/>
        <v>-0.8</v>
      </c>
      <c r="L50" s="168">
        <v>4</v>
      </c>
      <c r="M50" s="123">
        <f t="shared" si="4"/>
        <v>3</v>
      </c>
      <c r="N50" s="168">
        <v>6</v>
      </c>
      <c r="O50" s="123">
        <f t="shared" si="5"/>
        <v>0.5</v>
      </c>
      <c r="P50" s="168">
        <v>5</v>
      </c>
      <c r="Q50" s="123">
        <f t="shared" si="6"/>
        <v>-0.16666666666666666</v>
      </c>
      <c r="R50" s="168">
        <v>3</v>
      </c>
      <c r="S50" s="123">
        <f t="shared" si="7"/>
        <v>-0.4</v>
      </c>
    </row>
    <row r="51" spans="1:19" x14ac:dyDescent="0.25">
      <c r="A51" s="165">
        <v>1599</v>
      </c>
      <c r="B51" s="355" t="s">
        <v>1191</v>
      </c>
      <c r="C51" s="1064">
        <v>13</v>
      </c>
      <c r="D51" s="162">
        <v>7</v>
      </c>
      <c r="E51" s="123">
        <f t="shared" si="0"/>
        <v>-0.46153846153846156</v>
      </c>
      <c r="F51" s="162">
        <v>5</v>
      </c>
      <c r="G51" s="123">
        <f t="shared" si="1"/>
        <v>-0.2857142857142857</v>
      </c>
      <c r="H51" s="162">
        <v>3</v>
      </c>
      <c r="I51" s="505">
        <f t="shared" si="2"/>
        <v>-0.4</v>
      </c>
      <c r="J51" s="162">
        <v>0</v>
      </c>
      <c r="K51" s="123">
        <f t="shared" si="3"/>
        <v>-1</v>
      </c>
      <c r="L51" s="162">
        <v>0</v>
      </c>
      <c r="M51" s="123" t="str">
        <f t="shared" si="4"/>
        <v>N/A</v>
      </c>
      <c r="N51" s="162">
        <v>0</v>
      </c>
      <c r="O51" s="123" t="str">
        <f t="shared" si="5"/>
        <v>N/A</v>
      </c>
      <c r="P51" s="162">
        <v>0</v>
      </c>
      <c r="Q51" s="123" t="str">
        <f t="shared" si="6"/>
        <v>N/A</v>
      </c>
      <c r="R51" s="162">
        <v>0</v>
      </c>
      <c r="S51" s="123" t="str">
        <f t="shared" si="7"/>
        <v>N/A</v>
      </c>
    </row>
    <row r="52" spans="1:19" x14ac:dyDescent="0.25">
      <c r="B52" s="355" t="s">
        <v>1192</v>
      </c>
      <c r="C52" s="1064">
        <f>SUM(C6:C51)</f>
        <v>657</v>
      </c>
      <c r="D52" s="162">
        <f>SUM(D6:D51)</f>
        <v>305</v>
      </c>
      <c r="E52" s="123">
        <f t="shared" si="0"/>
        <v>-0.53576864535768642</v>
      </c>
      <c r="F52" s="162">
        <f>SUM(F6:F51)</f>
        <v>196</v>
      </c>
      <c r="G52" s="123">
        <f t="shared" si="1"/>
        <v>-0.35737704918032787</v>
      </c>
      <c r="H52" s="162">
        <f>SUM(H6:H51)</f>
        <v>141</v>
      </c>
      <c r="I52" s="505">
        <f t="shared" si="2"/>
        <v>-0.28061224489795916</v>
      </c>
      <c r="J52" s="162">
        <f>SUM(J6:J51)</f>
        <v>114</v>
      </c>
      <c r="K52" s="123">
        <f t="shared" si="3"/>
        <v>-0.19148936170212766</v>
      </c>
      <c r="L52" s="162">
        <f>SUM(L6:L51)</f>
        <v>160</v>
      </c>
      <c r="M52" s="123">
        <f t="shared" si="4"/>
        <v>0.40350877192982454</v>
      </c>
      <c r="N52" s="162">
        <f>SUM(N6:N51)</f>
        <v>209</v>
      </c>
      <c r="O52" s="123">
        <f t="shared" si="5"/>
        <v>0.30625000000000002</v>
      </c>
      <c r="P52" s="162">
        <f>SUM(P6:P51)</f>
        <v>229</v>
      </c>
      <c r="Q52" s="123">
        <f t="shared" si="6"/>
        <v>9.569377990430622E-2</v>
      </c>
      <c r="R52" s="162">
        <f>SUM(R6:R51)</f>
        <v>179</v>
      </c>
      <c r="S52" s="123">
        <f t="shared" si="7"/>
        <v>-0.2183406113537118</v>
      </c>
    </row>
    <row r="53" spans="1:19" x14ac:dyDescent="0.25">
      <c r="B53" s="355" t="s">
        <v>1193</v>
      </c>
      <c r="C53" s="1064">
        <f>1751-48</f>
        <v>1703</v>
      </c>
      <c r="D53" s="162">
        <f>2309-74</f>
        <v>2235</v>
      </c>
      <c r="E53" s="123">
        <f t="shared" si="0"/>
        <v>0.3123899001761597</v>
      </c>
      <c r="F53" s="162">
        <f>2838-F52-F54</f>
        <v>2593</v>
      </c>
      <c r="G53" s="123">
        <f t="shared" si="1"/>
        <v>0.16017897091722594</v>
      </c>
      <c r="H53" s="1058">
        <f>3060-H54-H52</f>
        <v>2855</v>
      </c>
      <c r="I53" s="505">
        <f t="shared" si="2"/>
        <v>0.10104126494408022</v>
      </c>
      <c r="J53" s="162">
        <f>3069-J54-J52</f>
        <v>2924</v>
      </c>
      <c r="K53" s="123">
        <f t="shared" si="3"/>
        <v>2.4168126094570929E-2</v>
      </c>
      <c r="L53" s="162">
        <f>3049-L54-L52</f>
        <v>2809</v>
      </c>
      <c r="M53" s="123">
        <f t="shared" si="4"/>
        <v>-3.9329685362517103E-2</v>
      </c>
      <c r="N53" s="162">
        <v>2583</v>
      </c>
      <c r="O53" s="123">
        <f t="shared" si="5"/>
        <v>-8.0455678177287285E-2</v>
      </c>
      <c r="P53" s="162">
        <v>2488</v>
      </c>
      <c r="Q53" s="123">
        <f t="shared" si="6"/>
        <v>-3.6778939217963609E-2</v>
      </c>
      <c r="R53" s="162">
        <v>2480</v>
      </c>
      <c r="S53" s="123">
        <f t="shared" si="7"/>
        <v>-3.2154340836012861E-3</v>
      </c>
    </row>
    <row r="54" spans="1:19" x14ac:dyDescent="0.25">
      <c r="B54" s="355" t="s">
        <v>1194</v>
      </c>
      <c r="C54" s="1067">
        <v>48</v>
      </c>
      <c r="D54" s="110">
        <v>74</v>
      </c>
      <c r="E54" s="123">
        <f t="shared" si="0"/>
        <v>0.54166666666666663</v>
      </c>
      <c r="F54" s="110">
        <v>49</v>
      </c>
      <c r="G54" s="123">
        <f t="shared" si="1"/>
        <v>-0.33783783783783783</v>
      </c>
      <c r="H54" s="110">
        <v>64</v>
      </c>
      <c r="I54" s="505">
        <f t="shared" si="2"/>
        <v>0.30612244897959184</v>
      </c>
      <c r="J54" s="110">
        <v>31</v>
      </c>
      <c r="K54" s="123">
        <f t="shared" si="3"/>
        <v>-0.515625</v>
      </c>
      <c r="L54" s="110">
        <v>80</v>
      </c>
      <c r="M54" s="123">
        <f t="shared" si="4"/>
        <v>1.5806451612903225</v>
      </c>
      <c r="N54" s="110">
        <v>85</v>
      </c>
      <c r="O54" s="123">
        <f t="shared" si="5"/>
        <v>6.25E-2</v>
      </c>
      <c r="P54" s="110">
        <v>70</v>
      </c>
      <c r="Q54" s="123">
        <f t="shared" si="6"/>
        <v>-0.17647058823529413</v>
      </c>
      <c r="R54" s="110">
        <v>42</v>
      </c>
      <c r="S54" s="123">
        <f t="shared" si="7"/>
        <v>-0.4</v>
      </c>
    </row>
    <row r="55" spans="1:19" x14ac:dyDescent="0.25">
      <c r="A55" s="166"/>
      <c r="B55" s="431"/>
      <c r="C55" s="1068"/>
      <c r="D55" s="350"/>
      <c r="E55" s="334"/>
      <c r="F55" s="337"/>
      <c r="G55" s="334"/>
      <c r="H55" s="337"/>
      <c r="I55" s="334"/>
      <c r="J55" s="337"/>
      <c r="K55" s="334"/>
      <c r="L55" s="337"/>
      <c r="M55" s="334"/>
      <c r="N55" s="337"/>
      <c r="O55" s="334"/>
      <c r="P55" s="337"/>
      <c r="Q55" s="334"/>
      <c r="R55" s="337"/>
      <c r="S55" s="334"/>
    </row>
    <row r="56" spans="1:19" x14ac:dyDescent="0.25">
      <c r="A56" s="166"/>
      <c r="B56" s="432" t="s">
        <v>1003</v>
      </c>
      <c r="C56" s="1069">
        <f>SUM(C52:C54)</f>
        <v>2408</v>
      </c>
      <c r="D56" s="318">
        <f>SUM(D52:D54)</f>
        <v>2614</v>
      </c>
      <c r="E56" s="123">
        <f>IF(C56&gt;0,(D56-C56)/C56,(IF(D56=0,"N/A",100%)))</f>
        <v>8.5548172757475088E-2</v>
      </c>
      <c r="F56" s="318">
        <f>SUM(F52:F54)</f>
        <v>2838</v>
      </c>
      <c r="G56" s="123">
        <f>IF(D56&gt;0,(F56-D56)/D56,(IF(F56=0,"N/A",100%)))</f>
        <v>8.5692425401683245E-2</v>
      </c>
      <c r="H56" s="318">
        <f>SUM(H52:H54)</f>
        <v>3060</v>
      </c>
      <c r="I56" s="123">
        <f>IF(F56&gt;0,(H56-F56)/F56,(IF(H56=0,"N/A",100%)))</f>
        <v>7.8224101479915431E-2</v>
      </c>
      <c r="J56" s="318">
        <f>SUM(J52:J54)</f>
        <v>3069</v>
      </c>
      <c r="K56" s="123">
        <f>IF(H56&gt;0,(J56-H56)/H56,(IF(J56=0,"N/A",100%)))</f>
        <v>2.9411764705882353E-3</v>
      </c>
      <c r="L56" s="318">
        <f>SUM(L52:L54)</f>
        <v>3049</v>
      </c>
      <c r="M56" s="123">
        <f>IF(J56&gt;0,(L56-J56)/J56,(IF(L56=0,"N/A",100%)))</f>
        <v>-6.5167807103290974E-3</v>
      </c>
      <c r="N56" s="318">
        <f>SUM(N52:N54)</f>
        <v>2877</v>
      </c>
      <c r="O56" s="123">
        <f>IF(L56&gt;0,(N56-L56)/L56,(IF(N56=0,"N/A",100%)))</f>
        <v>-5.6411938340439491E-2</v>
      </c>
      <c r="P56" s="318">
        <f>SUM(P52:P54)</f>
        <v>2787</v>
      </c>
      <c r="Q56" s="123">
        <f>IF(N56&gt;0,(P56-N56)/N56,(IF(P56=0,"N/A",100%)))</f>
        <v>-3.1282586027111578E-2</v>
      </c>
      <c r="R56" s="318">
        <f>SUM(R52:R54)</f>
        <v>2701</v>
      </c>
      <c r="S56" s="123">
        <f>IF(P56&gt;0,(R56-P56)/P56,(IF(R56=0,"N/A",100%)))</f>
        <v>-3.0857552924291352E-2</v>
      </c>
    </row>
    <row r="57" spans="1:19" x14ac:dyDescent="0.25">
      <c r="A57" s="166"/>
      <c r="N57" s="210"/>
    </row>
    <row r="58" spans="1:19" x14ac:dyDescent="0.25">
      <c r="A58" s="166"/>
      <c r="B58" s="173"/>
      <c r="C58" s="173"/>
      <c r="P58" s="1525"/>
    </row>
  </sheetData>
  <mergeCells count="9">
    <mergeCell ref="R3:S3"/>
    <mergeCell ref="B1:S1"/>
    <mergeCell ref="P3:Q3"/>
    <mergeCell ref="N3:O3"/>
    <mergeCell ref="L3:M3"/>
    <mergeCell ref="J3:K3"/>
    <mergeCell ref="H3:I3"/>
    <mergeCell ref="F3:G3"/>
    <mergeCell ref="D3:E3"/>
  </mergeCells>
  <phoneticPr fontId="16" type="noConversion"/>
  <printOptions horizontalCentered="1" verticalCentered="1"/>
  <pageMargins left="0.5" right="0.5" top="0.5" bottom="0.75" header="0.5" footer="0.5"/>
  <pageSetup scale="75" orientation="portrait" r:id="rId1"/>
  <headerFooter alignWithMargins="0">
    <oddFooter>&amp;L&amp;8Source: Office of Institutional Research</oddFooter>
  </headerFooter>
  <legacyDrawing r:id="rId2"/>
  <webPublishItems count="1">
    <webPublishItem id="7591" divId="2001_2002 FACT BOOK FINAL COPY_7591" sourceType="sheet" destinationFile="C:\Documents and Settings\mkirkpatrick\My Documents\2005-2006 Fact Book\2005-2006 WEB PAGES\05-06fallheadcountbyMINOR.htm"/>
  </webPublishItem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2"/>
  <dimension ref="A1:R135"/>
  <sheetViews>
    <sheetView zoomScale="80" zoomScaleNormal="80" workbookViewId="0">
      <selection sqref="A1:R1"/>
    </sheetView>
  </sheetViews>
  <sheetFormatPr defaultRowHeight="13.2" x14ac:dyDescent="0.25"/>
  <cols>
    <col min="1" max="1" width="71.6640625" customWidth="1"/>
    <col min="2" max="3" width="15.44140625" hidden="1" customWidth="1"/>
    <col min="4" max="4" width="15.44140625" style="7" hidden="1" customWidth="1"/>
    <col min="5" max="5" width="15.44140625" hidden="1" customWidth="1"/>
    <col min="6" max="6" width="15.44140625" style="7" hidden="1" customWidth="1"/>
    <col min="7" max="7" width="15.44140625" hidden="1" customWidth="1"/>
    <col min="8" max="8" width="15.44140625" style="7" hidden="1" customWidth="1"/>
    <col min="9" max="36" width="15.5546875" customWidth="1"/>
    <col min="37" max="39" width="15.44140625" customWidth="1"/>
  </cols>
  <sheetData>
    <row r="1" spans="1:18" ht="20.399999999999999" thickTop="1" thickBot="1" x14ac:dyDescent="0.4">
      <c r="A1" s="2191" t="s">
        <v>736</v>
      </c>
      <c r="B1" s="2192"/>
      <c r="C1" s="2192"/>
      <c r="D1" s="2192"/>
      <c r="E1" s="2192"/>
      <c r="F1" s="2192"/>
      <c r="G1" s="2192"/>
      <c r="H1" s="2192"/>
      <c r="I1" s="2192"/>
      <c r="J1" s="2192"/>
      <c r="K1" s="2192"/>
      <c r="L1" s="2192"/>
      <c r="M1" s="2192"/>
      <c r="N1" s="2192"/>
      <c r="O1" s="2192"/>
      <c r="P1" s="2192"/>
      <c r="Q1" s="2192"/>
      <c r="R1" s="2193"/>
    </row>
    <row r="2" spans="1:18" ht="18.75" customHeight="1" thickTop="1" thickBot="1" x14ac:dyDescent="0.35">
      <c r="A2" s="2188" t="s">
        <v>409</v>
      </c>
      <c r="B2" s="2189"/>
      <c r="C2" s="2189"/>
      <c r="D2" s="2189"/>
      <c r="E2" s="2189"/>
      <c r="F2" s="2189"/>
      <c r="G2" s="2189"/>
      <c r="H2" s="2189"/>
      <c r="I2" s="2189"/>
      <c r="J2" s="2189"/>
      <c r="K2" s="2189"/>
      <c r="L2" s="2189"/>
      <c r="M2" s="2189"/>
      <c r="N2" s="2189"/>
      <c r="O2" s="2189"/>
      <c r="P2" s="2189"/>
      <c r="Q2" s="2189"/>
      <c r="R2" s="2190"/>
    </row>
    <row r="3" spans="1:18" ht="20.25" customHeight="1" thickTop="1" x14ac:dyDescent="0.3">
      <c r="A3" s="666" t="s">
        <v>410</v>
      </c>
      <c r="B3" s="2001">
        <v>2008</v>
      </c>
      <c r="C3" s="2001">
        <f>B3+1</f>
        <v>2009</v>
      </c>
      <c r="D3" s="2002" t="s">
        <v>1100</v>
      </c>
      <c r="E3" s="2001">
        <f>C3+1</f>
        <v>2010</v>
      </c>
      <c r="F3" s="2002" t="s">
        <v>1100</v>
      </c>
      <c r="G3" s="2001">
        <f>E3+1</f>
        <v>2011</v>
      </c>
      <c r="H3" s="667" t="s">
        <v>1100</v>
      </c>
      <c r="I3" s="2001">
        <f>G3+1</f>
        <v>2012</v>
      </c>
      <c r="J3" s="667" t="s">
        <v>1100</v>
      </c>
      <c r="K3" s="2001">
        <v>2013</v>
      </c>
      <c r="L3" s="667" t="s">
        <v>1100</v>
      </c>
      <c r="M3" s="2001">
        <v>2014</v>
      </c>
      <c r="N3" s="2002" t="s">
        <v>1100</v>
      </c>
      <c r="O3" s="2001">
        <v>2015</v>
      </c>
      <c r="P3" s="667" t="s">
        <v>1100</v>
      </c>
      <c r="Q3" s="2001">
        <v>2016</v>
      </c>
      <c r="R3" s="2007" t="s">
        <v>1100</v>
      </c>
    </row>
    <row r="4" spans="1:18" ht="17.25" customHeight="1" x14ac:dyDescent="0.3">
      <c r="A4" s="459" t="s">
        <v>411</v>
      </c>
      <c r="B4" s="2003"/>
      <c r="C4" s="2003"/>
      <c r="D4" s="2004"/>
      <c r="E4" s="2003"/>
      <c r="F4" s="2004"/>
      <c r="G4" s="2003"/>
      <c r="H4" s="460"/>
      <c r="I4" s="2003"/>
      <c r="J4" s="460"/>
      <c r="K4" s="2003"/>
      <c r="L4" s="470"/>
      <c r="M4" s="2003"/>
      <c r="N4" s="470"/>
      <c r="O4" s="2003"/>
      <c r="P4" s="470"/>
      <c r="Q4" s="2003"/>
      <c r="R4" s="472"/>
    </row>
    <row r="5" spans="1:18" ht="17.25" customHeight="1" x14ac:dyDescent="0.3">
      <c r="A5" s="461" t="s">
        <v>1110</v>
      </c>
      <c r="B5" s="2005">
        <v>86</v>
      </c>
      <c r="C5" s="2005">
        <v>89</v>
      </c>
      <c r="D5" s="2006">
        <f t="shared" ref="D5:D10" si="0">IF(B5&gt;0,(C5-B5)/B5,(IF(C5=0,"N/A",100%)))</f>
        <v>3.4883720930232558E-2</v>
      </c>
      <c r="E5" s="2005">
        <v>106</v>
      </c>
      <c r="F5" s="2006">
        <f t="shared" ref="F5:F10" si="1">IF(C5&gt;0,(E5-C5)/C5,(IF(E5=0,"N/A",100%)))</f>
        <v>0.19101123595505617</v>
      </c>
      <c r="G5" s="2005">
        <v>108</v>
      </c>
      <c r="H5" s="462">
        <f t="shared" ref="H5:H10" si="2">IF(E5&gt;0,(G5-E5)/E5,(IF(G5=0,"N/A",100%)))</f>
        <v>1.8867924528301886E-2</v>
      </c>
      <c r="I5" s="2005">
        <v>87</v>
      </c>
      <c r="J5" s="462">
        <f t="shared" ref="J5:J10" si="3">IF(G5&gt;0,(I5-G5)/G5,(IF(I5=0,"N/A",100%)))</f>
        <v>-0.19444444444444445</v>
      </c>
      <c r="K5" s="2005">
        <v>100</v>
      </c>
      <c r="L5" s="462">
        <f t="shared" ref="L5:L10" si="4">IF(I5&gt;0,(K5-I5)/I5,(IF(K5=0,"N/A",100%)))</f>
        <v>0.14942528735632185</v>
      </c>
      <c r="M5" s="2005">
        <v>115</v>
      </c>
      <c r="N5" s="462">
        <f t="shared" ref="N5:N10" si="5">IF(K5&gt;0,(M5-K5)/K5,(IF(M5=0,"N/A",100%)))</f>
        <v>0.15</v>
      </c>
      <c r="O5" s="2005">
        <v>99</v>
      </c>
      <c r="P5" s="462">
        <f t="shared" ref="P5:P10" si="6">IF(M5&gt;0,(O5-M5)/M5,(IF(O5=0,"N/A",100%)))</f>
        <v>-0.1391304347826087</v>
      </c>
      <c r="Q5" s="2005">
        <v>122</v>
      </c>
      <c r="R5" s="1558">
        <f t="shared" ref="R5:R10" si="7">IF(O5&gt;0,(Q5-O5)/O5,(IF(Q5=0,"N/A",100%)))</f>
        <v>0.23232323232323232</v>
      </c>
    </row>
    <row r="6" spans="1:18" ht="17.25" customHeight="1" x14ac:dyDescent="0.3">
      <c r="A6" s="461" t="s">
        <v>522</v>
      </c>
      <c r="B6" s="2005">
        <v>8</v>
      </c>
      <c r="C6" s="2005">
        <v>16</v>
      </c>
      <c r="D6" s="2006">
        <f t="shared" si="0"/>
        <v>1</v>
      </c>
      <c r="E6" s="2005">
        <v>12</v>
      </c>
      <c r="F6" s="2006">
        <f t="shared" si="1"/>
        <v>-0.25</v>
      </c>
      <c r="G6" s="2005">
        <v>12</v>
      </c>
      <c r="H6" s="462">
        <f t="shared" si="2"/>
        <v>0</v>
      </c>
      <c r="I6" s="2005">
        <v>10</v>
      </c>
      <c r="J6" s="462">
        <f t="shared" si="3"/>
        <v>-0.16666666666666666</v>
      </c>
      <c r="K6" s="2005">
        <v>14</v>
      </c>
      <c r="L6" s="462">
        <f t="shared" si="4"/>
        <v>0.4</v>
      </c>
      <c r="M6" s="2005">
        <v>13</v>
      </c>
      <c r="N6" s="462">
        <f t="shared" si="5"/>
        <v>-7.1428571428571425E-2</v>
      </c>
      <c r="O6" s="2005">
        <v>21</v>
      </c>
      <c r="P6" s="462">
        <f t="shared" si="6"/>
        <v>0.61538461538461542</v>
      </c>
      <c r="Q6" s="2005">
        <v>18</v>
      </c>
      <c r="R6" s="1558">
        <f t="shared" si="7"/>
        <v>-0.14285714285714285</v>
      </c>
    </row>
    <row r="7" spans="1:18" ht="17.25" customHeight="1" x14ac:dyDescent="0.3">
      <c r="A7" s="461" t="s">
        <v>755</v>
      </c>
      <c r="B7" s="2005">
        <v>13</v>
      </c>
      <c r="C7" s="2005">
        <v>5</v>
      </c>
      <c r="D7" s="2006">
        <f t="shared" si="0"/>
        <v>-0.61538461538461542</v>
      </c>
      <c r="E7" s="2005">
        <v>14</v>
      </c>
      <c r="F7" s="2006">
        <f t="shared" si="1"/>
        <v>1.8</v>
      </c>
      <c r="G7" s="2005">
        <v>9</v>
      </c>
      <c r="H7" s="462">
        <f t="shared" si="2"/>
        <v>-0.35714285714285715</v>
      </c>
      <c r="I7" s="2005">
        <v>12</v>
      </c>
      <c r="J7" s="462">
        <f t="shared" si="3"/>
        <v>0.33333333333333331</v>
      </c>
      <c r="K7" s="2005">
        <v>12</v>
      </c>
      <c r="L7" s="462">
        <f t="shared" si="4"/>
        <v>0</v>
      </c>
      <c r="M7" s="2005">
        <v>7</v>
      </c>
      <c r="N7" s="462">
        <f t="shared" si="5"/>
        <v>-0.41666666666666669</v>
      </c>
      <c r="O7" s="2005">
        <v>5</v>
      </c>
      <c r="P7" s="462">
        <f t="shared" si="6"/>
        <v>-0.2857142857142857</v>
      </c>
      <c r="Q7" s="2005">
        <v>4</v>
      </c>
      <c r="R7" s="1558">
        <f t="shared" si="7"/>
        <v>-0.2</v>
      </c>
    </row>
    <row r="8" spans="1:18" ht="17.25" customHeight="1" x14ac:dyDescent="0.3">
      <c r="A8" s="461" t="s">
        <v>1115</v>
      </c>
      <c r="B8" s="2005">
        <v>0</v>
      </c>
      <c r="C8" s="2005">
        <v>0</v>
      </c>
      <c r="D8" s="2006" t="str">
        <f t="shared" si="0"/>
        <v>N/A</v>
      </c>
      <c r="E8" s="2005">
        <v>0</v>
      </c>
      <c r="F8" s="2006" t="str">
        <f t="shared" si="1"/>
        <v>N/A</v>
      </c>
      <c r="G8" s="2005">
        <v>0</v>
      </c>
      <c r="H8" s="462" t="str">
        <f t="shared" si="2"/>
        <v>N/A</v>
      </c>
      <c r="I8" s="2005">
        <v>0</v>
      </c>
      <c r="J8" s="462" t="str">
        <f t="shared" si="3"/>
        <v>N/A</v>
      </c>
      <c r="K8" s="2005">
        <v>0</v>
      </c>
      <c r="L8" s="462" t="str">
        <f t="shared" si="4"/>
        <v>N/A</v>
      </c>
      <c r="M8" s="2005">
        <v>0</v>
      </c>
      <c r="N8" s="462" t="str">
        <f t="shared" si="5"/>
        <v>N/A</v>
      </c>
      <c r="O8" s="2005">
        <v>0</v>
      </c>
      <c r="P8" s="462" t="str">
        <f t="shared" si="6"/>
        <v>N/A</v>
      </c>
      <c r="Q8" s="2005">
        <v>0</v>
      </c>
      <c r="R8" s="1558" t="str">
        <f t="shared" si="7"/>
        <v>N/A</v>
      </c>
    </row>
    <row r="9" spans="1:18" ht="17.25" customHeight="1" x14ac:dyDescent="0.3">
      <c r="A9" s="461" t="s">
        <v>1116</v>
      </c>
      <c r="B9" s="2005">
        <v>0</v>
      </c>
      <c r="C9" s="2005">
        <v>0</v>
      </c>
      <c r="D9" s="2006" t="str">
        <f t="shared" si="0"/>
        <v>N/A</v>
      </c>
      <c r="E9" s="2005">
        <v>0</v>
      </c>
      <c r="F9" s="2006" t="str">
        <f t="shared" si="1"/>
        <v>N/A</v>
      </c>
      <c r="G9" s="2005">
        <v>0</v>
      </c>
      <c r="H9" s="462" t="str">
        <f t="shared" si="2"/>
        <v>N/A</v>
      </c>
      <c r="I9" s="2005">
        <v>0</v>
      </c>
      <c r="J9" s="462" t="str">
        <f t="shared" si="3"/>
        <v>N/A</v>
      </c>
      <c r="K9" s="2005">
        <v>0</v>
      </c>
      <c r="L9" s="462" t="str">
        <f t="shared" si="4"/>
        <v>N/A</v>
      </c>
      <c r="M9" s="2005">
        <v>0</v>
      </c>
      <c r="N9" s="462" t="str">
        <f t="shared" si="5"/>
        <v>N/A</v>
      </c>
      <c r="O9" s="2005">
        <v>0</v>
      </c>
      <c r="P9" s="462" t="str">
        <f t="shared" si="6"/>
        <v>N/A</v>
      </c>
      <c r="Q9" s="2005">
        <v>0</v>
      </c>
      <c r="R9" s="1558" t="str">
        <f t="shared" si="7"/>
        <v>N/A</v>
      </c>
    </row>
    <row r="10" spans="1:18" ht="17.25" customHeight="1" x14ac:dyDescent="0.3">
      <c r="A10" s="465" t="s">
        <v>1015</v>
      </c>
      <c r="B10" s="2005">
        <f>SUM(B5:B9)</f>
        <v>107</v>
      </c>
      <c r="C10" s="2005">
        <f>SUM(C5:C9)</f>
        <v>110</v>
      </c>
      <c r="D10" s="2006">
        <f t="shared" si="0"/>
        <v>2.8037383177570093E-2</v>
      </c>
      <c r="E10" s="2005">
        <f>SUM(E5:E9)</f>
        <v>132</v>
      </c>
      <c r="F10" s="2006">
        <f t="shared" si="1"/>
        <v>0.2</v>
      </c>
      <c r="G10" s="2005">
        <f>SUM(G5:G9)</f>
        <v>129</v>
      </c>
      <c r="H10" s="462">
        <f t="shared" si="2"/>
        <v>-2.2727272727272728E-2</v>
      </c>
      <c r="I10" s="2005">
        <f>SUM(I5:I9)</f>
        <v>109</v>
      </c>
      <c r="J10" s="462">
        <f t="shared" si="3"/>
        <v>-0.15503875968992248</v>
      </c>
      <c r="K10" s="2005">
        <f>SUM(K5:K9)</f>
        <v>126</v>
      </c>
      <c r="L10" s="462">
        <f t="shared" si="4"/>
        <v>0.15596330275229359</v>
      </c>
      <c r="M10" s="2005">
        <f>SUM(M5:M9)</f>
        <v>135</v>
      </c>
      <c r="N10" s="462">
        <f t="shared" si="5"/>
        <v>7.1428571428571425E-2</v>
      </c>
      <c r="O10" s="2005">
        <f>SUM(O5:O9)</f>
        <v>125</v>
      </c>
      <c r="P10" s="462">
        <f t="shared" si="6"/>
        <v>-7.407407407407407E-2</v>
      </c>
      <c r="Q10" s="2005">
        <f>SUM(Q5:Q9)</f>
        <v>144</v>
      </c>
      <c r="R10" s="1558">
        <f t="shared" si="7"/>
        <v>0.152</v>
      </c>
    </row>
    <row r="11" spans="1:18" ht="17.25" customHeight="1" x14ac:dyDescent="0.3">
      <c r="A11" s="459" t="s">
        <v>412</v>
      </c>
      <c r="B11" s="2003"/>
      <c r="C11" s="2003"/>
      <c r="D11" s="2004"/>
      <c r="E11" s="2003"/>
      <c r="F11" s="2004"/>
      <c r="G11" s="2003"/>
      <c r="H11" s="460"/>
      <c r="I11" s="2003"/>
      <c r="J11" s="460"/>
      <c r="K11" s="2003"/>
      <c r="L11" s="460"/>
      <c r="M11" s="2003"/>
      <c r="N11" s="460"/>
      <c r="O11" s="2003"/>
      <c r="P11" s="460"/>
      <c r="Q11" s="2003"/>
      <c r="R11" s="1559"/>
    </row>
    <row r="12" spans="1:18" ht="17.25" customHeight="1" x14ac:dyDescent="0.3">
      <c r="A12" s="466" t="s">
        <v>1135</v>
      </c>
      <c r="B12" s="2005">
        <v>6</v>
      </c>
      <c r="C12" s="2005">
        <v>16</v>
      </c>
      <c r="D12" s="2006">
        <f t="shared" ref="D12:D20" si="8">IF(B12&gt;0,(C12-B12)/B12,(IF(C12=0,"N/A",100%)))</f>
        <v>1.6666666666666667</v>
      </c>
      <c r="E12" s="2005">
        <v>19</v>
      </c>
      <c r="F12" s="2006">
        <f t="shared" ref="F12:F20" si="9">IF(C12&gt;0,(E12-C12)/C12,(IF(E12=0,"N/A",100%)))</f>
        <v>0.1875</v>
      </c>
      <c r="G12" s="2005">
        <v>14</v>
      </c>
      <c r="H12" s="462">
        <f t="shared" ref="H12:H20" si="10">IF(E12&gt;0,(G12-E12)/E12,(IF(G12=0,"N/A",100%)))</f>
        <v>-0.26315789473684209</v>
      </c>
      <c r="I12" s="2005">
        <v>15</v>
      </c>
      <c r="J12" s="462">
        <f t="shared" ref="J12:J20" si="11">IF(G12&gt;0,(I12-G12)/G12,(IF(I12=0,"N/A",100%)))</f>
        <v>7.1428571428571425E-2</v>
      </c>
      <c r="K12" s="2005">
        <v>16</v>
      </c>
      <c r="L12" s="462">
        <f t="shared" ref="L12:L20" si="12">IF(I12&gt;0,(K12-I12)/I12,(IF(K12=0,"N/A",100%)))</f>
        <v>6.6666666666666666E-2</v>
      </c>
      <c r="M12" s="2005">
        <v>12</v>
      </c>
      <c r="N12" s="462">
        <f t="shared" ref="N12:N20" si="13">IF(K12&gt;0,(M12-K12)/K12,(IF(M12=0,"N/A",100%)))</f>
        <v>-0.25</v>
      </c>
      <c r="O12" s="2005">
        <v>10</v>
      </c>
      <c r="P12" s="462">
        <f t="shared" ref="P12:P20" si="14">IF(M12&gt;0,(O12-M12)/M12,(IF(O12=0,"N/A",100%)))</f>
        <v>-0.16666666666666666</v>
      </c>
      <c r="Q12" s="2005">
        <v>13</v>
      </c>
      <c r="R12" s="1558">
        <f t="shared" ref="R12:R20" si="15">IF(O12&gt;0,(Q12-O12)/O12,(IF(Q12=0,"N/A",100%)))</f>
        <v>0.3</v>
      </c>
    </row>
    <row r="13" spans="1:18" ht="17.25" customHeight="1" x14ac:dyDescent="0.3">
      <c r="A13" s="461" t="s">
        <v>1136</v>
      </c>
      <c r="B13" s="2005">
        <v>0</v>
      </c>
      <c r="C13" s="2005">
        <v>0</v>
      </c>
      <c r="D13" s="2006" t="str">
        <f t="shared" si="8"/>
        <v>N/A</v>
      </c>
      <c r="E13" s="2005">
        <v>0</v>
      </c>
      <c r="F13" s="2006" t="str">
        <f t="shared" si="9"/>
        <v>N/A</v>
      </c>
      <c r="G13" s="2005">
        <v>0</v>
      </c>
      <c r="H13" s="462" t="str">
        <f t="shared" si="10"/>
        <v>N/A</v>
      </c>
      <c r="I13" s="2005">
        <v>0</v>
      </c>
      <c r="J13" s="462" t="str">
        <f t="shared" si="11"/>
        <v>N/A</v>
      </c>
      <c r="K13" s="2005">
        <v>0</v>
      </c>
      <c r="L13" s="462" t="str">
        <f t="shared" si="12"/>
        <v>N/A</v>
      </c>
      <c r="M13" s="2005">
        <v>0</v>
      </c>
      <c r="N13" s="462" t="str">
        <f t="shared" si="13"/>
        <v>N/A</v>
      </c>
      <c r="O13" s="2005">
        <v>0</v>
      </c>
      <c r="P13" s="462" t="str">
        <f t="shared" si="14"/>
        <v>N/A</v>
      </c>
      <c r="Q13" s="2005">
        <v>0</v>
      </c>
      <c r="R13" s="1558" t="str">
        <f t="shared" si="15"/>
        <v>N/A</v>
      </c>
    </row>
    <row r="14" spans="1:18" ht="17.25" customHeight="1" x14ac:dyDescent="0.3">
      <c r="A14" s="467" t="s">
        <v>1140</v>
      </c>
      <c r="B14" s="2005">
        <v>17</v>
      </c>
      <c r="C14" s="2005">
        <v>19</v>
      </c>
      <c r="D14" s="2006">
        <f t="shared" si="8"/>
        <v>0.11764705882352941</v>
      </c>
      <c r="E14" s="2005">
        <v>18</v>
      </c>
      <c r="F14" s="2006">
        <f t="shared" si="9"/>
        <v>-5.2631578947368418E-2</v>
      </c>
      <c r="G14" s="2005">
        <v>14</v>
      </c>
      <c r="H14" s="462">
        <f t="shared" si="10"/>
        <v>-0.22222222222222221</v>
      </c>
      <c r="I14" s="2005">
        <v>15</v>
      </c>
      <c r="J14" s="462">
        <f t="shared" si="11"/>
        <v>7.1428571428571425E-2</v>
      </c>
      <c r="K14" s="2005">
        <v>20</v>
      </c>
      <c r="L14" s="462">
        <f t="shared" si="12"/>
        <v>0.33333333333333331</v>
      </c>
      <c r="M14" s="2005">
        <v>18</v>
      </c>
      <c r="N14" s="462">
        <f t="shared" si="13"/>
        <v>-0.1</v>
      </c>
      <c r="O14" s="2005">
        <v>30</v>
      </c>
      <c r="P14" s="462">
        <f t="shared" si="14"/>
        <v>0.66666666666666663</v>
      </c>
      <c r="Q14" s="2005">
        <v>28</v>
      </c>
      <c r="R14" s="1558">
        <f t="shared" si="15"/>
        <v>-6.6666666666666666E-2</v>
      </c>
    </row>
    <row r="15" spans="1:18" ht="17.25" customHeight="1" x14ac:dyDescent="0.3">
      <c r="A15" s="461" t="s">
        <v>1137</v>
      </c>
      <c r="B15" s="2005">
        <v>3</v>
      </c>
      <c r="C15" s="2005">
        <v>4</v>
      </c>
      <c r="D15" s="2006">
        <f t="shared" si="8"/>
        <v>0.33333333333333331</v>
      </c>
      <c r="E15" s="2005">
        <v>0</v>
      </c>
      <c r="F15" s="2006">
        <f t="shared" si="9"/>
        <v>-1</v>
      </c>
      <c r="G15" s="2005">
        <v>0</v>
      </c>
      <c r="H15" s="462" t="str">
        <f t="shared" si="10"/>
        <v>N/A</v>
      </c>
      <c r="I15" s="2005">
        <v>0</v>
      </c>
      <c r="J15" s="462" t="str">
        <f t="shared" si="11"/>
        <v>N/A</v>
      </c>
      <c r="K15" s="2005">
        <v>0</v>
      </c>
      <c r="L15" s="462" t="str">
        <f t="shared" si="12"/>
        <v>N/A</v>
      </c>
      <c r="M15" s="2005">
        <v>0</v>
      </c>
      <c r="N15" s="462" t="str">
        <f t="shared" si="13"/>
        <v>N/A</v>
      </c>
      <c r="O15" s="2005">
        <v>0</v>
      </c>
      <c r="P15" s="462" t="str">
        <f t="shared" si="14"/>
        <v>N/A</v>
      </c>
      <c r="Q15" s="2005">
        <v>0</v>
      </c>
      <c r="R15" s="1558" t="str">
        <f t="shared" si="15"/>
        <v>N/A</v>
      </c>
    </row>
    <row r="16" spans="1:18" ht="17.25" customHeight="1" x14ac:dyDescent="0.3">
      <c r="A16" s="461" t="s">
        <v>257</v>
      </c>
      <c r="B16" s="2005">
        <v>23</v>
      </c>
      <c r="C16" s="2005">
        <v>17</v>
      </c>
      <c r="D16" s="2006">
        <f t="shared" si="8"/>
        <v>-0.2608695652173913</v>
      </c>
      <c r="E16" s="2005">
        <v>23</v>
      </c>
      <c r="F16" s="2006">
        <f t="shared" si="9"/>
        <v>0.35294117647058826</v>
      </c>
      <c r="G16" s="2005">
        <v>24</v>
      </c>
      <c r="H16" s="462">
        <f t="shared" si="10"/>
        <v>4.3478260869565216E-2</v>
      </c>
      <c r="I16" s="2005">
        <v>27</v>
      </c>
      <c r="J16" s="462">
        <f t="shared" si="11"/>
        <v>0.125</v>
      </c>
      <c r="K16" s="2005">
        <v>33</v>
      </c>
      <c r="L16" s="462">
        <f t="shared" si="12"/>
        <v>0.22222222222222221</v>
      </c>
      <c r="M16" s="2005">
        <v>39</v>
      </c>
      <c r="N16" s="462">
        <f t="shared" si="13"/>
        <v>0.18181818181818182</v>
      </c>
      <c r="O16" s="2005">
        <v>43</v>
      </c>
      <c r="P16" s="462">
        <f t="shared" si="14"/>
        <v>0.10256410256410256</v>
      </c>
      <c r="Q16" s="2005">
        <v>33</v>
      </c>
      <c r="R16" s="1558">
        <f t="shared" si="15"/>
        <v>-0.23255813953488372</v>
      </c>
    </row>
    <row r="17" spans="1:18" ht="17.25" customHeight="1" x14ac:dyDescent="0.3">
      <c r="A17" s="466" t="s">
        <v>1138</v>
      </c>
      <c r="B17" s="2005">
        <v>11</v>
      </c>
      <c r="C17" s="2005">
        <v>23</v>
      </c>
      <c r="D17" s="2006">
        <f t="shared" si="8"/>
        <v>1.0909090909090908</v>
      </c>
      <c r="E17" s="2005">
        <v>22</v>
      </c>
      <c r="F17" s="2006">
        <f t="shared" si="9"/>
        <v>-4.3478260869565216E-2</v>
      </c>
      <c r="G17" s="2005">
        <v>24</v>
      </c>
      <c r="H17" s="462">
        <f t="shared" si="10"/>
        <v>9.0909090909090912E-2</v>
      </c>
      <c r="I17" s="2005">
        <v>21</v>
      </c>
      <c r="J17" s="462">
        <f t="shared" si="11"/>
        <v>-0.125</v>
      </c>
      <c r="K17" s="2005">
        <v>28</v>
      </c>
      <c r="L17" s="462">
        <f t="shared" si="12"/>
        <v>0.33333333333333331</v>
      </c>
      <c r="M17" s="2005">
        <v>31</v>
      </c>
      <c r="N17" s="462">
        <f t="shared" si="13"/>
        <v>0.10714285714285714</v>
      </c>
      <c r="O17" s="2005">
        <v>34</v>
      </c>
      <c r="P17" s="462">
        <f t="shared" si="14"/>
        <v>9.6774193548387094E-2</v>
      </c>
      <c r="Q17" s="2005">
        <v>29</v>
      </c>
      <c r="R17" s="1558">
        <f t="shared" si="15"/>
        <v>-0.14705882352941177</v>
      </c>
    </row>
    <row r="18" spans="1:18" ht="17.25" customHeight="1" x14ac:dyDescent="0.3">
      <c r="A18" s="461" t="s">
        <v>1141</v>
      </c>
      <c r="B18" s="2005">
        <f>9+14</f>
        <v>23</v>
      </c>
      <c r="C18" s="2005">
        <v>27</v>
      </c>
      <c r="D18" s="2006">
        <f t="shared" si="8"/>
        <v>0.17391304347826086</v>
      </c>
      <c r="E18" s="2005">
        <v>23</v>
      </c>
      <c r="F18" s="2006">
        <f t="shared" si="9"/>
        <v>-0.14814814814814814</v>
      </c>
      <c r="G18" s="2005">
        <v>26</v>
      </c>
      <c r="H18" s="462">
        <f t="shared" si="10"/>
        <v>0.13043478260869565</v>
      </c>
      <c r="I18" s="2005">
        <v>24</v>
      </c>
      <c r="J18" s="462">
        <f t="shared" si="11"/>
        <v>-7.6923076923076927E-2</v>
      </c>
      <c r="K18" s="2005">
        <v>20</v>
      </c>
      <c r="L18" s="462">
        <f t="shared" si="12"/>
        <v>-0.16666666666666666</v>
      </c>
      <c r="M18" s="2005">
        <v>15</v>
      </c>
      <c r="N18" s="462">
        <f t="shared" si="13"/>
        <v>-0.25</v>
      </c>
      <c r="O18" s="2005">
        <v>19</v>
      </c>
      <c r="P18" s="462">
        <f t="shared" si="14"/>
        <v>0.26666666666666666</v>
      </c>
      <c r="Q18" s="2005">
        <v>20</v>
      </c>
      <c r="R18" s="1558">
        <f t="shared" si="15"/>
        <v>5.2631578947368418E-2</v>
      </c>
    </row>
    <row r="19" spans="1:18" ht="17.25" hidden="1" customHeight="1" x14ac:dyDescent="0.3">
      <c r="A19" s="461" t="s">
        <v>756</v>
      </c>
      <c r="B19" s="2005">
        <v>0</v>
      </c>
      <c r="C19" s="2005">
        <v>0</v>
      </c>
      <c r="D19" s="2006" t="str">
        <f t="shared" si="8"/>
        <v>N/A</v>
      </c>
      <c r="E19" s="2005">
        <v>0</v>
      </c>
      <c r="F19" s="2006" t="str">
        <f t="shared" si="9"/>
        <v>N/A</v>
      </c>
      <c r="G19" s="2005">
        <v>0</v>
      </c>
      <c r="H19" s="462" t="str">
        <f t="shared" si="10"/>
        <v>N/A</v>
      </c>
      <c r="I19" s="2005">
        <v>0</v>
      </c>
      <c r="J19" s="462" t="str">
        <f t="shared" si="11"/>
        <v>N/A</v>
      </c>
      <c r="K19" s="2005">
        <v>0</v>
      </c>
      <c r="L19" s="462" t="str">
        <f t="shared" si="12"/>
        <v>N/A</v>
      </c>
      <c r="M19" s="2005">
        <v>0</v>
      </c>
      <c r="N19" s="462" t="str">
        <f t="shared" si="13"/>
        <v>N/A</v>
      </c>
      <c r="O19" s="2005">
        <v>0</v>
      </c>
      <c r="P19" s="462" t="str">
        <f t="shared" si="14"/>
        <v>N/A</v>
      </c>
      <c r="Q19" s="2005">
        <v>0</v>
      </c>
      <c r="R19" s="1558" t="str">
        <f t="shared" si="15"/>
        <v>N/A</v>
      </c>
    </row>
    <row r="20" spans="1:18" ht="17.25" customHeight="1" x14ac:dyDescent="0.3">
      <c r="A20" s="465" t="s">
        <v>1015</v>
      </c>
      <c r="B20" s="2005">
        <f>SUM(B12:B19)</f>
        <v>83</v>
      </c>
      <c r="C20" s="2005">
        <f>SUM(C12:C19)</f>
        <v>106</v>
      </c>
      <c r="D20" s="2006">
        <f t="shared" si="8"/>
        <v>0.27710843373493976</v>
      </c>
      <c r="E20" s="2005">
        <f>SUM(E12:E19)</f>
        <v>105</v>
      </c>
      <c r="F20" s="2006">
        <f t="shared" si="9"/>
        <v>-9.433962264150943E-3</v>
      </c>
      <c r="G20" s="2005">
        <f>SUM(G12:G19)</f>
        <v>102</v>
      </c>
      <c r="H20" s="462">
        <f t="shared" si="10"/>
        <v>-2.8571428571428571E-2</v>
      </c>
      <c r="I20" s="2005">
        <f>SUM(I12:I19)</f>
        <v>102</v>
      </c>
      <c r="J20" s="462">
        <f t="shared" si="11"/>
        <v>0</v>
      </c>
      <c r="K20" s="2005">
        <f>SUM(K12:K19)</f>
        <v>117</v>
      </c>
      <c r="L20" s="462">
        <f t="shared" si="12"/>
        <v>0.14705882352941177</v>
      </c>
      <c r="M20" s="2005">
        <f>SUM(M12:M19)</f>
        <v>115</v>
      </c>
      <c r="N20" s="462">
        <f t="shared" si="13"/>
        <v>-1.7094017094017096E-2</v>
      </c>
      <c r="O20" s="2005">
        <f>SUM(O12:O19)</f>
        <v>136</v>
      </c>
      <c r="P20" s="462">
        <f t="shared" si="14"/>
        <v>0.18260869565217391</v>
      </c>
      <c r="Q20" s="2005">
        <f>SUM(Q12:Q19)</f>
        <v>123</v>
      </c>
      <c r="R20" s="1558">
        <f t="shared" si="15"/>
        <v>-9.5588235294117641E-2</v>
      </c>
    </row>
    <row r="21" spans="1:18" ht="17.25" customHeight="1" x14ac:dyDescent="0.3">
      <c r="A21" s="459" t="s">
        <v>413</v>
      </c>
      <c r="B21" s="2003"/>
      <c r="C21" s="2003"/>
      <c r="D21" s="2004"/>
      <c r="E21" s="2003"/>
      <c r="F21" s="2004"/>
      <c r="G21" s="2003"/>
      <c r="H21" s="460"/>
      <c r="I21" s="2003"/>
      <c r="J21" s="460"/>
      <c r="K21" s="2003"/>
      <c r="L21" s="460"/>
      <c r="M21" s="2003"/>
      <c r="N21" s="460"/>
      <c r="O21" s="2003"/>
      <c r="P21" s="460"/>
      <c r="Q21" s="2003"/>
      <c r="R21" s="1559"/>
    </row>
    <row r="22" spans="1:18" ht="17.25" customHeight="1" x14ac:dyDescent="0.3">
      <c r="A22" s="461" t="s">
        <v>1634</v>
      </c>
      <c r="B22" s="2005">
        <v>0</v>
      </c>
      <c r="C22" s="2005">
        <v>0</v>
      </c>
      <c r="D22" s="2006" t="str">
        <f t="shared" ref="D22:D27" si="16">IF(B22&gt;0,(C22-B22)/B22,(IF(C22=0,"N/A",100%)))</f>
        <v>N/A</v>
      </c>
      <c r="E22" s="2005">
        <v>0</v>
      </c>
      <c r="F22" s="2006" t="str">
        <f t="shared" ref="F22:F27" si="17">IF(C22&gt;0,(E22-C22)/C22,(IF(E22=0,"N/A",100%)))</f>
        <v>N/A</v>
      </c>
      <c r="G22" s="2005">
        <v>0</v>
      </c>
      <c r="H22" s="462" t="str">
        <f t="shared" ref="H22:H27" si="18">IF(E22&gt;0,(G22-E22)/E22,(IF(G22=0,"N/A",100%)))</f>
        <v>N/A</v>
      </c>
      <c r="I22" s="2005">
        <v>0</v>
      </c>
      <c r="J22" s="462" t="str">
        <f t="shared" ref="J22:J27" si="19">IF(G22&gt;0,(I22-G22)/G22,(IF(I22=0,"N/A",100%)))</f>
        <v>N/A</v>
      </c>
      <c r="K22" s="2005">
        <v>0</v>
      </c>
      <c r="L22" s="462" t="str">
        <f t="shared" ref="L22:L27" si="20">IF(I22&gt;0,(K22-I22)/I22,(IF(K22=0,"N/A",100%)))</f>
        <v>N/A</v>
      </c>
      <c r="M22" s="2005">
        <v>2</v>
      </c>
      <c r="N22" s="462">
        <f t="shared" ref="N22:N27" si="21">IF(K22&gt;0,(M22-K22)/K22,(IF(M22=0,"N/A",100%)))</f>
        <v>1</v>
      </c>
      <c r="O22" s="2005">
        <v>3</v>
      </c>
      <c r="P22" s="462">
        <f t="shared" ref="P22:P27" si="22">IF(M22&gt;0,(O22-M22)/M22,(IF(O22=0,"N/A",100%)))</f>
        <v>0.5</v>
      </c>
      <c r="Q22" s="2005">
        <v>1</v>
      </c>
      <c r="R22" s="1558">
        <f t="shared" ref="R22:R27" si="23">IF(O22&gt;0,(Q22-O22)/O22,(IF(Q22=0,"N/A",100%)))</f>
        <v>-0.66666666666666663</v>
      </c>
    </row>
    <row r="23" spans="1:18" ht="17.25" customHeight="1" x14ac:dyDescent="0.3">
      <c r="A23" s="461" t="s">
        <v>1050</v>
      </c>
      <c r="B23" s="2005">
        <v>131</v>
      </c>
      <c r="C23" s="2005">
        <v>133</v>
      </c>
      <c r="D23" s="2006">
        <f t="shared" si="16"/>
        <v>1.5267175572519083E-2</v>
      </c>
      <c r="E23" s="2005">
        <v>151</v>
      </c>
      <c r="F23" s="2006">
        <f t="shared" si="17"/>
        <v>0.13533834586466165</v>
      </c>
      <c r="G23" s="2005">
        <v>164</v>
      </c>
      <c r="H23" s="462">
        <f t="shared" si="18"/>
        <v>8.6092715231788075E-2</v>
      </c>
      <c r="I23" s="2005">
        <v>184</v>
      </c>
      <c r="J23" s="462">
        <f t="shared" si="19"/>
        <v>0.12195121951219512</v>
      </c>
      <c r="K23" s="2005">
        <v>198</v>
      </c>
      <c r="L23" s="462">
        <f t="shared" si="20"/>
        <v>7.6086956521739135E-2</v>
      </c>
      <c r="M23" s="2005">
        <v>184</v>
      </c>
      <c r="N23" s="462">
        <f t="shared" si="21"/>
        <v>-7.0707070707070704E-2</v>
      </c>
      <c r="O23" s="2005">
        <v>149</v>
      </c>
      <c r="P23" s="462">
        <f t="shared" si="22"/>
        <v>-0.19021739130434784</v>
      </c>
      <c r="Q23" s="2005">
        <v>170</v>
      </c>
      <c r="R23" s="1558">
        <f t="shared" si="23"/>
        <v>0.14093959731543623</v>
      </c>
    </row>
    <row r="24" spans="1:18" ht="17.25" customHeight="1" x14ac:dyDescent="0.3">
      <c r="A24" s="461" t="s">
        <v>1142</v>
      </c>
      <c r="B24" s="2005">
        <v>0</v>
      </c>
      <c r="C24" s="2005">
        <v>0</v>
      </c>
      <c r="D24" s="2006" t="str">
        <f t="shared" si="16"/>
        <v>N/A</v>
      </c>
      <c r="E24" s="2005">
        <v>0</v>
      </c>
      <c r="F24" s="2006" t="str">
        <f t="shared" si="17"/>
        <v>N/A</v>
      </c>
      <c r="G24" s="2005">
        <v>0</v>
      </c>
      <c r="H24" s="462" t="str">
        <f t="shared" si="18"/>
        <v>N/A</v>
      </c>
      <c r="I24" s="2005">
        <v>0</v>
      </c>
      <c r="J24" s="462" t="str">
        <f t="shared" si="19"/>
        <v>N/A</v>
      </c>
      <c r="K24" s="2005">
        <v>0</v>
      </c>
      <c r="L24" s="462" t="str">
        <f t="shared" si="20"/>
        <v>N/A</v>
      </c>
      <c r="M24" s="2005">
        <v>0</v>
      </c>
      <c r="N24" s="462" t="str">
        <f t="shared" si="21"/>
        <v>N/A</v>
      </c>
      <c r="O24" s="2005">
        <v>0</v>
      </c>
      <c r="P24" s="462" t="str">
        <f t="shared" si="22"/>
        <v>N/A</v>
      </c>
      <c r="Q24" s="2005">
        <v>0</v>
      </c>
      <c r="R24" s="1558" t="str">
        <f t="shared" si="23"/>
        <v>N/A</v>
      </c>
    </row>
    <row r="25" spans="1:18" ht="17.25" customHeight="1" x14ac:dyDescent="0.3">
      <c r="A25" s="461" t="s">
        <v>1369</v>
      </c>
      <c r="B25" s="2005">
        <f>15+21</f>
        <v>36</v>
      </c>
      <c r="C25" s="2005">
        <v>39</v>
      </c>
      <c r="D25" s="2006">
        <f t="shared" si="16"/>
        <v>8.3333333333333329E-2</v>
      </c>
      <c r="E25" s="2005">
        <f>18+8</f>
        <v>26</v>
      </c>
      <c r="F25" s="2006">
        <f t="shared" si="17"/>
        <v>-0.33333333333333331</v>
      </c>
      <c r="G25" s="2005">
        <v>47</v>
      </c>
      <c r="H25" s="462">
        <f t="shared" si="18"/>
        <v>0.80769230769230771</v>
      </c>
      <c r="I25" s="2005">
        <v>44</v>
      </c>
      <c r="J25" s="462">
        <f t="shared" si="19"/>
        <v>-6.3829787234042548E-2</v>
      </c>
      <c r="K25" s="2005">
        <v>43</v>
      </c>
      <c r="L25" s="462">
        <f t="shared" si="20"/>
        <v>-2.2727272727272728E-2</v>
      </c>
      <c r="M25" s="2005">
        <v>41</v>
      </c>
      <c r="N25" s="462">
        <f t="shared" si="21"/>
        <v>-4.6511627906976744E-2</v>
      </c>
      <c r="O25" s="2005">
        <v>37</v>
      </c>
      <c r="P25" s="462">
        <f t="shared" si="22"/>
        <v>-9.7560975609756101E-2</v>
      </c>
      <c r="Q25" s="2005">
        <v>23</v>
      </c>
      <c r="R25" s="1558">
        <f t="shared" si="23"/>
        <v>-0.3783783783783784</v>
      </c>
    </row>
    <row r="26" spans="1:18" ht="17.25" customHeight="1" x14ac:dyDescent="0.3">
      <c r="A26" s="461" t="s">
        <v>1143</v>
      </c>
      <c r="B26" s="2005">
        <v>40</v>
      </c>
      <c r="C26" s="2005">
        <v>61</v>
      </c>
      <c r="D26" s="2006">
        <f t="shared" si="16"/>
        <v>0.52500000000000002</v>
      </c>
      <c r="E26" s="2005">
        <v>64</v>
      </c>
      <c r="F26" s="2006">
        <f t="shared" si="17"/>
        <v>4.9180327868852458E-2</v>
      </c>
      <c r="G26" s="2005">
        <v>63</v>
      </c>
      <c r="H26" s="462">
        <f t="shared" si="18"/>
        <v>-1.5625E-2</v>
      </c>
      <c r="I26" s="2005">
        <v>54</v>
      </c>
      <c r="J26" s="462">
        <f t="shared" si="19"/>
        <v>-0.14285714285714285</v>
      </c>
      <c r="K26" s="2005">
        <v>50</v>
      </c>
      <c r="L26" s="462">
        <f t="shared" si="20"/>
        <v>-7.407407407407407E-2</v>
      </c>
      <c r="M26" s="2005">
        <v>54</v>
      </c>
      <c r="N26" s="462">
        <f t="shared" si="21"/>
        <v>0.08</v>
      </c>
      <c r="O26" s="2005">
        <v>64</v>
      </c>
      <c r="P26" s="462">
        <f t="shared" si="22"/>
        <v>0.18518518518518517</v>
      </c>
      <c r="Q26" s="2005">
        <v>63</v>
      </c>
      <c r="R26" s="1558">
        <f t="shared" si="23"/>
        <v>-1.5625E-2</v>
      </c>
    </row>
    <row r="27" spans="1:18" ht="17.25" customHeight="1" x14ac:dyDescent="0.3">
      <c r="A27" s="465" t="s">
        <v>1015</v>
      </c>
      <c r="B27" s="2005">
        <f>SUM(B22:B26)</f>
        <v>207</v>
      </c>
      <c r="C27" s="2005">
        <f>SUM(C22:C26)</f>
        <v>233</v>
      </c>
      <c r="D27" s="2006">
        <f t="shared" si="16"/>
        <v>0.12560386473429952</v>
      </c>
      <c r="E27" s="2005">
        <f>SUM(E22:E26)</f>
        <v>241</v>
      </c>
      <c r="F27" s="2006">
        <f t="shared" si="17"/>
        <v>3.4334763948497854E-2</v>
      </c>
      <c r="G27" s="2005">
        <f>SUM(G22:G26)</f>
        <v>274</v>
      </c>
      <c r="H27" s="462">
        <f t="shared" si="18"/>
        <v>0.13692946058091288</v>
      </c>
      <c r="I27" s="2005">
        <f>SUM(I22:I26)</f>
        <v>282</v>
      </c>
      <c r="J27" s="462">
        <f t="shared" si="19"/>
        <v>2.9197080291970802E-2</v>
      </c>
      <c r="K27" s="2005">
        <f>SUM(K22:K26)</f>
        <v>291</v>
      </c>
      <c r="L27" s="462">
        <f t="shared" si="20"/>
        <v>3.1914893617021274E-2</v>
      </c>
      <c r="M27" s="2005">
        <f>SUM(M22:M26)</f>
        <v>281</v>
      </c>
      <c r="N27" s="462">
        <f t="shared" si="21"/>
        <v>-3.4364261168384883E-2</v>
      </c>
      <c r="O27" s="2005">
        <f>SUM(O22:O26)</f>
        <v>253</v>
      </c>
      <c r="P27" s="462">
        <f t="shared" si="22"/>
        <v>-9.9644128113879002E-2</v>
      </c>
      <c r="Q27" s="2005">
        <f>SUM(Q22:Q26)</f>
        <v>257</v>
      </c>
      <c r="R27" s="1558">
        <f t="shared" si="23"/>
        <v>1.5810276679841896E-2</v>
      </c>
    </row>
    <row r="28" spans="1:18" ht="17.25" customHeight="1" x14ac:dyDescent="0.3">
      <c r="A28" s="459" t="s">
        <v>414</v>
      </c>
      <c r="B28" s="2003"/>
      <c r="C28" s="2003"/>
      <c r="D28" s="2004"/>
      <c r="E28" s="2003"/>
      <c r="F28" s="2004"/>
      <c r="G28" s="2003"/>
      <c r="H28" s="460"/>
      <c r="I28" s="2003"/>
      <c r="J28" s="460"/>
      <c r="K28" s="2003"/>
      <c r="L28" s="460"/>
      <c r="M28" s="2003"/>
      <c r="N28" s="460"/>
      <c r="O28" s="2003"/>
      <c r="P28" s="460"/>
      <c r="Q28" s="2003"/>
      <c r="R28" s="1559"/>
    </row>
    <row r="29" spans="1:18" ht="17.25" customHeight="1" x14ac:dyDescent="0.3">
      <c r="A29" s="461" t="s">
        <v>1111</v>
      </c>
      <c r="B29" s="2005">
        <v>38</v>
      </c>
      <c r="C29" s="2005">
        <v>48</v>
      </c>
      <c r="D29" s="2006">
        <f t="shared" ref="D29:D34" si="24">IF(B29&gt;0,(C29-B29)/B29,(IF(C29=0,"N/A",100%)))</f>
        <v>0.26315789473684209</v>
      </c>
      <c r="E29" s="2005">
        <v>49</v>
      </c>
      <c r="F29" s="2006">
        <f t="shared" ref="F29:F34" si="25">IF(C29&gt;0,(E29-C29)/C29,(IF(E29=0,"N/A",100%)))</f>
        <v>2.0833333333333332E-2</v>
      </c>
      <c r="G29" s="2005">
        <v>51</v>
      </c>
      <c r="H29" s="462">
        <f t="shared" ref="H29:H34" si="26">IF(E29&gt;0,(G29-E29)/E29,(IF(G29=0,"N/A",100%)))</f>
        <v>4.0816326530612242E-2</v>
      </c>
      <c r="I29" s="2005">
        <v>59</v>
      </c>
      <c r="J29" s="462">
        <f t="shared" ref="J29:J34" si="27">IF(G29&gt;0,(I29-G29)/G29,(IF(I29=0,"N/A",100%)))</f>
        <v>0.15686274509803921</v>
      </c>
      <c r="K29" s="2005">
        <v>50</v>
      </c>
      <c r="L29" s="462">
        <f t="shared" ref="L29:L34" si="28">IF(I29&gt;0,(K29-I29)/I29,(IF(K29=0,"N/A",100%)))</f>
        <v>-0.15254237288135594</v>
      </c>
      <c r="M29" s="2005">
        <v>45</v>
      </c>
      <c r="N29" s="462">
        <f t="shared" ref="N29:N34" si="29">IF(K29&gt;0,(M29-K29)/K29,(IF(M29=0,"N/A",100%)))</f>
        <v>-0.1</v>
      </c>
      <c r="O29" s="2005">
        <v>36</v>
      </c>
      <c r="P29" s="462">
        <f t="shared" ref="P29:P34" si="30">IF(M29&gt;0,(O29-M29)/M29,(IF(O29=0,"N/A",100%)))</f>
        <v>-0.2</v>
      </c>
      <c r="Q29" s="2005">
        <v>35</v>
      </c>
      <c r="R29" s="1558">
        <f t="shared" ref="R29:R34" si="31">IF(O29&gt;0,(Q29-O29)/O29,(IF(Q29=0,"N/A",100%)))</f>
        <v>-2.7777777777777776E-2</v>
      </c>
    </row>
    <row r="30" spans="1:18" ht="17.25" customHeight="1" x14ac:dyDescent="0.3">
      <c r="A30" s="464" t="s">
        <v>1112</v>
      </c>
      <c r="B30" s="2005">
        <v>5</v>
      </c>
      <c r="C30" s="2005">
        <v>2</v>
      </c>
      <c r="D30" s="2006">
        <f t="shared" si="24"/>
        <v>-0.6</v>
      </c>
      <c r="E30" s="2005">
        <v>3</v>
      </c>
      <c r="F30" s="2006">
        <f t="shared" si="25"/>
        <v>0.5</v>
      </c>
      <c r="G30" s="2005">
        <v>3</v>
      </c>
      <c r="H30" s="462">
        <f t="shared" si="26"/>
        <v>0</v>
      </c>
      <c r="I30" s="2005">
        <v>6</v>
      </c>
      <c r="J30" s="462">
        <f t="shared" si="27"/>
        <v>1</v>
      </c>
      <c r="K30" s="2005">
        <v>7</v>
      </c>
      <c r="L30" s="462">
        <f t="shared" si="28"/>
        <v>0.16666666666666666</v>
      </c>
      <c r="M30" s="2005">
        <v>8</v>
      </c>
      <c r="N30" s="462">
        <f t="shared" si="29"/>
        <v>0.14285714285714285</v>
      </c>
      <c r="O30" s="2005">
        <v>7</v>
      </c>
      <c r="P30" s="462">
        <f t="shared" si="30"/>
        <v>-0.125</v>
      </c>
      <c r="Q30" s="2005">
        <v>7</v>
      </c>
      <c r="R30" s="1558">
        <f t="shared" si="31"/>
        <v>0</v>
      </c>
    </row>
    <row r="31" spans="1:18" ht="17.25" customHeight="1" x14ac:dyDescent="0.3">
      <c r="A31" s="461" t="s">
        <v>1113</v>
      </c>
      <c r="B31" s="2005">
        <v>11</v>
      </c>
      <c r="C31" s="2005">
        <v>13</v>
      </c>
      <c r="D31" s="2006">
        <f t="shared" si="24"/>
        <v>0.18181818181818182</v>
      </c>
      <c r="E31" s="2005">
        <v>13</v>
      </c>
      <c r="F31" s="2006">
        <f t="shared" si="25"/>
        <v>0</v>
      </c>
      <c r="G31" s="2005">
        <v>21</v>
      </c>
      <c r="H31" s="462">
        <f t="shared" si="26"/>
        <v>0.61538461538461542</v>
      </c>
      <c r="I31" s="2005">
        <v>17</v>
      </c>
      <c r="J31" s="462">
        <f t="shared" si="27"/>
        <v>-0.19047619047619047</v>
      </c>
      <c r="K31" s="2005">
        <v>18</v>
      </c>
      <c r="L31" s="462">
        <f t="shared" si="28"/>
        <v>5.8823529411764705E-2</v>
      </c>
      <c r="M31" s="2005">
        <v>17</v>
      </c>
      <c r="N31" s="462">
        <f t="shared" si="29"/>
        <v>-5.5555555555555552E-2</v>
      </c>
      <c r="O31" s="2005">
        <v>11</v>
      </c>
      <c r="P31" s="462">
        <f t="shared" si="30"/>
        <v>-0.35294117647058826</v>
      </c>
      <c r="Q31" s="2005">
        <v>12</v>
      </c>
      <c r="R31" s="1558">
        <f t="shared" si="31"/>
        <v>9.0909090909090912E-2</v>
      </c>
    </row>
    <row r="32" spans="1:18" ht="17.25" customHeight="1" x14ac:dyDescent="0.3">
      <c r="A32" s="461" t="s">
        <v>1121</v>
      </c>
      <c r="B32" s="2005">
        <v>0</v>
      </c>
      <c r="C32" s="2005">
        <v>0</v>
      </c>
      <c r="D32" s="2006" t="str">
        <f t="shared" si="24"/>
        <v>N/A</v>
      </c>
      <c r="E32" s="2005">
        <v>0</v>
      </c>
      <c r="F32" s="2006" t="str">
        <f t="shared" si="25"/>
        <v>N/A</v>
      </c>
      <c r="G32" s="2005">
        <v>0</v>
      </c>
      <c r="H32" s="462" t="str">
        <f t="shared" si="26"/>
        <v>N/A</v>
      </c>
      <c r="I32" s="2005">
        <v>0</v>
      </c>
      <c r="J32" s="462" t="str">
        <f t="shared" si="27"/>
        <v>N/A</v>
      </c>
      <c r="K32" s="2005">
        <v>0</v>
      </c>
      <c r="L32" s="462" t="str">
        <f t="shared" si="28"/>
        <v>N/A</v>
      </c>
      <c r="M32" s="2005">
        <v>0</v>
      </c>
      <c r="N32" s="462" t="str">
        <f t="shared" si="29"/>
        <v>N/A</v>
      </c>
      <c r="O32" s="2005">
        <v>0</v>
      </c>
      <c r="P32" s="462" t="str">
        <f t="shared" si="30"/>
        <v>N/A</v>
      </c>
      <c r="Q32" s="2005">
        <v>0</v>
      </c>
      <c r="R32" s="1558" t="str">
        <f t="shared" si="31"/>
        <v>N/A</v>
      </c>
    </row>
    <row r="33" spans="1:18" ht="17.25" customHeight="1" x14ac:dyDescent="0.3">
      <c r="A33" s="465" t="s">
        <v>1015</v>
      </c>
      <c r="B33" s="2005">
        <f>SUM(B29:B32)</f>
        <v>54</v>
      </c>
      <c r="C33" s="2005">
        <f>SUM(C29:C32)</f>
        <v>63</v>
      </c>
      <c r="D33" s="2006">
        <f t="shared" si="24"/>
        <v>0.16666666666666666</v>
      </c>
      <c r="E33" s="2005">
        <f>SUM(E29:E32)</f>
        <v>65</v>
      </c>
      <c r="F33" s="2006">
        <f t="shared" si="25"/>
        <v>3.1746031746031744E-2</v>
      </c>
      <c r="G33" s="2005">
        <f>SUM(G29:G32)</f>
        <v>75</v>
      </c>
      <c r="H33" s="462">
        <f t="shared" si="26"/>
        <v>0.15384615384615385</v>
      </c>
      <c r="I33" s="2005">
        <f>SUM(I29:I32)</f>
        <v>82</v>
      </c>
      <c r="J33" s="462">
        <f t="shared" si="27"/>
        <v>9.3333333333333338E-2</v>
      </c>
      <c r="K33" s="2005">
        <f>SUM(K29:K32)</f>
        <v>75</v>
      </c>
      <c r="L33" s="462">
        <f t="shared" si="28"/>
        <v>-8.5365853658536592E-2</v>
      </c>
      <c r="M33" s="2005">
        <f>SUM(M29:M32)</f>
        <v>70</v>
      </c>
      <c r="N33" s="462">
        <f t="shared" si="29"/>
        <v>-6.6666666666666666E-2</v>
      </c>
      <c r="O33" s="2005">
        <f>SUM(O29:O32)</f>
        <v>54</v>
      </c>
      <c r="P33" s="462">
        <f t="shared" si="30"/>
        <v>-0.22857142857142856</v>
      </c>
      <c r="Q33" s="2005">
        <f>SUM(Q29:Q32)</f>
        <v>54</v>
      </c>
      <c r="R33" s="1558">
        <f t="shared" si="31"/>
        <v>0</v>
      </c>
    </row>
    <row r="34" spans="1:18" ht="17.25" customHeight="1" thickBot="1" x14ac:dyDescent="0.35">
      <c r="A34" s="2013" t="s">
        <v>415</v>
      </c>
      <c r="B34" s="468">
        <f>+B33+B27+B20+B10</f>
        <v>451</v>
      </c>
      <c r="C34" s="468">
        <f>+C33+C27+C20+C10</f>
        <v>512</v>
      </c>
      <c r="D34" s="587">
        <f t="shared" si="24"/>
        <v>0.1352549889135255</v>
      </c>
      <c r="E34" s="468">
        <f>+E33+E27+E20+E10</f>
        <v>543</v>
      </c>
      <c r="F34" s="587">
        <f t="shared" si="25"/>
        <v>6.0546875E-2</v>
      </c>
      <c r="G34" s="468">
        <f>+G33+G27+G20+G10</f>
        <v>580</v>
      </c>
      <c r="H34" s="473">
        <f t="shared" si="26"/>
        <v>6.8139963167587483E-2</v>
      </c>
      <c r="I34" s="468">
        <f>+I33+I27+I20+I10</f>
        <v>575</v>
      </c>
      <c r="J34" s="473">
        <f t="shared" si="27"/>
        <v>-8.6206896551724137E-3</v>
      </c>
      <c r="K34" s="468">
        <f>+K33+K27+K20+K10</f>
        <v>609</v>
      </c>
      <c r="L34" s="473">
        <f t="shared" si="28"/>
        <v>5.9130434782608696E-2</v>
      </c>
      <c r="M34" s="468">
        <f>+M33+M27+M20+M10</f>
        <v>601</v>
      </c>
      <c r="N34" s="473">
        <f t="shared" si="29"/>
        <v>-1.3136288998357963E-2</v>
      </c>
      <c r="O34" s="468">
        <f>+O33+O27+O20+O10</f>
        <v>568</v>
      </c>
      <c r="P34" s="473">
        <f t="shared" si="30"/>
        <v>-5.4908485856905158E-2</v>
      </c>
      <c r="Q34" s="468">
        <f>+Q33+Q27+Q20+Q10</f>
        <v>578</v>
      </c>
      <c r="R34" s="2014">
        <f t="shared" si="31"/>
        <v>1.7605633802816902E-2</v>
      </c>
    </row>
    <row r="35" spans="1:18" ht="18.75" customHeight="1" thickTop="1" thickBot="1" x14ac:dyDescent="0.35">
      <c r="A35" s="2185" t="s">
        <v>416</v>
      </c>
      <c r="B35" s="2186"/>
      <c r="C35" s="2186"/>
      <c r="D35" s="2186"/>
      <c r="E35" s="2186"/>
      <c r="F35" s="2186"/>
      <c r="G35" s="2186"/>
      <c r="H35" s="2186"/>
      <c r="I35" s="2186"/>
      <c r="J35" s="2186"/>
      <c r="K35" s="2186"/>
      <c r="L35" s="2186"/>
      <c r="M35" s="2186"/>
      <c r="N35" s="2186"/>
      <c r="O35" s="2186"/>
      <c r="P35" s="2186"/>
      <c r="Q35" s="2186"/>
      <c r="R35" s="2187"/>
    </row>
    <row r="36" spans="1:18" ht="17.25" customHeight="1" x14ac:dyDescent="0.3">
      <c r="A36" s="666" t="s">
        <v>410</v>
      </c>
      <c r="B36" s="2001">
        <v>2008</v>
      </c>
      <c r="C36" s="2001">
        <f>B36+1</f>
        <v>2009</v>
      </c>
      <c r="D36" s="2002" t="s">
        <v>1100</v>
      </c>
      <c r="E36" s="2001">
        <f>C36+1</f>
        <v>2010</v>
      </c>
      <c r="F36" s="2002" t="s">
        <v>1100</v>
      </c>
      <c r="G36" s="2001">
        <f>E36+1</f>
        <v>2011</v>
      </c>
      <c r="H36" s="667" t="s">
        <v>1100</v>
      </c>
      <c r="I36" s="2001">
        <f>G36+1</f>
        <v>2012</v>
      </c>
      <c r="J36" s="667" t="s">
        <v>1100</v>
      </c>
      <c r="K36" s="2001">
        <v>2013</v>
      </c>
      <c r="L36" s="667" t="s">
        <v>1100</v>
      </c>
      <c r="M36" s="2001">
        <v>2014</v>
      </c>
      <c r="N36" s="2007" t="s">
        <v>1100</v>
      </c>
      <c r="O36" s="2001">
        <v>2015</v>
      </c>
      <c r="P36" s="667" t="s">
        <v>1100</v>
      </c>
      <c r="Q36" s="2001">
        <v>2016</v>
      </c>
      <c r="R36" s="2007" t="s">
        <v>1100</v>
      </c>
    </row>
    <row r="37" spans="1:18" ht="17.25" customHeight="1" x14ac:dyDescent="0.3">
      <c r="A37" s="459" t="s">
        <v>417</v>
      </c>
      <c r="B37" s="2003"/>
      <c r="C37" s="2003"/>
      <c r="D37" s="2004"/>
      <c r="E37" s="2003"/>
      <c r="F37" s="2004"/>
      <c r="G37" s="2003"/>
      <c r="H37" s="460"/>
      <c r="I37" s="2003"/>
      <c r="J37" s="460"/>
      <c r="K37" s="2003"/>
      <c r="L37" s="460"/>
      <c r="M37" s="2003"/>
      <c r="N37" s="2008"/>
      <c r="O37" s="2003"/>
      <c r="P37" s="460"/>
      <c r="Q37" s="2003"/>
      <c r="R37" s="2008"/>
    </row>
    <row r="38" spans="1:18" ht="17.25" customHeight="1" x14ac:dyDescent="0.3">
      <c r="A38" s="464" t="s">
        <v>1127</v>
      </c>
      <c r="B38" s="2005">
        <v>0</v>
      </c>
      <c r="C38" s="2005">
        <v>0</v>
      </c>
      <c r="D38" s="2006" t="str">
        <f>IF(B38&gt;0,(C38-B38)/B38,(IF(C38=0,"N/A",100%)))</f>
        <v>N/A</v>
      </c>
      <c r="E38" s="2005">
        <v>0</v>
      </c>
      <c r="F38" s="2006" t="str">
        <f>IF(C38&gt;0,(E38-C38)/C38,(IF(E38=0,"N/A",100%)))</f>
        <v>N/A</v>
      </c>
      <c r="G38" s="2005">
        <v>0</v>
      </c>
      <c r="H38" s="462" t="str">
        <f>IF(E38&gt;0,(G38-E38)/E38,(IF(G38=0,"N/A",100%)))</f>
        <v>N/A</v>
      </c>
      <c r="I38" s="2005">
        <v>0</v>
      </c>
      <c r="J38" s="462" t="str">
        <f>IF(G38&gt;0,(I38-G38)/G38,(IF(I38=0,"N/A",100%)))</f>
        <v>N/A</v>
      </c>
      <c r="K38" s="2005">
        <v>0</v>
      </c>
      <c r="L38" s="463" t="str">
        <f>IF(I38&gt;0,(K38-I38)/I38,(IF(K38=0,"N/A",100%)))</f>
        <v>N/A</v>
      </c>
      <c r="M38" s="2005">
        <v>0</v>
      </c>
      <c r="N38" s="463" t="str">
        <f>IF(K38&gt;0,(M38-K38)/K38,(IF(M38=0,"N/A",100%)))</f>
        <v>N/A</v>
      </c>
      <c r="O38" s="2005">
        <v>0</v>
      </c>
      <c r="P38" s="463" t="str">
        <f>IF(M38&gt;0,(O38-M38)/M38,(IF(O38=0,"N/A",100%)))</f>
        <v>N/A</v>
      </c>
      <c r="Q38" s="2005">
        <v>0</v>
      </c>
      <c r="R38" s="1560" t="str">
        <f>IF(O38&gt;0,(Q38-O38)/O38,(IF(Q38=0,"N/A",100%)))</f>
        <v>N/A</v>
      </c>
    </row>
    <row r="39" spans="1:18" ht="17.25" customHeight="1" x14ac:dyDescent="0.3">
      <c r="A39" s="461" t="s">
        <v>1128</v>
      </c>
      <c r="B39" s="2005">
        <f>56+7</f>
        <v>63</v>
      </c>
      <c r="C39" s="2005">
        <v>56</v>
      </c>
      <c r="D39" s="2006">
        <f>IF(B39&gt;0,(C39-B39)/B39,(IF(C39=0,"N/A",100%)))</f>
        <v>-0.1111111111111111</v>
      </c>
      <c r="E39" s="2005">
        <v>55</v>
      </c>
      <c r="F39" s="2006">
        <f>IF(C39&gt;0,(E39-C39)/C39,(IF(E39=0,"N/A",100%)))</f>
        <v>-1.7857142857142856E-2</v>
      </c>
      <c r="G39" s="2005">
        <v>48</v>
      </c>
      <c r="H39" s="462">
        <f>IF(E39&gt;0,(G39-E39)/E39,(IF(G39=0,"N/A",100%)))</f>
        <v>-0.12727272727272726</v>
      </c>
      <c r="I39" s="2005">
        <v>48</v>
      </c>
      <c r="J39" s="462">
        <f>IF(G39&gt;0,(I39-G39)/G39,(IF(I39=0,"N/A",100%)))</f>
        <v>0</v>
      </c>
      <c r="K39" s="2005">
        <f>36+7</f>
        <v>43</v>
      </c>
      <c r="L39" s="462">
        <f>IF(I39&gt;0,(K39-I39)/I39,(IF(K39=0,"N/A",100%)))</f>
        <v>-0.10416666666666667</v>
      </c>
      <c r="M39" s="2005">
        <v>49</v>
      </c>
      <c r="N39" s="462">
        <f>IF(K39&gt;0,(M39-K39)/K39,(IF(M39=0,"N/A",100%)))</f>
        <v>0.13953488372093023</v>
      </c>
      <c r="O39" s="2005">
        <f>27+9</f>
        <v>36</v>
      </c>
      <c r="P39" s="462">
        <f>IF(M39&gt;0,(O39-M39)/M39,(IF(O39=0,"N/A",100%)))</f>
        <v>-0.26530612244897961</v>
      </c>
      <c r="Q39" s="2005">
        <v>39</v>
      </c>
      <c r="R39" s="1558">
        <f>IF(O39&gt;0,(Q39-O39)/O39,(IF(Q39=0,"N/A",100%)))</f>
        <v>8.3333333333333329E-2</v>
      </c>
    </row>
    <row r="40" spans="1:18" ht="17.25" customHeight="1" x14ac:dyDescent="0.3">
      <c r="A40" s="767" t="s">
        <v>1070</v>
      </c>
      <c r="B40" s="2009">
        <v>3</v>
      </c>
      <c r="C40" s="2009">
        <v>20</v>
      </c>
      <c r="D40" s="2010">
        <f>IF(B40&gt;0,(C40-B40)/B40,(IF(C40=0,"N/A",100%)))</f>
        <v>5.666666666666667</v>
      </c>
      <c r="E40" s="2009">
        <v>28</v>
      </c>
      <c r="F40" s="2010">
        <f>IF(C40&gt;0,(E40-C40)/C40,(IF(E40=0,"N/A",100%)))</f>
        <v>0.4</v>
      </c>
      <c r="G40" s="2009">
        <v>43</v>
      </c>
      <c r="H40" s="768">
        <f>IF(E40&gt;0,(G40-E40)/E40,(IF(G40=0,"N/A",100%)))</f>
        <v>0.5357142857142857</v>
      </c>
      <c r="I40" s="2009">
        <v>50</v>
      </c>
      <c r="J40" s="768">
        <f>IF(G40&gt;0,(I40-G40)/G40,(IF(I40=0,"N/A",100%)))</f>
        <v>0.16279069767441862</v>
      </c>
      <c r="K40" s="2009">
        <v>49</v>
      </c>
      <c r="L40" s="768">
        <f>IF(I40&gt;0,(K40-I40)/I40,(IF(K40=0,"N/A",100%)))</f>
        <v>-0.02</v>
      </c>
      <c r="M40" s="2009">
        <v>43</v>
      </c>
      <c r="N40" s="768">
        <f>IF(K40&gt;0,(M40-K40)/K40,(IF(M40=0,"N/A",100%)))</f>
        <v>-0.12244897959183673</v>
      </c>
      <c r="O40" s="2009">
        <v>42</v>
      </c>
      <c r="P40" s="768">
        <f>IF(M40&gt;0,(O40-M40)/M40,(IF(O40=0,"N/A",100%)))</f>
        <v>-2.3255813953488372E-2</v>
      </c>
      <c r="Q40" s="2009">
        <v>41</v>
      </c>
      <c r="R40" s="1561">
        <f>IF(O40&gt;0,(Q40-O40)/O40,(IF(Q40=0,"N/A",100%)))</f>
        <v>-2.3809523809523808E-2</v>
      </c>
    </row>
    <row r="41" spans="1:18" ht="17.25" customHeight="1" x14ac:dyDescent="0.3">
      <c r="A41" s="465" t="s">
        <v>1015</v>
      </c>
      <c r="B41" s="2005">
        <f>SUM(B38:B40)</f>
        <v>66</v>
      </c>
      <c r="C41" s="2005">
        <f>SUM(C38:C40)</f>
        <v>76</v>
      </c>
      <c r="D41" s="2006">
        <f>IF(B41&gt;0,(C41-B41)/B41,(IF(C41=0,"N/A",100%)))</f>
        <v>0.15151515151515152</v>
      </c>
      <c r="E41" s="2005">
        <f>SUM(E38:E40)</f>
        <v>83</v>
      </c>
      <c r="F41" s="2006">
        <f>IF(C41&gt;0,(E41-C41)/C41,(IF(E41=0,"N/A",100%)))</f>
        <v>9.2105263157894732E-2</v>
      </c>
      <c r="G41" s="2005">
        <f>SUM(G38:G40)</f>
        <v>91</v>
      </c>
      <c r="H41" s="462">
        <f>IF(E41&gt;0,(G41-E41)/E41,(IF(G41=0,"N/A",100%)))</f>
        <v>9.6385542168674704E-2</v>
      </c>
      <c r="I41" s="2005">
        <f>SUM(I38:I40)</f>
        <v>98</v>
      </c>
      <c r="J41" s="462">
        <f>IF(G41&gt;0,(I41-G41)/G41,(IF(I41=0,"N/A",100%)))</f>
        <v>7.6923076923076927E-2</v>
      </c>
      <c r="K41" s="2005">
        <f>SUM(K38:K40)</f>
        <v>92</v>
      </c>
      <c r="L41" s="462">
        <f>IF(I41&gt;0,(K41-I41)/I41,(IF(K41=0,"N/A",100%)))</f>
        <v>-6.1224489795918366E-2</v>
      </c>
      <c r="M41" s="2005">
        <f>SUM(M38:M40)</f>
        <v>92</v>
      </c>
      <c r="N41" s="462">
        <f>IF(K41&gt;0,(M41-K41)/K41,(IF(M41=0,"N/A",100%)))</f>
        <v>0</v>
      </c>
      <c r="O41" s="2005">
        <f>SUM(O38:O40)</f>
        <v>78</v>
      </c>
      <c r="P41" s="462">
        <f>IF(M41&gt;0,(O41-M41)/M41,(IF(O41=0,"N/A",100%)))</f>
        <v>-0.15217391304347827</v>
      </c>
      <c r="Q41" s="2005">
        <f>SUM(Q38:Q40)</f>
        <v>80</v>
      </c>
      <c r="R41" s="1558">
        <f>IF(O41&gt;0,(Q41-O41)/O41,(IF(Q41=0,"N/A",100%)))</f>
        <v>2.564102564102564E-2</v>
      </c>
    </row>
    <row r="42" spans="1:18" ht="17.25" customHeight="1" x14ac:dyDescent="0.3">
      <c r="A42" s="459" t="s">
        <v>418</v>
      </c>
      <c r="B42" s="2003"/>
      <c r="C42" s="2003"/>
      <c r="D42" s="2004"/>
      <c r="E42" s="2003"/>
      <c r="F42" s="2004"/>
      <c r="G42" s="2003"/>
      <c r="H42" s="460"/>
      <c r="I42" s="2003"/>
      <c r="J42" s="460"/>
      <c r="K42" s="2003"/>
      <c r="L42" s="460"/>
      <c r="M42" s="2003"/>
      <c r="N42" s="460"/>
      <c r="O42" s="2003"/>
      <c r="P42" s="460"/>
      <c r="Q42" s="2003"/>
      <c r="R42" s="1559"/>
    </row>
    <row r="43" spans="1:18" ht="17.25" customHeight="1" x14ac:dyDescent="0.3">
      <c r="A43" s="461" t="s">
        <v>1132</v>
      </c>
      <c r="B43" s="2005">
        <v>27</v>
      </c>
      <c r="C43" s="2005">
        <f>15+24</f>
        <v>39</v>
      </c>
      <c r="D43" s="2006">
        <f>IF(B43&gt;0,(C43-B43)/B43,(IF(C43=0,"N/A",100%)))</f>
        <v>0.44444444444444442</v>
      </c>
      <c r="E43" s="2005">
        <f>17+21</f>
        <v>38</v>
      </c>
      <c r="F43" s="2006">
        <f>IF(C43&gt;0,(E43-C43)/C43,(IF(E43=0,"N/A",100%)))</f>
        <v>-2.564102564102564E-2</v>
      </c>
      <c r="G43" s="2005">
        <f>19+23</f>
        <v>42</v>
      </c>
      <c r="H43" s="462">
        <f>IF(E43&gt;0,(G43-E43)/E43,(IF(G43=0,"N/A",100%)))</f>
        <v>0.10526315789473684</v>
      </c>
      <c r="I43" s="2005">
        <v>42</v>
      </c>
      <c r="J43" s="462">
        <f>IF(G43&gt;0,(I43-G43)/G43,(IF(I43=0,"N/A",100%)))</f>
        <v>0</v>
      </c>
      <c r="K43" s="2005">
        <v>40</v>
      </c>
      <c r="L43" s="462">
        <f>IF(I43&gt;0,(K43-I43)/I43,(IF(K43=0,"N/A",100%)))</f>
        <v>-4.7619047619047616E-2</v>
      </c>
      <c r="M43" s="2005">
        <v>42</v>
      </c>
      <c r="N43" s="462">
        <f>IF(K43&gt;0,(M43-K43)/K43,(IF(M43=0,"N/A",100%)))</f>
        <v>0.05</v>
      </c>
      <c r="O43" s="2005">
        <f>16+27</f>
        <v>43</v>
      </c>
      <c r="P43" s="462">
        <f>IF(M43&gt;0,(O43-M43)/M43,(IF(O43=0,"N/A",100%)))</f>
        <v>2.3809523809523808E-2</v>
      </c>
      <c r="Q43" s="2005">
        <f>18+19</f>
        <v>37</v>
      </c>
      <c r="R43" s="1558">
        <f>IF(O43&gt;0,(Q43-O43)/O43,(IF(Q43=0,"N/A",100%)))</f>
        <v>-0.13953488372093023</v>
      </c>
    </row>
    <row r="44" spans="1:18" ht="17.25" customHeight="1" x14ac:dyDescent="0.3">
      <c r="A44" s="461" t="s">
        <v>774</v>
      </c>
      <c r="B44" s="2005">
        <v>0</v>
      </c>
      <c r="C44" s="2005">
        <v>2</v>
      </c>
      <c r="D44" s="2006">
        <f>IF(B44&gt;0,(C44-B44)/B44,(IF(C44=0,"N/A",100%)))</f>
        <v>1</v>
      </c>
      <c r="E44" s="2005">
        <v>0</v>
      </c>
      <c r="F44" s="2006">
        <f>IF(C44&gt;0,(E44-C44)/C44,(IF(E44=0,"N/A",100%)))</f>
        <v>-1</v>
      </c>
      <c r="G44" s="2005">
        <v>0</v>
      </c>
      <c r="H44" s="462" t="str">
        <f>IF(E44&gt;0,(G44-E44)/E44,(IF(G44=0,"N/A",100%)))</f>
        <v>N/A</v>
      </c>
      <c r="I44" s="2005">
        <v>0</v>
      </c>
      <c r="J44" s="462" t="str">
        <f>IF(G44&gt;0,(I44-G44)/G44,(IF(I44=0,"N/A",100%)))</f>
        <v>N/A</v>
      </c>
      <c r="K44" s="2005">
        <v>0</v>
      </c>
      <c r="L44" s="462" t="str">
        <f>IF(I44&gt;0,(K44-I44)/I44,(IF(K44=0,"N/A",100%)))</f>
        <v>N/A</v>
      </c>
      <c r="M44" s="2005">
        <v>0</v>
      </c>
      <c r="N44" s="462" t="str">
        <f>IF(K44&gt;0,(M44-K44)/K44,(IF(M44=0,"N/A",100%)))</f>
        <v>N/A</v>
      </c>
      <c r="O44" s="2005">
        <v>0</v>
      </c>
      <c r="P44" s="462" t="str">
        <f>IF(M44&gt;0,(O44-M44)/M44,(IF(O44=0,"N/A",100%)))</f>
        <v>N/A</v>
      </c>
      <c r="Q44" s="2005">
        <v>0</v>
      </c>
      <c r="R44" s="1558" t="str">
        <f>IF(O44&gt;0,(Q44-O44)/O44,(IF(Q44=0,"N/A",100%)))</f>
        <v>N/A</v>
      </c>
    </row>
    <row r="45" spans="1:18" ht="17.25" customHeight="1" x14ac:dyDescent="0.3">
      <c r="A45" s="461" t="s">
        <v>872</v>
      </c>
      <c r="B45" s="2005">
        <v>7</v>
      </c>
      <c r="C45" s="2005">
        <v>8</v>
      </c>
      <c r="D45" s="2006">
        <f>IF(B45&gt;0,(C45-B45)/B45,(IF(C45=0,"N/A",100%)))</f>
        <v>0.14285714285714285</v>
      </c>
      <c r="E45" s="2005">
        <v>15</v>
      </c>
      <c r="F45" s="2006">
        <f>IF(C45&gt;0,(E45-C45)/C45,(IF(E45=0,"N/A",100%)))</f>
        <v>0.875</v>
      </c>
      <c r="G45" s="2005">
        <v>14</v>
      </c>
      <c r="H45" s="462">
        <f>IF(E45&gt;0,(G45-E45)/E45,(IF(G45=0,"N/A",100%)))</f>
        <v>-6.6666666666666666E-2</v>
      </c>
      <c r="I45" s="2005">
        <v>18</v>
      </c>
      <c r="J45" s="462">
        <f>IF(G45&gt;0,(I45-G45)/G45,(IF(I45=0,"N/A",100%)))</f>
        <v>0.2857142857142857</v>
      </c>
      <c r="K45" s="2005">
        <v>23</v>
      </c>
      <c r="L45" s="462">
        <f>IF(I45&gt;0,(K45-I45)/I45,(IF(K45=0,"N/A",100%)))</f>
        <v>0.27777777777777779</v>
      </c>
      <c r="M45" s="2005">
        <v>11</v>
      </c>
      <c r="N45" s="462">
        <f>IF(K45&gt;0,(M45-K45)/K45,(IF(M45=0,"N/A",100%)))</f>
        <v>-0.52173913043478259</v>
      </c>
      <c r="O45" s="2005">
        <v>12</v>
      </c>
      <c r="P45" s="462">
        <f>IF(M45&gt;0,(O45-M45)/M45,(IF(O45=0,"N/A",100%)))</f>
        <v>9.0909090909090912E-2</v>
      </c>
      <c r="Q45" s="2005">
        <v>17</v>
      </c>
      <c r="R45" s="1558">
        <f>IF(O45&gt;0,(Q45-O45)/O45,(IF(Q45=0,"N/A",100%)))</f>
        <v>0.41666666666666669</v>
      </c>
    </row>
    <row r="46" spans="1:18" ht="17.25" customHeight="1" x14ac:dyDescent="0.3">
      <c r="A46" s="461" t="s">
        <v>1133</v>
      </c>
      <c r="B46" s="2005">
        <v>9</v>
      </c>
      <c r="C46" s="2005">
        <v>7</v>
      </c>
      <c r="D46" s="2006">
        <f>IF(B46&gt;0,(C46-B46)/B46,(IF(C46=0,"N/A",100%)))</f>
        <v>-0.22222222222222221</v>
      </c>
      <c r="E46" s="2005">
        <v>9</v>
      </c>
      <c r="F46" s="2006">
        <f>IF(C46&gt;0,(E46-C46)/C46,(IF(E46=0,"N/A",100%)))</f>
        <v>0.2857142857142857</v>
      </c>
      <c r="G46" s="2005">
        <v>10</v>
      </c>
      <c r="H46" s="462">
        <f>IF(E46&gt;0,(G46-E46)/E46,(IF(G46=0,"N/A",100%)))</f>
        <v>0.1111111111111111</v>
      </c>
      <c r="I46" s="2005">
        <v>13</v>
      </c>
      <c r="J46" s="462">
        <f>IF(G46&gt;0,(I46-G46)/G46,(IF(I46=0,"N/A",100%)))</f>
        <v>0.3</v>
      </c>
      <c r="K46" s="2005">
        <v>13</v>
      </c>
      <c r="L46" s="462">
        <f>IF(I46&gt;0,(K46-I46)/I46,(IF(K46=0,"N/A",100%)))</f>
        <v>0</v>
      </c>
      <c r="M46" s="2005">
        <v>14</v>
      </c>
      <c r="N46" s="462">
        <f>IF(K46&gt;0,(M46-K46)/K46,(IF(M46=0,"N/A",100%)))</f>
        <v>7.6923076923076927E-2</v>
      </c>
      <c r="O46" s="2005">
        <v>8</v>
      </c>
      <c r="P46" s="462">
        <f>IF(M46&gt;0,(O46-M46)/M46,(IF(O46=0,"N/A",100%)))</f>
        <v>-0.42857142857142855</v>
      </c>
      <c r="Q46" s="2005">
        <v>8</v>
      </c>
      <c r="R46" s="1558">
        <f>IF(O46&gt;0,(Q46-O46)/O46,(IF(Q46=0,"N/A",100%)))</f>
        <v>0</v>
      </c>
    </row>
    <row r="47" spans="1:18" ht="17.25" customHeight="1" x14ac:dyDescent="0.3">
      <c r="A47" s="465" t="s">
        <v>1015</v>
      </c>
      <c r="B47" s="2005">
        <f>SUM(B43:B46)</f>
        <v>43</v>
      </c>
      <c r="C47" s="2005">
        <f>SUM(C43:C46)</f>
        <v>56</v>
      </c>
      <c r="D47" s="2006">
        <f>IF(B47&gt;0,(C47-B47)/B47,(IF(C47=0,"N/A",100%)))</f>
        <v>0.30232558139534882</v>
      </c>
      <c r="E47" s="2005">
        <f>SUM(E43:E46)</f>
        <v>62</v>
      </c>
      <c r="F47" s="2006">
        <f>IF(C47&gt;0,(E47-C47)/C47,(IF(E47=0,"N/A",100%)))</f>
        <v>0.10714285714285714</v>
      </c>
      <c r="G47" s="2005">
        <f>SUM(G43:G46)</f>
        <v>66</v>
      </c>
      <c r="H47" s="462">
        <f>IF(E47&gt;0,(G47-E47)/E47,(IF(G47=0,"N/A",100%)))</f>
        <v>6.4516129032258063E-2</v>
      </c>
      <c r="I47" s="2005">
        <f>SUM(I43:I46)</f>
        <v>73</v>
      </c>
      <c r="J47" s="462">
        <f>IF(G47&gt;0,(I47-G47)/G47,(IF(I47=0,"N/A",100%)))</f>
        <v>0.10606060606060606</v>
      </c>
      <c r="K47" s="2005">
        <f>SUM(K43:K46)</f>
        <v>76</v>
      </c>
      <c r="L47" s="462">
        <f>IF(I47&gt;0,(K47-I47)/I47,(IF(K47=0,"N/A",100%)))</f>
        <v>4.1095890410958902E-2</v>
      </c>
      <c r="M47" s="2005">
        <f>SUM(M43:M46)</f>
        <v>67</v>
      </c>
      <c r="N47" s="462">
        <f>IF(K47&gt;0,(M47-K47)/K47,(IF(M47=0,"N/A",100%)))</f>
        <v>-0.11842105263157894</v>
      </c>
      <c r="O47" s="2005">
        <f>SUM(O43:O46)</f>
        <v>63</v>
      </c>
      <c r="P47" s="462">
        <f>IF(M47&gt;0,(O47-M47)/M47,(IF(O47=0,"N/A",100%)))</f>
        <v>-5.9701492537313432E-2</v>
      </c>
      <c r="Q47" s="2005">
        <f>SUM(Q43:Q46)</f>
        <v>62</v>
      </c>
      <c r="R47" s="1558">
        <f>IF(O47&gt;0,(Q47-O47)/O47,(IF(Q47=0,"N/A",100%)))</f>
        <v>-1.5873015873015872E-2</v>
      </c>
    </row>
    <row r="48" spans="1:18" ht="17.25" customHeight="1" x14ac:dyDescent="0.3">
      <c r="A48" s="459" t="s">
        <v>419</v>
      </c>
      <c r="B48" s="2003"/>
      <c r="C48" s="2003"/>
      <c r="D48" s="2004"/>
      <c r="E48" s="2003"/>
      <c r="F48" s="2004"/>
      <c r="G48" s="2003"/>
      <c r="H48" s="460"/>
      <c r="I48" s="2003"/>
      <c r="J48" s="460"/>
      <c r="K48" s="2003"/>
      <c r="L48" s="460"/>
      <c r="M48" s="2003"/>
      <c r="N48" s="460"/>
      <c r="O48" s="2003"/>
      <c r="P48" s="460"/>
      <c r="Q48" s="2003"/>
      <c r="R48" s="1559"/>
    </row>
    <row r="49" spans="1:18" ht="17.25" customHeight="1" x14ac:dyDescent="0.3">
      <c r="A49" s="461" t="s">
        <v>1129</v>
      </c>
      <c r="B49" s="2005">
        <f>38+16</f>
        <v>54</v>
      </c>
      <c r="C49" s="2005">
        <f>42+29</f>
        <v>71</v>
      </c>
      <c r="D49" s="2006">
        <f>IF(B49&gt;0,(C49-B49)/B49,(IF(C49=0,"N/A",100%)))</f>
        <v>0.31481481481481483</v>
      </c>
      <c r="E49" s="2005">
        <f>45+35</f>
        <v>80</v>
      </c>
      <c r="F49" s="2006">
        <f>IF(C49&gt;0,(E49-C49)/C49,(IF(E49=0,"N/A",100%)))</f>
        <v>0.12676056338028169</v>
      </c>
      <c r="G49" s="2005">
        <v>77</v>
      </c>
      <c r="H49" s="462">
        <f>IF(E49&gt;0,(G49-E49)/E49,(IF(G49=0,"N/A",100%)))</f>
        <v>-3.7499999999999999E-2</v>
      </c>
      <c r="I49" s="2005">
        <v>77</v>
      </c>
      <c r="J49" s="462">
        <f>IF(G49&gt;0,(I49-G49)/G49,(IF(I49=0,"N/A",100%)))</f>
        <v>0</v>
      </c>
      <c r="K49" s="2005">
        <v>84</v>
      </c>
      <c r="L49" s="462">
        <f>IF(I49&gt;0,(K49-I49)/I49,(IF(K49=0,"N/A",100%)))</f>
        <v>9.0909090909090912E-2</v>
      </c>
      <c r="M49" s="2005">
        <f>31+33</f>
        <v>64</v>
      </c>
      <c r="N49" s="462">
        <f>IF(K49&gt;0,(M49-K49)/K49,(IF(M49=0,"N/A",100%)))</f>
        <v>-0.23809523809523808</v>
      </c>
      <c r="O49" s="2005">
        <f>42+29</f>
        <v>71</v>
      </c>
      <c r="P49" s="462">
        <f>IF(M49&gt;0,(O49-M49)/M49,(IF(O49=0,"N/A",100%)))</f>
        <v>0.109375</v>
      </c>
      <c r="Q49" s="2005">
        <v>65</v>
      </c>
      <c r="R49" s="1558">
        <f>IF(O49&gt;0,(Q49-O49)/O49,(IF(Q49=0,"N/A",100%)))</f>
        <v>-8.4507042253521125E-2</v>
      </c>
    </row>
    <row r="50" spans="1:18" ht="17.25" customHeight="1" x14ac:dyDescent="0.3">
      <c r="A50" s="461" t="s">
        <v>775</v>
      </c>
      <c r="B50" s="2005">
        <v>4</v>
      </c>
      <c r="C50" s="2005">
        <v>1</v>
      </c>
      <c r="D50" s="2006">
        <f>IF(B50&gt;0,(C50-B50)/B50,(IF(C50=0,"N/A",100%)))</f>
        <v>-0.75</v>
      </c>
      <c r="E50" s="2005">
        <v>1</v>
      </c>
      <c r="F50" s="2006">
        <f>IF(C50&gt;0,(E50-C50)/C50,(IF(E50=0,"N/A",100%)))</f>
        <v>0</v>
      </c>
      <c r="G50" s="2005">
        <v>0</v>
      </c>
      <c r="H50" s="462">
        <f>IF(E50&gt;0,(G50-E50)/E50,(IF(G50=0,"N/A",100%)))</f>
        <v>-1</v>
      </c>
      <c r="I50" s="2005">
        <v>0</v>
      </c>
      <c r="J50" s="462" t="str">
        <f>IF(G50&gt;0,(I50-G50)/G50,(IF(I50=0,"N/A",100%)))</f>
        <v>N/A</v>
      </c>
      <c r="K50" s="2005">
        <v>0</v>
      </c>
      <c r="L50" s="462" t="str">
        <f>IF(I50&gt;0,(K50-I50)/I50,(IF(K50=0,"N/A",100%)))</f>
        <v>N/A</v>
      </c>
      <c r="M50" s="2005">
        <v>0</v>
      </c>
      <c r="N50" s="462" t="str">
        <f>IF(K50&gt;0,(M50-K50)/K50,(IF(M50=0,"N/A",100%)))</f>
        <v>N/A</v>
      </c>
      <c r="O50" s="2005">
        <v>0</v>
      </c>
      <c r="P50" s="462" t="str">
        <f>IF(M50&gt;0,(O50-M50)/M50,(IF(O50=0,"N/A",100%)))</f>
        <v>N/A</v>
      </c>
      <c r="Q50" s="2005">
        <v>0</v>
      </c>
      <c r="R50" s="1558" t="str">
        <f>IF(O50&gt;0,(Q50-O50)/O50,(IF(Q50=0,"N/A",100%)))</f>
        <v>N/A</v>
      </c>
    </row>
    <row r="51" spans="1:18" ht="17.25" customHeight="1" x14ac:dyDescent="0.3">
      <c r="A51" s="465" t="s">
        <v>1015</v>
      </c>
      <c r="B51" s="2005">
        <f>+B50+B49</f>
        <v>58</v>
      </c>
      <c r="C51" s="2005">
        <f>+C50+C49</f>
        <v>72</v>
      </c>
      <c r="D51" s="2006">
        <f>IF(B51&gt;0,(C51-B51)/B51,(IF(C51=0,"N/A",100%)))</f>
        <v>0.2413793103448276</v>
      </c>
      <c r="E51" s="2005">
        <f>+E50+E49</f>
        <v>81</v>
      </c>
      <c r="F51" s="2006">
        <f>IF(C51&gt;0,(E51-C51)/C51,(IF(E51=0,"N/A",100%)))</f>
        <v>0.125</v>
      </c>
      <c r="G51" s="2005">
        <f>+G50+G49</f>
        <v>77</v>
      </c>
      <c r="H51" s="462">
        <f>IF(E51&gt;0,(G51-E51)/E51,(IF(G51=0,"N/A",100%)))</f>
        <v>-4.9382716049382713E-2</v>
      </c>
      <c r="I51" s="2005">
        <f>+I50+I49</f>
        <v>77</v>
      </c>
      <c r="J51" s="462">
        <f>IF(G51&gt;0,(I51-G51)/G51,(IF(I51=0,"N/A",100%)))</f>
        <v>0</v>
      </c>
      <c r="K51" s="2005">
        <f>+K50+K49</f>
        <v>84</v>
      </c>
      <c r="L51" s="462">
        <f>IF(I51&gt;0,(K51-I51)/I51,(IF(K51=0,"N/A",100%)))</f>
        <v>9.0909090909090912E-2</v>
      </c>
      <c r="M51" s="2005">
        <f>+M50+M49</f>
        <v>64</v>
      </c>
      <c r="N51" s="462">
        <f>IF(K51&gt;0,(M51-K51)/K51,(IF(M51=0,"N/A",100%)))</f>
        <v>-0.23809523809523808</v>
      </c>
      <c r="O51" s="2005">
        <f>+O50+O49</f>
        <v>71</v>
      </c>
      <c r="P51" s="462">
        <f>IF(M51&gt;0,(O51-M51)/M51,(IF(O51=0,"N/A",100%)))</f>
        <v>0.109375</v>
      </c>
      <c r="Q51" s="2005">
        <f>+Q50+Q49</f>
        <v>65</v>
      </c>
      <c r="R51" s="1558">
        <f>IF(O51&gt;0,(Q51-O51)/O51,(IF(Q51=0,"N/A",100%)))</f>
        <v>-8.4507042253521125E-2</v>
      </c>
    </row>
    <row r="52" spans="1:18" ht="17.25" customHeight="1" x14ac:dyDescent="0.3">
      <c r="A52" s="459" t="s">
        <v>420</v>
      </c>
      <c r="B52" s="2003"/>
      <c r="C52" s="2003"/>
      <c r="D52" s="2004"/>
      <c r="E52" s="2003"/>
      <c r="F52" s="2004"/>
      <c r="G52" s="2003"/>
      <c r="H52" s="460"/>
      <c r="I52" s="2003"/>
      <c r="J52" s="460"/>
      <c r="K52" s="2003"/>
      <c r="L52" s="460"/>
      <c r="M52" s="2003"/>
      <c r="N52" s="460"/>
      <c r="O52" s="2003"/>
      <c r="P52" s="460"/>
      <c r="Q52" s="2003"/>
      <c r="R52" s="1559"/>
    </row>
    <row r="53" spans="1:18" ht="17.25" customHeight="1" x14ac:dyDescent="0.3">
      <c r="A53" s="461" t="s">
        <v>1058</v>
      </c>
      <c r="B53" s="2005">
        <v>3</v>
      </c>
      <c r="C53" s="2005">
        <v>1</v>
      </c>
      <c r="D53" s="2006">
        <f>IF(B53&gt;0,(C53-B53)/B53,(IF(C53=0,"N/A",100%)))</f>
        <v>-0.66666666666666663</v>
      </c>
      <c r="E53" s="2005">
        <v>0</v>
      </c>
      <c r="F53" s="2006">
        <f>IF(C53&gt;0,(E53-C53)/C53,(IF(E53=0,"N/A",100%)))</f>
        <v>-1</v>
      </c>
      <c r="G53" s="2005">
        <v>0</v>
      </c>
      <c r="H53" s="462" t="str">
        <f>IF(E53&gt;0,(G53-E53)/E53,(IF(G53=0,"N/A",100%)))</f>
        <v>N/A</v>
      </c>
      <c r="I53" s="2005">
        <v>0</v>
      </c>
      <c r="J53" s="462" t="str">
        <f>IF(G53&gt;0,(I53-G53)/G53,(IF(I53=0,"N/A",100%)))</f>
        <v>N/A</v>
      </c>
      <c r="K53" s="2005">
        <v>0</v>
      </c>
      <c r="L53" s="462" t="str">
        <f>IF(I53&gt;0,(K53-I53)/I53,(IF(K53=0,"N/A",100%)))</f>
        <v>N/A</v>
      </c>
      <c r="M53" s="2005">
        <v>0</v>
      </c>
      <c r="N53" s="462" t="str">
        <f>IF(K53&gt;0,(M53-K53)/K53,(IF(M53=0,"N/A",100%)))</f>
        <v>N/A</v>
      </c>
      <c r="O53" s="2005">
        <v>0</v>
      </c>
      <c r="P53" s="462" t="str">
        <f>IF(M53&gt;0,(O53-M53)/M53,(IF(O53=0,"N/A",100%)))</f>
        <v>N/A</v>
      </c>
      <c r="Q53" s="2005">
        <v>0</v>
      </c>
      <c r="R53" s="1558" t="str">
        <f>IF(O53&gt;0,(Q53-O53)/O53,(IF(Q53=0,"N/A",100%)))</f>
        <v>N/A</v>
      </c>
    </row>
    <row r="54" spans="1:18" ht="17.25" customHeight="1" x14ac:dyDescent="0.3">
      <c r="A54" s="461" t="s">
        <v>1123</v>
      </c>
      <c r="B54" s="2005">
        <v>101</v>
      </c>
      <c r="C54" s="2005">
        <v>111</v>
      </c>
      <c r="D54" s="2006">
        <f>IF(B54&gt;0,(C54-B54)/B54,(IF(C54=0,"N/A",100%)))</f>
        <v>9.9009900990099015E-2</v>
      </c>
      <c r="E54" s="2005">
        <v>124</v>
      </c>
      <c r="F54" s="2006">
        <f>IF(C54&gt;0,(E54-C54)/C54,(IF(E54=0,"N/A",100%)))</f>
        <v>0.11711711711711711</v>
      </c>
      <c r="G54" s="2005">
        <v>132</v>
      </c>
      <c r="H54" s="462">
        <f>IF(E54&gt;0,(G54-E54)/E54,(IF(G54=0,"N/A",100%)))</f>
        <v>6.4516129032258063E-2</v>
      </c>
      <c r="I54" s="2005">
        <v>150</v>
      </c>
      <c r="J54" s="462">
        <f>IF(G54&gt;0,(I54-G54)/G54,(IF(I54=0,"N/A",100%)))</f>
        <v>0.13636363636363635</v>
      </c>
      <c r="K54" s="2005">
        <v>147</v>
      </c>
      <c r="L54" s="462">
        <f>IF(I54&gt;0,(K54-I54)/I54,(IF(K54=0,"N/A",100%)))</f>
        <v>-0.02</v>
      </c>
      <c r="M54" s="2005">
        <v>124</v>
      </c>
      <c r="N54" s="462">
        <f>IF(K54&gt;0,(M54-K54)/K54,(IF(M54=0,"N/A",100%)))</f>
        <v>-0.15646258503401361</v>
      </c>
      <c r="O54" s="2005">
        <v>117</v>
      </c>
      <c r="P54" s="462">
        <f>IF(M54&gt;0,(O54-M54)/M54,(IF(O54=0,"N/A",100%)))</f>
        <v>-5.6451612903225805E-2</v>
      </c>
      <c r="Q54" s="2005">
        <v>109</v>
      </c>
      <c r="R54" s="1558">
        <f>IF(O54&gt;0,(Q54-O54)/O54,(IF(Q54=0,"N/A",100%)))</f>
        <v>-6.8376068376068383E-2</v>
      </c>
    </row>
    <row r="55" spans="1:18" ht="17.25" customHeight="1" x14ac:dyDescent="0.3">
      <c r="A55" s="461" t="s">
        <v>1124</v>
      </c>
      <c r="B55" s="2005">
        <v>18</v>
      </c>
      <c r="C55" s="2005">
        <v>17</v>
      </c>
      <c r="D55" s="2006">
        <f>IF(B55&gt;0,(C55-B55)/B55,(IF(C55=0,"N/A",100%)))</f>
        <v>-5.5555555555555552E-2</v>
      </c>
      <c r="E55" s="2005">
        <v>20</v>
      </c>
      <c r="F55" s="2006">
        <f>IF(C55&gt;0,(E55-C55)/C55,(IF(E55=0,"N/A",100%)))</f>
        <v>0.17647058823529413</v>
      </c>
      <c r="G55" s="2005">
        <v>25</v>
      </c>
      <c r="H55" s="462">
        <f>IF(E55&gt;0,(G55-E55)/E55,(IF(G55=0,"N/A",100%)))</f>
        <v>0.25</v>
      </c>
      <c r="I55" s="2005">
        <v>19</v>
      </c>
      <c r="J55" s="462">
        <f>IF(G55&gt;0,(I55-G55)/G55,(IF(I55=0,"N/A",100%)))</f>
        <v>-0.24</v>
      </c>
      <c r="K55" s="2005">
        <v>24</v>
      </c>
      <c r="L55" s="462">
        <f>IF(I55&gt;0,(K55-I55)/I55,(IF(K55=0,"N/A",100%)))</f>
        <v>0.26315789473684209</v>
      </c>
      <c r="M55" s="2005">
        <v>23</v>
      </c>
      <c r="N55" s="462">
        <f>IF(K55&gt;0,(M55-K55)/K55,(IF(M55=0,"N/A",100%)))</f>
        <v>-4.1666666666666664E-2</v>
      </c>
      <c r="O55" s="2005">
        <v>15</v>
      </c>
      <c r="P55" s="462">
        <f>IF(M55&gt;0,(O55-M55)/M55,(IF(O55=0,"N/A",100%)))</f>
        <v>-0.34782608695652173</v>
      </c>
      <c r="Q55" s="2005">
        <v>7</v>
      </c>
      <c r="R55" s="1558">
        <f>IF(O55&gt;0,(Q55-O55)/O55,(IF(Q55=0,"N/A",100%)))</f>
        <v>-0.53333333333333333</v>
      </c>
    </row>
    <row r="56" spans="1:18" ht="17.25" customHeight="1" x14ac:dyDescent="0.3">
      <c r="A56" s="465" t="s">
        <v>1015</v>
      </c>
      <c r="B56" s="2005">
        <f>SUM(B53:B55)</f>
        <v>122</v>
      </c>
      <c r="C56" s="2005">
        <f>SUM(C53:C55)</f>
        <v>129</v>
      </c>
      <c r="D56" s="2006">
        <f>IF(B56&gt;0,(C56-B56)/B56,(IF(C56=0,"N/A",100%)))</f>
        <v>5.737704918032787E-2</v>
      </c>
      <c r="E56" s="2005">
        <f>SUM(E53:E55)</f>
        <v>144</v>
      </c>
      <c r="F56" s="2006">
        <f>IF(C56&gt;0,(E56-C56)/C56,(IF(E56=0,"N/A",100%)))</f>
        <v>0.11627906976744186</v>
      </c>
      <c r="G56" s="2005">
        <f>SUM(G53:G55)</f>
        <v>157</v>
      </c>
      <c r="H56" s="462">
        <f>IF(E56&gt;0,(G56-E56)/E56,(IF(G56=0,"N/A",100%)))</f>
        <v>9.0277777777777776E-2</v>
      </c>
      <c r="I56" s="2005">
        <f>SUM(I53:I55)</f>
        <v>169</v>
      </c>
      <c r="J56" s="462">
        <f>IF(G56&gt;0,(I56-G56)/G56,(IF(I56=0,"N/A",100%)))</f>
        <v>7.6433121019108277E-2</v>
      </c>
      <c r="K56" s="2005">
        <f>SUM(K53:K55)</f>
        <v>171</v>
      </c>
      <c r="L56" s="462">
        <f>IF(I56&gt;0,(K56-I56)/I56,(IF(K56=0,"N/A",100%)))</f>
        <v>1.1834319526627219E-2</v>
      </c>
      <c r="M56" s="2005">
        <f>SUM(M53:M55)</f>
        <v>147</v>
      </c>
      <c r="N56" s="462">
        <f>IF(K56&gt;0,(M56-K56)/K56,(IF(M56=0,"N/A",100%)))</f>
        <v>-0.14035087719298245</v>
      </c>
      <c r="O56" s="2005">
        <f>SUM(O53:O55)</f>
        <v>132</v>
      </c>
      <c r="P56" s="462">
        <f>IF(M56&gt;0,(O56-M56)/M56,(IF(O56=0,"N/A",100%)))</f>
        <v>-0.10204081632653061</v>
      </c>
      <c r="Q56" s="2005">
        <f>SUM(Q53:Q55)</f>
        <v>116</v>
      </c>
      <c r="R56" s="1558">
        <f>IF(O56&gt;0,(Q56-O56)/O56,(IF(Q56=0,"N/A",100%)))</f>
        <v>-0.12121212121212122</v>
      </c>
    </row>
    <row r="57" spans="1:18" ht="17.25" customHeight="1" x14ac:dyDescent="0.3">
      <c r="A57" s="459" t="s">
        <v>422</v>
      </c>
      <c r="B57" s="2003"/>
      <c r="C57" s="2003"/>
      <c r="D57" s="2004"/>
      <c r="E57" s="2003"/>
      <c r="F57" s="2004"/>
      <c r="G57" s="2003"/>
      <c r="H57" s="460"/>
      <c r="I57" s="2003"/>
      <c r="J57" s="460"/>
      <c r="K57" s="2003"/>
      <c r="L57" s="460"/>
      <c r="M57" s="2003"/>
      <c r="N57" s="460"/>
      <c r="O57" s="2003"/>
      <c r="P57" s="460"/>
      <c r="Q57" s="2003"/>
      <c r="R57" s="1559"/>
    </row>
    <row r="58" spans="1:18" ht="17.25" customHeight="1" x14ac:dyDescent="0.3">
      <c r="A58" s="461" t="s">
        <v>1125</v>
      </c>
      <c r="B58" s="2005">
        <f>17+24</f>
        <v>41</v>
      </c>
      <c r="C58" s="2005">
        <v>50</v>
      </c>
      <c r="D58" s="2006">
        <f>IF(B58&gt;0,(C58-B58)/B58,(IF(C58=0,"N/A",100%)))</f>
        <v>0.21951219512195122</v>
      </c>
      <c r="E58" s="2005">
        <v>39</v>
      </c>
      <c r="F58" s="2006">
        <f t="shared" ref="F58:F67" si="32">IF(C58&gt;0,(E58-C58)/C58,(IF(E58=0,"N/A",100%)))</f>
        <v>-0.22</v>
      </c>
      <c r="G58" s="2005">
        <f>19+21</f>
        <v>40</v>
      </c>
      <c r="H58" s="462">
        <f t="shared" ref="H58:H67" si="33">IF(E58&gt;0,(G58-E58)/E58,(IF(G58=0,"N/A",100%)))</f>
        <v>2.564102564102564E-2</v>
      </c>
      <c r="I58" s="2005">
        <f>19+17</f>
        <v>36</v>
      </c>
      <c r="J58" s="462">
        <f t="shared" ref="J58:J67" si="34">IF(G58&gt;0,(I58-G58)/G58,(IF(I58=0,"N/A",100%)))</f>
        <v>-0.1</v>
      </c>
      <c r="K58" s="2005">
        <v>0</v>
      </c>
      <c r="L58" s="462">
        <f t="shared" ref="L58:L67" si="35">IF(I58&gt;0,(K58-I58)/I58,(IF(K58=0,"N/A",100%)))</f>
        <v>-1</v>
      </c>
      <c r="M58" s="2005">
        <v>0</v>
      </c>
      <c r="N58" s="462" t="str">
        <f t="shared" ref="N58:N67" si="36">IF(K58&gt;0,(M58-K58)/K58,(IF(M58=0,"N/A",100%)))</f>
        <v>N/A</v>
      </c>
      <c r="O58" s="2005">
        <v>0</v>
      </c>
      <c r="P58" s="462" t="str">
        <f t="shared" ref="P58:P67" si="37">IF(M58&gt;0,(O58-M58)/M58,(IF(O58=0,"N/A",100%)))</f>
        <v>N/A</v>
      </c>
      <c r="Q58" s="2005">
        <v>0</v>
      </c>
      <c r="R58" s="1558" t="str">
        <f t="shared" ref="R58:R67" si="38">IF(O58&gt;0,(Q58-O58)/O58,(IF(Q58=0,"N/A",100%)))</f>
        <v>N/A</v>
      </c>
    </row>
    <row r="59" spans="1:18" ht="17.25" customHeight="1" x14ac:dyDescent="0.3">
      <c r="A59" s="461" t="s">
        <v>1565</v>
      </c>
      <c r="B59" s="2005"/>
      <c r="C59" s="2005">
        <v>0</v>
      </c>
      <c r="D59" s="2006"/>
      <c r="E59" s="2005">
        <v>0</v>
      </c>
      <c r="F59" s="2006" t="str">
        <f t="shared" si="32"/>
        <v>N/A</v>
      </c>
      <c r="G59" s="2005">
        <v>0</v>
      </c>
      <c r="H59" s="462" t="str">
        <f t="shared" si="33"/>
        <v>N/A</v>
      </c>
      <c r="I59" s="2005">
        <v>0</v>
      </c>
      <c r="J59" s="462" t="str">
        <f t="shared" si="34"/>
        <v>N/A</v>
      </c>
      <c r="K59" s="2005">
        <v>7</v>
      </c>
      <c r="L59" s="462">
        <f t="shared" si="35"/>
        <v>1</v>
      </c>
      <c r="M59" s="2005">
        <v>10</v>
      </c>
      <c r="N59" s="462">
        <f t="shared" si="36"/>
        <v>0.42857142857142855</v>
      </c>
      <c r="O59" s="2005">
        <v>8</v>
      </c>
      <c r="P59" s="462">
        <f t="shared" si="37"/>
        <v>-0.2</v>
      </c>
      <c r="Q59" s="2005">
        <v>8</v>
      </c>
      <c r="R59" s="1558">
        <f t="shared" si="38"/>
        <v>0</v>
      </c>
    </row>
    <row r="60" spans="1:18" ht="17.25" customHeight="1" x14ac:dyDescent="0.3">
      <c r="A60" s="461" t="s">
        <v>1573</v>
      </c>
      <c r="B60" s="2005"/>
      <c r="C60" s="2005">
        <v>0</v>
      </c>
      <c r="D60" s="2006"/>
      <c r="E60" s="2005">
        <v>0</v>
      </c>
      <c r="F60" s="2006" t="str">
        <f t="shared" si="32"/>
        <v>N/A</v>
      </c>
      <c r="G60" s="2005">
        <v>0</v>
      </c>
      <c r="H60" s="462" t="str">
        <f t="shared" si="33"/>
        <v>N/A</v>
      </c>
      <c r="I60" s="2005">
        <v>0</v>
      </c>
      <c r="J60" s="462" t="str">
        <f t="shared" si="34"/>
        <v>N/A</v>
      </c>
      <c r="K60" s="2005">
        <v>4</v>
      </c>
      <c r="L60" s="462">
        <f t="shared" si="35"/>
        <v>1</v>
      </c>
      <c r="M60" s="2005">
        <v>7</v>
      </c>
      <c r="N60" s="462">
        <f t="shared" si="36"/>
        <v>0.75</v>
      </c>
      <c r="O60" s="2005">
        <v>5</v>
      </c>
      <c r="P60" s="462">
        <f t="shared" si="37"/>
        <v>-0.2857142857142857</v>
      </c>
      <c r="Q60" s="2005">
        <v>5</v>
      </c>
      <c r="R60" s="1558">
        <f t="shared" si="38"/>
        <v>0</v>
      </c>
    </row>
    <row r="61" spans="1:18" ht="17.25" customHeight="1" x14ac:dyDescent="0.3">
      <c r="A61" s="461" t="s">
        <v>1574</v>
      </c>
      <c r="B61" s="2005"/>
      <c r="C61" s="2005">
        <v>0</v>
      </c>
      <c r="D61" s="2006"/>
      <c r="E61" s="2005">
        <v>0</v>
      </c>
      <c r="F61" s="2006" t="str">
        <f t="shared" si="32"/>
        <v>N/A</v>
      </c>
      <c r="G61" s="2005">
        <v>0</v>
      </c>
      <c r="H61" s="462" t="str">
        <f t="shared" si="33"/>
        <v>N/A</v>
      </c>
      <c r="I61" s="2005">
        <v>0</v>
      </c>
      <c r="J61" s="462" t="str">
        <f t="shared" si="34"/>
        <v>N/A</v>
      </c>
      <c r="K61" s="2005">
        <v>6</v>
      </c>
      <c r="L61" s="462">
        <f t="shared" si="35"/>
        <v>1</v>
      </c>
      <c r="M61" s="2005">
        <v>4</v>
      </c>
      <c r="N61" s="462">
        <f t="shared" si="36"/>
        <v>-0.33333333333333331</v>
      </c>
      <c r="O61" s="2005">
        <v>4</v>
      </c>
      <c r="P61" s="462">
        <f t="shared" si="37"/>
        <v>0</v>
      </c>
      <c r="Q61" s="2005">
        <v>8</v>
      </c>
      <c r="R61" s="1558">
        <f t="shared" si="38"/>
        <v>1</v>
      </c>
    </row>
    <row r="62" spans="1:18" ht="17.25" customHeight="1" x14ac:dyDescent="0.3">
      <c r="A62" s="461" t="s">
        <v>1575</v>
      </c>
      <c r="B62" s="2005"/>
      <c r="C62" s="2005">
        <v>0</v>
      </c>
      <c r="D62" s="2006"/>
      <c r="E62" s="2005">
        <v>0</v>
      </c>
      <c r="F62" s="2006" t="str">
        <f t="shared" si="32"/>
        <v>N/A</v>
      </c>
      <c r="G62" s="2005">
        <v>0</v>
      </c>
      <c r="H62" s="462" t="str">
        <f t="shared" si="33"/>
        <v>N/A</v>
      </c>
      <c r="I62" s="2005">
        <v>0</v>
      </c>
      <c r="J62" s="462" t="str">
        <f t="shared" si="34"/>
        <v>N/A</v>
      </c>
      <c r="K62" s="2005">
        <v>0</v>
      </c>
      <c r="L62" s="462" t="str">
        <f t="shared" si="35"/>
        <v>N/A</v>
      </c>
      <c r="M62" s="2005">
        <v>0</v>
      </c>
      <c r="N62" s="462" t="str">
        <f t="shared" si="36"/>
        <v>N/A</v>
      </c>
      <c r="O62" s="2005">
        <v>0</v>
      </c>
      <c r="P62" s="462" t="str">
        <f t="shared" si="37"/>
        <v>N/A</v>
      </c>
      <c r="Q62" s="2005">
        <v>0</v>
      </c>
      <c r="R62" s="1558" t="str">
        <f t="shared" si="38"/>
        <v>N/A</v>
      </c>
    </row>
    <row r="63" spans="1:18" ht="17.25" customHeight="1" x14ac:dyDescent="0.3">
      <c r="A63" s="461" t="s">
        <v>1562</v>
      </c>
      <c r="B63" s="2005">
        <v>0</v>
      </c>
      <c r="C63" s="2005">
        <v>0</v>
      </c>
      <c r="D63" s="2006" t="str">
        <f>IF(B63&gt;0,(C63-B63)/B63,(IF(C63=0,"N/A",100%)))</f>
        <v>N/A</v>
      </c>
      <c r="E63" s="2005">
        <v>0</v>
      </c>
      <c r="F63" s="2006" t="str">
        <f t="shared" si="32"/>
        <v>N/A</v>
      </c>
      <c r="G63" s="2005">
        <v>0</v>
      </c>
      <c r="H63" s="462" t="str">
        <f t="shared" si="33"/>
        <v>N/A</v>
      </c>
      <c r="I63" s="2005">
        <v>0</v>
      </c>
      <c r="J63" s="462" t="str">
        <f t="shared" si="34"/>
        <v>N/A</v>
      </c>
      <c r="K63" s="2005">
        <v>8</v>
      </c>
      <c r="L63" s="462">
        <f t="shared" si="35"/>
        <v>1</v>
      </c>
      <c r="M63" s="2005">
        <v>8</v>
      </c>
      <c r="N63" s="462">
        <f t="shared" si="36"/>
        <v>0</v>
      </c>
      <c r="O63" s="2005">
        <v>9</v>
      </c>
      <c r="P63" s="462">
        <f t="shared" si="37"/>
        <v>0.125</v>
      </c>
      <c r="Q63" s="2005">
        <v>10</v>
      </c>
      <c r="R63" s="1558">
        <f t="shared" si="38"/>
        <v>0.1111111111111111</v>
      </c>
    </row>
    <row r="64" spans="1:18" ht="17.25" customHeight="1" x14ac:dyDescent="0.3">
      <c r="A64" s="461" t="s">
        <v>1563</v>
      </c>
      <c r="B64" s="2005"/>
      <c r="C64" s="2005">
        <v>0</v>
      </c>
      <c r="D64" s="2006"/>
      <c r="E64" s="2005">
        <v>0</v>
      </c>
      <c r="F64" s="2006" t="str">
        <f t="shared" si="32"/>
        <v>N/A</v>
      </c>
      <c r="G64" s="2005">
        <v>0</v>
      </c>
      <c r="H64" s="462" t="str">
        <f t="shared" si="33"/>
        <v>N/A</v>
      </c>
      <c r="I64" s="2005">
        <v>0</v>
      </c>
      <c r="J64" s="462" t="str">
        <f t="shared" si="34"/>
        <v>N/A</v>
      </c>
      <c r="K64" s="2005">
        <v>11</v>
      </c>
      <c r="L64" s="462">
        <f t="shared" si="35"/>
        <v>1</v>
      </c>
      <c r="M64" s="2005">
        <v>11</v>
      </c>
      <c r="N64" s="462">
        <f t="shared" si="36"/>
        <v>0</v>
      </c>
      <c r="O64" s="2005">
        <v>13</v>
      </c>
      <c r="P64" s="462">
        <f t="shared" si="37"/>
        <v>0.18181818181818182</v>
      </c>
      <c r="Q64" s="2005">
        <v>11</v>
      </c>
      <c r="R64" s="1558">
        <f t="shared" si="38"/>
        <v>-0.15384615384615385</v>
      </c>
    </row>
    <row r="65" spans="1:18" ht="17.25" customHeight="1" x14ac:dyDescent="0.3">
      <c r="A65" s="461" t="s">
        <v>1564</v>
      </c>
      <c r="B65" s="2005"/>
      <c r="C65" s="2005">
        <v>0</v>
      </c>
      <c r="D65" s="2006"/>
      <c r="E65" s="2005">
        <v>0</v>
      </c>
      <c r="F65" s="2006" t="str">
        <f t="shared" si="32"/>
        <v>N/A</v>
      </c>
      <c r="G65" s="2005">
        <v>0</v>
      </c>
      <c r="H65" s="462" t="str">
        <f t="shared" si="33"/>
        <v>N/A</v>
      </c>
      <c r="I65" s="2005">
        <v>0</v>
      </c>
      <c r="J65" s="462" t="str">
        <f t="shared" si="34"/>
        <v>N/A</v>
      </c>
      <c r="K65" s="2005">
        <v>3</v>
      </c>
      <c r="L65" s="462">
        <f t="shared" si="35"/>
        <v>1</v>
      </c>
      <c r="M65" s="2005">
        <v>2</v>
      </c>
      <c r="N65" s="462">
        <f t="shared" si="36"/>
        <v>-0.33333333333333331</v>
      </c>
      <c r="O65" s="2005">
        <v>1</v>
      </c>
      <c r="P65" s="462">
        <f t="shared" si="37"/>
        <v>-0.5</v>
      </c>
      <c r="Q65" s="2005">
        <v>1</v>
      </c>
      <c r="R65" s="1558">
        <f t="shared" si="38"/>
        <v>0</v>
      </c>
    </row>
    <row r="66" spans="1:18" ht="17.25" customHeight="1" x14ac:dyDescent="0.3">
      <c r="A66" s="465" t="s">
        <v>1015</v>
      </c>
      <c r="B66" s="2005">
        <f>+B63+B58</f>
        <v>41</v>
      </c>
      <c r="C66" s="2005">
        <f>SUM(C58:C65)</f>
        <v>50</v>
      </c>
      <c r="D66" s="2006">
        <f>IF(B66&gt;0,(C66-B66)/B66,(IF(C66=0,"N/A",100%)))</f>
        <v>0.21951219512195122</v>
      </c>
      <c r="E66" s="2005">
        <f>SUM(E58:E65)</f>
        <v>39</v>
      </c>
      <c r="F66" s="2006">
        <f t="shared" si="32"/>
        <v>-0.22</v>
      </c>
      <c r="G66" s="2005">
        <f>SUM(G58:G65)</f>
        <v>40</v>
      </c>
      <c r="H66" s="462">
        <f t="shared" si="33"/>
        <v>2.564102564102564E-2</v>
      </c>
      <c r="I66" s="2005">
        <f>SUM(I58:I65)</f>
        <v>36</v>
      </c>
      <c r="J66" s="462">
        <f t="shared" si="34"/>
        <v>-0.1</v>
      </c>
      <c r="K66" s="2005">
        <f>SUM(K58:K65)</f>
        <v>39</v>
      </c>
      <c r="L66" s="462">
        <f t="shared" si="35"/>
        <v>8.3333333333333329E-2</v>
      </c>
      <c r="M66" s="2005">
        <f>SUM(M58:M65)</f>
        <v>42</v>
      </c>
      <c r="N66" s="462">
        <f t="shared" si="36"/>
        <v>7.6923076923076927E-2</v>
      </c>
      <c r="O66" s="2005">
        <f>SUM(O58:O65)</f>
        <v>40</v>
      </c>
      <c r="P66" s="462">
        <f t="shared" si="37"/>
        <v>-4.7619047619047616E-2</v>
      </c>
      <c r="Q66" s="2005">
        <f>SUM(Q58:Q65)</f>
        <v>43</v>
      </c>
      <c r="R66" s="1558">
        <f t="shared" si="38"/>
        <v>7.4999999999999997E-2</v>
      </c>
    </row>
    <row r="67" spans="1:18" ht="17.25" customHeight="1" thickBot="1" x14ac:dyDescent="0.35">
      <c r="A67" s="2015" t="s">
        <v>423</v>
      </c>
      <c r="B67" s="2016">
        <f>+B66+B56+B51+B47+B41</f>
        <v>330</v>
      </c>
      <c r="C67" s="724">
        <f>+C66+C56+C51+C47+C41</f>
        <v>383</v>
      </c>
      <c r="D67" s="2017">
        <f>IF(B67&gt;0,(C67-B67)/B67,(IF(C67=0,"N/A",100%)))</f>
        <v>0.16060606060606061</v>
      </c>
      <c r="E67" s="724">
        <f>+E66+E56+E51+E47+E41</f>
        <v>409</v>
      </c>
      <c r="F67" s="2018">
        <f t="shared" si="32"/>
        <v>6.7885117493472591E-2</v>
      </c>
      <c r="G67" s="2016">
        <f>+G66+G56+G51+G47+G41</f>
        <v>431</v>
      </c>
      <c r="H67" s="2018">
        <f t="shared" si="33"/>
        <v>5.3789731051344741E-2</v>
      </c>
      <c r="I67" s="2016">
        <f>+I66+I56+I51+I47+I41</f>
        <v>453</v>
      </c>
      <c r="J67" s="2018">
        <f t="shared" si="34"/>
        <v>5.1044083526682132E-2</v>
      </c>
      <c r="K67" s="2016">
        <f>+K66+K56+K51+K47+K41</f>
        <v>462</v>
      </c>
      <c r="L67" s="2018">
        <f t="shared" si="35"/>
        <v>1.9867549668874173E-2</v>
      </c>
      <c r="M67" s="2016">
        <f>+M66+M56+M51+M47+M41</f>
        <v>412</v>
      </c>
      <c r="N67" s="2018">
        <f t="shared" si="36"/>
        <v>-0.10822510822510822</v>
      </c>
      <c r="O67" s="2016">
        <f>+O66+O56+O51+O47+O41</f>
        <v>384</v>
      </c>
      <c r="P67" s="2018">
        <f t="shared" si="37"/>
        <v>-6.7961165048543687E-2</v>
      </c>
      <c r="Q67" s="2016">
        <f>+Q66+Q56+Q51+Q47+Q41</f>
        <v>366</v>
      </c>
      <c r="R67" s="2019">
        <f t="shared" si="38"/>
        <v>-4.6875E-2</v>
      </c>
    </row>
    <row r="68" spans="1:18" ht="18.75" customHeight="1" thickTop="1" thickBot="1" x14ac:dyDescent="0.35">
      <c r="A68" s="2185" t="s">
        <v>424</v>
      </c>
      <c r="B68" s="2186"/>
      <c r="C68" s="2186"/>
      <c r="D68" s="2186"/>
      <c r="E68" s="2186"/>
      <c r="F68" s="2186"/>
      <c r="G68" s="2186"/>
      <c r="H68" s="2186"/>
      <c r="I68" s="2186"/>
      <c r="J68" s="2186"/>
      <c r="K68" s="2186"/>
      <c r="L68" s="2186"/>
      <c r="M68" s="2186"/>
      <c r="N68" s="2186"/>
      <c r="O68" s="2186"/>
      <c r="P68" s="2186"/>
      <c r="Q68" s="2186"/>
      <c r="R68" s="2187"/>
    </row>
    <row r="69" spans="1:18" ht="20.25" customHeight="1" x14ac:dyDescent="0.3">
      <c r="A69" s="666" t="s">
        <v>410</v>
      </c>
      <c r="B69" s="2001">
        <v>2008</v>
      </c>
      <c r="C69" s="2001">
        <f>B69+1</f>
        <v>2009</v>
      </c>
      <c r="D69" s="2002" t="s">
        <v>1100</v>
      </c>
      <c r="E69" s="2001">
        <f>C69+1</f>
        <v>2010</v>
      </c>
      <c r="F69" s="2002" t="s">
        <v>1100</v>
      </c>
      <c r="G69" s="2001">
        <f>E69+1</f>
        <v>2011</v>
      </c>
      <c r="H69" s="667" t="s">
        <v>1100</v>
      </c>
      <c r="I69" s="2001">
        <f>G69+1</f>
        <v>2012</v>
      </c>
      <c r="J69" s="667" t="s">
        <v>1100</v>
      </c>
      <c r="K69" s="2001">
        <v>2013</v>
      </c>
      <c r="L69" s="667" t="s">
        <v>1100</v>
      </c>
      <c r="M69" s="2001">
        <v>2014</v>
      </c>
      <c r="N69" s="2002" t="s">
        <v>1100</v>
      </c>
      <c r="O69" s="2001">
        <v>2015</v>
      </c>
      <c r="P69" s="667" t="s">
        <v>1100</v>
      </c>
      <c r="Q69" s="2001">
        <v>2016</v>
      </c>
      <c r="R69" s="2007" t="s">
        <v>1100</v>
      </c>
    </row>
    <row r="70" spans="1:18" ht="17.25" customHeight="1" x14ac:dyDescent="0.3">
      <c r="A70" s="459" t="s">
        <v>1024</v>
      </c>
      <c r="B70" s="2003"/>
      <c r="C70" s="2003"/>
      <c r="D70" s="2004"/>
      <c r="E70" s="2003"/>
      <c r="F70" s="2004"/>
      <c r="G70" s="2003"/>
      <c r="H70" s="460"/>
      <c r="I70" s="2003"/>
      <c r="J70" s="460"/>
      <c r="K70" s="2003"/>
      <c r="L70" s="460"/>
      <c r="M70" s="2003"/>
      <c r="N70" s="2004"/>
      <c r="O70" s="2003"/>
      <c r="P70" s="460"/>
      <c r="Q70" s="2003"/>
      <c r="R70" s="2008"/>
    </row>
    <row r="71" spans="1:18" ht="17.25" customHeight="1" x14ac:dyDescent="0.3">
      <c r="A71" s="461" t="s">
        <v>1165</v>
      </c>
      <c r="B71" s="2005">
        <v>6</v>
      </c>
      <c r="C71" s="2005">
        <v>13</v>
      </c>
      <c r="D71" s="2006">
        <f t="shared" ref="D71:D85" si="39">IF(B71&gt;0,(C71-B71)/B71,(IF(C71=0,"N/A",100%)))</f>
        <v>1.1666666666666667</v>
      </c>
      <c r="E71" s="2005">
        <v>5</v>
      </c>
      <c r="F71" s="2006">
        <f t="shared" ref="F71:F85" si="40">IF(C71&gt;0,(E71-C71)/C71,(IF(E71=0,"N/A",100%)))</f>
        <v>-0.61538461538461542</v>
      </c>
      <c r="G71" s="2005">
        <v>12</v>
      </c>
      <c r="H71" s="462">
        <f t="shared" ref="H71:H85" si="41">IF(E71&gt;0,(G71-E71)/E71,(IF(G71=0,"N/A",100%)))</f>
        <v>1.4</v>
      </c>
      <c r="I71" s="2005">
        <v>4</v>
      </c>
      <c r="J71" s="462">
        <f t="shared" ref="J71:J85" si="42">IF(G71&gt;0,(I71-G71)/G71,(IF(I71=0,"N/A",100%)))</f>
        <v>-0.66666666666666663</v>
      </c>
      <c r="K71" s="2005">
        <v>7</v>
      </c>
      <c r="L71" s="463">
        <f t="shared" ref="L71:L85" si="43">IF(I71&gt;0,(K71-I71)/I71,(IF(K71=0,"N/A",100%)))</f>
        <v>0.75</v>
      </c>
      <c r="M71" s="2005">
        <v>5</v>
      </c>
      <c r="N71" s="463">
        <f t="shared" ref="N71:N85" si="44">IF(K71&gt;0,(M71-K71)/K71,(IF(M71=0,"N/A",100%)))</f>
        <v>-0.2857142857142857</v>
      </c>
      <c r="O71" s="2005">
        <v>4</v>
      </c>
      <c r="P71" s="463">
        <f t="shared" ref="P71:P85" si="45">IF(M71&gt;0,(O71-M71)/M71,(IF(O71=0,"N/A",100%)))</f>
        <v>-0.2</v>
      </c>
      <c r="Q71" s="2005">
        <v>0</v>
      </c>
      <c r="R71" s="1560">
        <f t="shared" ref="R71:R85" si="46">IF(O71&gt;0,(Q71-O71)/O71,(IF(Q71=0,"N/A",100%)))</f>
        <v>-1</v>
      </c>
    </row>
    <row r="72" spans="1:18" ht="17.25" customHeight="1" x14ac:dyDescent="0.3">
      <c r="A72" s="461" t="s">
        <v>1166</v>
      </c>
      <c r="B72" s="2005">
        <v>135</v>
      </c>
      <c r="C72" s="2005">
        <v>133</v>
      </c>
      <c r="D72" s="2006">
        <f t="shared" si="39"/>
        <v>-1.4814814814814815E-2</v>
      </c>
      <c r="E72" s="2005">
        <v>143</v>
      </c>
      <c r="F72" s="2006">
        <f t="shared" si="40"/>
        <v>7.5187969924812026E-2</v>
      </c>
      <c r="G72" s="2005">
        <v>132</v>
      </c>
      <c r="H72" s="462">
        <f t="shared" si="41"/>
        <v>-7.6923076923076927E-2</v>
      </c>
      <c r="I72" s="2005">
        <v>137</v>
      </c>
      <c r="J72" s="462">
        <f t="shared" si="42"/>
        <v>3.787878787878788E-2</v>
      </c>
      <c r="K72" s="2005">
        <v>124</v>
      </c>
      <c r="L72" s="462">
        <f t="shared" si="43"/>
        <v>-9.4890510948905105E-2</v>
      </c>
      <c r="M72" s="2005">
        <v>122</v>
      </c>
      <c r="N72" s="462">
        <f t="shared" si="44"/>
        <v>-1.6129032258064516E-2</v>
      </c>
      <c r="O72" s="2005">
        <v>134</v>
      </c>
      <c r="P72" s="462">
        <f t="shared" si="45"/>
        <v>9.8360655737704916E-2</v>
      </c>
      <c r="Q72" s="2005">
        <v>122</v>
      </c>
      <c r="R72" s="1558">
        <f t="shared" si="46"/>
        <v>-8.9552238805970144E-2</v>
      </c>
    </row>
    <row r="73" spans="1:18" ht="17.25" customHeight="1" x14ac:dyDescent="0.3">
      <c r="A73" s="461" t="s">
        <v>873</v>
      </c>
      <c r="B73" s="2005">
        <v>1</v>
      </c>
      <c r="C73" s="2005">
        <v>13</v>
      </c>
      <c r="D73" s="2006">
        <f t="shared" si="39"/>
        <v>12</v>
      </c>
      <c r="E73" s="2005">
        <v>14</v>
      </c>
      <c r="F73" s="2006">
        <f t="shared" si="40"/>
        <v>7.6923076923076927E-2</v>
      </c>
      <c r="G73" s="2005">
        <v>11</v>
      </c>
      <c r="H73" s="462">
        <f t="shared" si="41"/>
        <v>-0.21428571428571427</v>
      </c>
      <c r="I73" s="2005">
        <v>12</v>
      </c>
      <c r="J73" s="462">
        <f>IF(G73&gt;0,(I73-G73)/G73,(IF(I73=0,"N/A",100%)))</f>
        <v>9.0909090909090912E-2</v>
      </c>
      <c r="K73" s="2005">
        <v>0</v>
      </c>
      <c r="L73" s="462">
        <f t="shared" si="43"/>
        <v>-1</v>
      </c>
      <c r="M73" s="2005">
        <v>0</v>
      </c>
      <c r="N73" s="462" t="str">
        <f t="shared" si="44"/>
        <v>N/A</v>
      </c>
      <c r="O73" s="2005">
        <v>0</v>
      </c>
      <c r="P73" s="462" t="str">
        <f t="shared" si="45"/>
        <v>N/A</v>
      </c>
      <c r="Q73" s="2005">
        <v>0</v>
      </c>
      <c r="R73" s="1558" t="str">
        <f t="shared" si="46"/>
        <v>N/A</v>
      </c>
    </row>
    <row r="74" spans="1:18" ht="17.25" customHeight="1" x14ac:dyDescent="0.3">
      <c r="A74" s="461" t="s">
        <v>1579</v>
      </c>
      <c r="B74" s="2005"/>
      <c r="C74" s="2005">
        <v>0</v>
      </c>
      <c r="D74" s="2006"/>
      <c r="E74" s="2005">
        <v>0</v>
      </c>
      <c r="F74" s="2006" t="str">
        <f t="shared" si="40"/>
        <v>N/A</v>
      </c>
      <c r="G74" s="2005">
        <v>0</v>
      </c>
      <c r="H74" s="462" t="str">
        <f t="shared" si="41"/>
        <v>N/A</v>
      </c>
      <c r="I74" s="2005">
        <v>0</v>
      </c>
      <c r="J74" s="462" t="str">
        <f>IF(G74&gt;0,(I74-G74)/G74,(IF(I74=0,"N/A",100%)))</f>
        <v>N/A</v>
      </c>
      <c r="K74" s="2005">
        <v>7</v>
      </c>
      <c r="L74" s="462">
        <f t="shared" si="43"/>
        <v>1</v>
      </c>
      <c r="M74" s="2005">
        <v>11</v>
      </c>
      <c r="N74" s="462">
        <f t="shared" si="44"/>
        <v>0.5714285714285714</v>
      </c>
      <c r="O74" s="2005">
        <v>15</v>
      </c>
      <c r="P74" s="462">
        <f t="shared" si="45"/>
        <v>0.36363636363636365</v>
      </c>
      <c r="Q74" s="2005">
        <v>6</v>
      </c>
      <c r="R74" s="1558">
        <f t="shared" si="46"/>
        <v>-0.6</v>
      </c>
    </row>
    <row r="75" spans="1:18" ht="17.25" customHeight="1" x14ac:dyDescent="0.3">
      <c r="A75" s="461" t="s">
        <v>1580</v>
      </c>
      <c r="B75" s="2005"/>
      <c r="C75" s="2005">
        <v>0</v>
      </c>
      <c r="D75" s="2006"/>
      <c r="E75" s="2005">
        <v>0</v>
      </c>
      <c r="F75" s="2006" t="str">
        <f t="shared" si="40"/>
        <v>N/A</v>
      </c>
      <c r="G75" s="2005">
        <v>0</v>
      </c>
      <c r="H75" s="462" t="str">
        <f t="shared" si="41"/>
        <v>N/A</v>
      </c>
      <c r="I75" s="2005">
        <v>0</v>
      </c>
      <c r="J75" s="462" t="str">
        <f>IF(G75&gt;0,(I75-G75)/G75,(IF(I75=0,"N/A",100%)))</f>
        <v>N/A</v>
      </c>
      <c r="K75" s="2005">
        <v>16</v>
      </c>
      <c r="L75" s="462">
        <f t="shared" si="43"/>
        <v>1</v>
      </c>
      <c r="M75" s="2005">
        <v>19</v>
      </c>
      <c r="N75" s="462">
        <f t="shared" si="44"/>
        <v>0.1875</v>
      </c>
      <c r="O75" s="2005">
        <v>7</v>
      </c>
      <c r="P75" s="462">
        <f t="shared" si="45"/>
        <v>-0.63157894736842102</v>
      </c>
      <c r="Q75" s="2005">
        <v>12</v>
      </c>
      <c r="R75" s="1558">
        <f t="shared" si="46"/>
        <v>0.7142857142857143</v>
      </c>
    </row>
    <row r="76" spans="1:18" ht="17.25" customHeight="1" x14ac:dyDescent="0.3">
      <c r="A76" s="461" t="s">
        <v>523</v>
      </c>
      <c r="B76" s="2005">
        <v>5</v>
      </c>
      <c r="C76" s="2005">
        <v>6</v>
      </c>
      <c r="D76" s="2006">
        <f t="shared" si="39"/>
        <v>0.2</v>
      </c>
      <c r="E76" s="2005">
        <v>4</v>
      </c>
      <c r="F76" s="2006">
        <f t="shared" si="40"/>
        <v>-0.33333333333333331</v>
      </c>
      <c r="G76" s="2005">
        <v>3</v>
      </c>
      <c r="H76" s="462">
        <f t="shared" si="41"/>
        <v>-0.25</v>
      </c>
      <c r="I76" s="2005">
        <v>6</v>
      </c>
      <c r="J76" s="462">
        <f t="shared" si="42"/>
        <v>1</v>
      </c>
      <c r="K76" s="2005">
        <v>8</v>
      </c>
      <c r="L76" s="462">
        <f t="shared" si="43"/>
        <v>0.33333333333333331</v>
      </c>
      <c r="M76" s="2005">
        <v>7</v>
      </c>
      <c r="N76" s="462">
        <f t="shared" si="44"/>
        <v>-0.125</v>
      </c>
      <c r="O76" s="2005">
        <v>8</v>
      </c>
      <c r="P76" s="462">
        <f t="shared" si="45"/>
        <v>0.14285714285714285</v>
      </c>
      <c r="Q76" s="2005">
        <v>10</v>
      </c>
      <c r="R76" s="1558">
        <f t="shared" si="46"/>
        <v>0.25</v>
      </c>
    </row>
    <row r="77" spans="1:18" ht="17.25" customHeight="1" x14ac:dyDescent="0.3">
      <c r="A77" s="461" t="s">
        <v>1167</v>
      </c>
      <c r="B77" s="2005">
        <v>132</v>
      </c>
      <c r="C77" s="2005">
        <v>147</v>
      </c>
      <c r="D77" s="2006">
        <f t="shared" si="39"/>
        <v>0.11363636363636363</v>
      </c>
      <c r="E77" s="2005">
        <v>1</v>
      </c>
      <c r="F77" s="2006">
        <f t="shared" si="40"/>
        <v>-0.99319727891156462</v>
      </c>
      <c r="G77" s="2005">
        <v>122</v>
      </c>
      <c r="H77" s="462">
        <f t="shared" si="41"/>
        <v>121</v>
      </c>
      <c r="I77" s="2005">
        <v>109</v>
      </c>
      <c r="J77" s="462">
        <f t="shared" si="42"/>
        <v>-0.10655737704918032</v>
      </c>
      <c r="K77" s="2005">
        <v>97</v>
      </c>
      <c r="L77" s="462">
        <f t="shared" si="43"/>
        <v>-0.11009174311926606</v>
      </c>
      <c r="M77" s="2005">
        <v>77</v>
      </c>
      <c r="N77" s="462">
        <f t="shared" si="44"/>
        <v>-0.20618556701030927</v>
      </c>
      <c r="O77" s="2005">
        <v>90</v>
      </c>
      <c r="P77" s="462">
        <f t="shared" si="45"/>
        <v>0.16883116883116883</v>
      </c>
      <c r="Q77" s="2005">
        <v>98</v>
      </c>
      <c r="R77" s="1558">
        <f t="shared" si="46"/>
        <v>8.8888888888888892E-2</v>
      </c>
    </row>
    <row r="78" spans="1:18" ht="17.25" customHeight="1" x14ac:dyDescent="0.3">
      <c r="A78" s="461" t="s">
        <v>1168</v>
      </c>
      <c r="B78" s="2005">
        <v>19</v>
      </c>
      <c r="C78" s="2005">
        <v>11</v>
      </c>
      <c r="D78" s="2006">
        <f t="shared" si="39"/>
        <v>-0.42105263157894735</v>
      </c>
      <c r="E78" s="2005">
        <v>153</v>
      </c>
      <c r="F78" s="2006">
        <f t="shared" si="40"/>
        <v>12.909090909090908</v>
      </c>
      <c r="G78" s="2005">
        <v>2</v>
      </c>
      <c r="H78" s="462">
        <f t="shared" si="41"/>
        <v>-0.98692810457516345</v>
      </c>
      <c r="I78" s="2005">
        <v>4</v>
      </c>
      <c r="J78" s="462">
        <f t="shared" si="42"/>
        <v>1</v>
      </c>
      <c r="K78" s="2005">
        <v>0</v>
      </c>
      <c r="L78" s="462">
        <f t="shared" si="43"/>
        <v>-1</v>
      </c>
      <c r="M78" s="2005">
        <v>0</v>
      </c>
      <c r="N78" s="462" t="str">
        <f t="shared" si="44"/>
        <v>N/A</v>
      </c>
      <c r="O78" s="2005">
        <v>0</v>
      </c>
      <c r="P78" s="462" t="str">
        <f t="shared" si="45"/>
        <v>N/A</v>
      </c>
      <c r="Q78" s="2005">
        <v>0</v>
      </c>
      <c r="R78" s="1558" t="str">
        <f t="shared" si="46"/>
        <v>N/A</v>
      </c>
    </row>
    <row r="79" spans="1:18" ht="17.25" customHeight="1" x14ac:dyDescent="0.3">
      <c r="A79" s="461" t="s">
        <v>1169</v>
      </c>
      <c r="B79" s="2005">
        <v>45</v>
      </c>
      <c r="C79" s="2005">
        <v>40</v>
      </c>
      <c r="D79" s="2006">
        <f t="shared" si="39"/>
        <v>-0.1111111111111111</v>
      </c>
      <c r="E79" s="2005">
        <v>50</v>
      </c>
      <c r="F79" s="2006">
        <f t="shared" si="40"/>
        <v>0.25</v>
      </c>
      <c r="G79" s="2005">
        <v>58</v>
      </c>
      <c r="H79" s="462">
        <f t="shared" si="41"/>
        <v>0.16</v>
      </c>
      <c r="I79" s="2005">
        <v>63</v>
      </c>
      <c r="J79" s="462">
        <f t="shared" si="42"/>
        <v>8.6206896551724144E-2</v>
      </c>
      <c r="K79" s="2005">
        <v>52</v>
      </c>
      <c r="L79" s="462">
        <f t="shared" si="43"/>
        <v>-0.17460317460317459</v>
      </c>
      <c r="M79" s="2005">
        <v>61</v>
      </c>
      <c r="N79" s="462">
        <f t="shared" si="44"/>
        <v>0.17307692307692307</v>
      </c>
      <c r="O79" s="2005">
        <v>61</v>
      </c>
      <c r="P79" s="462">
        <f t="shared" si="45"/>
        <v>0</v>
      </c>
      <c r="Q79" s="2005">
        <v>59</v>
      </c>
      <c r="R79" s="1558">
        <f t="shared" si="46"/>
        <v>-3.2786885245901641E-2</v>
      </c>
    </row>
    <row r="80" spans="1:18" ht="17.25" customHeight="1" x14ac:dyDescent="0.3">
      <c r="A80" s="461" t="s">
        <v>1576</v>
      </c>
      <c r="B80" s="2005">
        <v>0</v>
      </c>
      <c r="C80" s="2005">
        <v>0</v>
      </c>
      <c r="D80" s="2006" t="str">
        <f t="shared" si="39"/>
        <v>N/A</v>
      </c>
      <c r="E80" s="2005">
        <v>0</v>
      </c>
      <c r="F80" s="2006" t="str">
        <f t="shared" si="40"/>
        <v>N/A</v>
      </c>
      <c r="G80" s="2005">
        <v>0</v>
      </c>
      <c r="H80" s="462" t="str">
        <f t="shared" si="41"/>
        <v>N/A</v>
      </c>
      <c r="I80" s="2005">
        <v>4</v>
      </c>
      <c r="J80" s="462">
        <f t="shared" si="42"/>
        <v>1</v>
      </c>
      <c r="K80" s="2005">
        <v>0</v>
      </c>
      <c r="L80" s="462">
        <f t="shared" si="43"/>
        <v>-1</v>
      </c>
      <c r="M80" s="2005">
        <v>0</v>
      </c>
      <c r="N80" s="462" t="str">
        <f t="shared" si="44"/>
        <v>N/A</v>
      </c>
      <c r="O80" s="2005">
        <v>0</v>
      </c>
      <c r="P80" s="462" t="str">
        <f t="shared" si="45"/>
        <v>N/A</v>
      </c>
      <c r="Q80" s="2005">
        <v>0</v>
      </c>
      <c r="R80" s="1558" t="str">
        <f t="shared" si="46"/>
        <v>N/A</v>
      </c>
    </row>
    <row r="81" spans="1:18" ht="17.25" customHeight="1" x14ac:dyDescent="0.3">
      <c r="A81" s="461" t="s">
        <v>1577</v>
      </c>
      <c r="B81" s="2005"/>
      <c r="C81" s="2005">
        <v>0</v>
      </c>
      <c r="D81" s="2006"/>
      <c r="E81" s="2005">
        <v>0</v>
      </c>
      <c r="F81" s="2006" t="str">
        <f t="shared" si="40"/>
        <v>N/A</v>
      </c>
      <c r="G81" s="2005">
        <v>0</v>
      </c>
      <c r="H81" s="462" t="str">
        <f t="shared" si="41"/>
        <v>N/A</v>
      </c>
      <c r="I81" s="2005">
        <v>0</v>
      </c>
      <c r="J81" s="462" t="str">
        <f t="shared" si="42"/>
        <v>N/A</v>
      </c>
      <c r="K81" s="2005">
        <v>7</v>
      </c>
      <c r="L81" s="462">
        <f t="shared" si="43"/>
        <v>1</v>
      </c>
      <c r="M81" s="2005">
        <v>5</v>
      </c>
      <c r="N81" s="462">
        <f t="shared" si="44"/>
        <v>-0.2857142857142857</v>
      </c>
      <c r="O81" s="2005">
        <v>3</v>
      </c>
      <c r="P81" s="462">
        <f t="shared" si="45"/>
        <v>-0.4</v>
      </c>
      <c r="Q81" s="2005">
        <v>9</v>
      </c>
      <c r="R81" s="1558">
        <f t="shared" si="46"/>
        <v>2</v>
      </c>
    </row>
    <row r="82" spans="1:18" ht="17.25" customHeight="1" x14ac:dyDescent="0.3">
      <c r="A82" s="461" t="s">
        <v>1598</v>
      </c>
      <c r="B82" s="2005"/>
      <c r="C82" s="2005">
        <v>0</v>
      </c>
      <c r="D82" s="2006"/>
      <c r="E82" s="2005">
        <v>0</v>
      </c>
      <c r="F82" s="2006" t="str">
        <f t="shared" si="40"/>
        <v>N/A</v>
      </c>
      <c r="G82" s="2005">
        <v>0</v>
      </c>
      <c r="H82" s="462" t="str">
        <f t="shared" si="41"/>
        <v>N/A</v>
      </c>
      <c r="I82" s="2005">
        <v>0</v>
      </c>
      <c r="J82" s="462" t="str">
        <f t="shared" si="42"/>
        <v>N/A</v>
      </c>
      <c r="K82" s="2005">
        <v>2</v>
      </c>
      <c r="L82" s="462">
        <f t="shared" si="43"/>
        <v>1</v>
      </c>
      <c r="M82" s="2005">
        <v>2</v>
      </c>
      <c r="N82" s="462">
        <f t="shared" si="44"/>
        <v>0</v>
      </c>
      <c r="O82" s="2005">
        <v>0</v>
      </c>
      <c r="P82" s="462">
        <f t="shared" si="45"/>
        <v>-1</v>
      </c>
      <c r="Q82" s="2005">
        <v>0</v>
      </c>
      <c r="R82" s="1558" t="str">
        <f t="shared" si="46"/>
        <v>N/A</v>
      </c>
    </row>
    <row r="83" spans="1:18" ht="17.25" customHeight="1" x14ac:dyDescent="0.3">
      <c r="A83" s="461" t="s">
        <v>1578</v>
      </c>
      <c r="B83" s="2005"/>
      <c r="C83" s="2005">
        <v>0</v>
      </c>
      <c r="D83" s="2006"/>
      <c r="E83" s="2005">
        <v>0</v>
      </c>
      <c r="F83" s="2006" t="str">
        <f t="shared" si="40"/>
        <v>N/A</v>
      </c>
      <c r="G83" s="2005">
        <v>0</v>
      </c>
      <c r="H83" s="462" t="str">
        <f t="shared" si="41"/>
        <v>N/A</v>
      </c>
      <c r="I83" s="2005">
        <v>0</v>
      </c>
      <c r="J83" s="462" t="str">
        <f t="shared" si="42"/>
        <v>N/A</v>
      </c>
      <c r="K83" s="2005">
        <v>5</v>
      </c>
      <c r="L83" s="462">
        <f t="shared" si="43"/>
        <v>1</v>
      </c>
      <c r="M83" s="2005">
        <v>7</v>
      </c>
      <c r="N83" s="462">
        <f t="shared" si="44"/>
        <v>0.4</v>
      </c>
      <c r="O83" s="2005">
        <v>6</v>
      </c>
      <c r="P83" s="462">
        <f t="shared" si="45"/>
        <v>-0.14285714285714285</v>
      </c>
      <c r="Q83" s="2005">
        <v>7</v>
      </c>
      <c r="R83" s="1558">
        <f t="shared" si="46"/>
        <v>0.16666666666666666</v>
      </c>
    </row>
    <row r="84" spans="1:18" ht="17.25" customHeight="1" x14ac:dyDescent="0.3">
      <c r="A84" s="461" t="s">
        <v>1760</v>
      </c>
      <c r="B84" s="2005">
        <v>49</v>
      </c>
      <c r="C84" s="2005">
        <v>57</v>
      </c>
      <c r="D84" s="2006">
        <f t="shared" si="39"/>
        <v>0.16326530612244897</v>
      </c>
      <c r="E84" s="2005">
        <v>50</v>
      </c>
      <c r="F84" s="2006">
        <f t="shared" si="40"/>
        <v>-0.12280701754385964</v>
      </c>
      <c r="G84" s="2005">
        <v>69</v>
      </c>
      <c r="H84" s="462">
        <f t="shared" si="41"/>
        <v>0.38</v>
      </c>
      <c r="I84" s="2005">
        <v>61</v>
      </c>
      <c r="J84" s="462">
        <f t="shared" si="42"/>
        <v>-0.11594202898550725</v>
      </c>
      <c r="K84" s="2005">
        <v>51</v>
      </c>
      <c r="L84" s="462">
        <f t="shared" si="43"/>
        <v>-0.16393442622950818</v>
      </c>
      <c r="M84" s="2005">
        <v>69</v>
      </c>
      <c r="N84" s="462">
        <f t="shared" si="44"/>
        <v>0.35294117647058826</v>
      </c>
      <c r="O84" s="2005">
        <v>37</v>
      </c>
      <c r="P84" s="462">
        <f t="shared" si="45"/>
        <v>-0.46376811594202899</v>
      </c>
      <c r="Q84" s="2005">
        <v>11</v>
      </c>
      <c r="R84" s="1558">
        <f t="shared" si="46"/>
        <v>-0.70270270270270274</v>
      </c>
    </row>
    <row r="85" spans="1:18" ht="17.25" customHeight="1" x14ac:dyDescent="0.3">
      <c r="A85" s="465" t="s">
        <v>1015</v>
      </c>
      <c r="B85" s="2005">
        <f>SUM(B71:B84)</f>
        <v>392</v>
      </c>
      <c r="C85" s="2005">
        <f>SUM(C71:C84)</f>
        <v>420</v>
      </c>
      <c r="D85" s="2006">
        <f t="shared" si="39"/>
        <v>7.1428571428571425E-2</v>
      </c>
      <c r="E85" s="2005">
        <f>SUM(E71:E84)</f>
        <v>420</v>
      </c>
      <c r="F85" s="2006">
        <f t="shared" si="40"/>
        <v>0</v>
      </c>
      <c r="G85" s="2005">
        <f>SUM(G71:G84)</f>
        <v>409</v>
      </c>
      <c r="H85" s="462">
        <f t="shared" si="41"/>
        <v>-2.6190476190476191E-2</v>
      </c>
      <c r="I85" s="2005">
        <f>SUM(I71:I84)</f>
        <v>400</v>
      </c>
      <c r="J85" s="462">
        <f t="shared" si="42"/>
        <v>-2.2004889975550123E-2</v>
      </c>
      <c r="K85" s="2005">
        <f>SUM(K71:K84)</f>
        <v>376</v>
      </c>
      <c r="L85" s="462">
        <f t="shared" si="43"/>
        <v>-0.06</v>
      </c>
      <c r="M85" s="2005">
        <f>SUM(M71:M84)</f>
        <v>385</v>
      </c>
      <c r="N85" s="462">
        <f t="shared" si="44"/>
        <v>2.3936170212765957E-2</v>
      </c>
      <c r="O85" s="2005">
        <f>SUM(O71:O84)</f>
        <v>365</v>
      </c>
      <c r="P85" s="462">
        <f t="shared" si="45"/>
        <v>-5.1948051948051951E-2</v>
      </c>
      <c r="Q85" s="2005">
        <f>SUM(Q71:Q84)</f>
        <v>334</v>
      </c>
      <c r="R85" s="1558">
        <f t="shared" si="46"/>
        <v>-8.4931506849315067E-2</v>
      </c>
    </row>
    <row r="86" spans="1:18" ht="17.25" customHeight="1" x14ac:dyDescent="0.3">
      <c r="A86" s="459" t="s">
        <v>425</v>
      </c>
      <c r="B86" s="2003"/>
      <c r="C86" s="2003"/>
      <c r="D86" s="2004"/>
      <c r="E86" s="2003"/>
      <c r="F86" s="2004"/>
      <c r="G86" s="2003"/>
      <c r="H86" s="460"/>
      <c r="I86" s="2003"/>
      <c r="J86" s="460"/>
      <c r="K86" s="2003"/>
      <c r="L86" s="460"/>
      <c r="M86" s="2003"/>
      <c r="N86" s="460"/>
      <c r="O86" s="2003"/>
      <c r="P86" s="460"/>
      <c r="Q86" s="2003"/>
      <c r="R86" s="1559"/>
    </row>
    <row r="87" spans="1:18" ht="17.25" customHeight="1" x14ac:dyDescent="0.3">
      <c r="A87" s="461" t="s">
        <v>611</v>
      </c>
      <c r="B87" s="2005">
        <v>24</v>
      </c>
      <c r="C87" s="2005">
        <v>32</v>
      </c>
      <c r="D87" s="2006">
        <f t="shared" ref="D87:D94" si="47">IF(B87&gt;0,(C87-B87)/B87,(IF(C87=0,"N/A",100%)))</f>
        <v>0.33333333333333331</v>
      </c>
      <c r="E87" s="2005">
        <v>40</v>
      </c>
      <c r="F87" s="2006">
        <f t="shared" ref="F87:F94" si="48">IF(C87&gt;0,(E87-C87)/C87,(IF(E87=0,"N/A",100%)))</f>
        <v>0.25</v>
      </c>
      <c r="G87" s="2005">
        <v>36</v>
      </c>
      <c r="H87" s="462">
        <f t="shared" ref="H87:H94" si="49">IF(E87&gt;0,(G87-E87)/E87,(IF(G87=0,"N/A",100%)))</f>
        <v>-0.1</v>
      </c>
      <c r="I87" s="2005">
        <v>36</v>
      </c>
      <c r="J87" s="462">
        <f t="shared" ref="J87:J94" si="50">IF(G87&gt;0,(I87-G87)/G87,(IF(I87=0,"N/A",100%)))</f>
        <v>0</v>
      </c>
      <c r="K87" s="2005">
        <v>34</v>
      </c>
      <c r="L87" s="462">
        <f t="shared" ref="L87:L94" si="51">IF(I87&gt;0,(K87-I87)/I87,(IF(K87=0,"N/A",100%)))</f>
        <v>-5.5555555555555552E-2</v>
      </c>
      <c r="M87" s="2005">
        <v>10</v>
      </c>
      <c r="N87" s="462">
        <f t="shared" ref="N87:N94" si="52">IF(K87&gt;0,(M87-K87)/K87,(IF(M87=0,"N/A",100%)))</f>
        <v>-0.70588235294117652</v>
      </c>
      <c r="O87" s="2005">
        <v>7</v>
      </c>
      <c r="P87" s="462">
        <f t="shared" ref="P87:P94" si="53">IF(M87&gt;0,(O87-M87)/M87,(IF(O87=0,"N/A",100%)))</f>
        <v>-0.3</v>
      </c>
      <c r="Q87" s="2005">
        <v>1</v>
      </c>
      <c r="R87" s="1558">
        <f t="shared" ref="R87:R94" si="54">IF(O87&gt;0,(Q87-O87)/O87,(IF(Q87=0,"N/A",100%)))</f>
        <v>-0.8571428571428571</v>
      </c>
    </row>
    <row r="88" spans="1:18" ht="17.25" customHeight="1" x14ac:dyDescent="0.3">
      <c r="A88" s="461" t="s">
        <v>1196</v>
      </c>
      <c r="B88" s="2005">
        <v>121</v>
      </c>
      <c r="C88" s="2005">
        <v>128</v>
      </c>
      <c r="D88" s="2006">
        <f t="shared" si="47"/>
        <v>5.7851239669421489E-2</v>
      </c>
      <c r="E88" s="2005">
        <v>149</v>
      </c>
      <c r="F88" s="2006">
        <f t="shared" si="48"/>
        <v>0.1640625</v>
      </c>
      <c r="G88" s="2005">
        <v>195</v>
      </c>
      <c r="H88" s="462">
        <f t="shared" si="49"/>
        <v>0.3087248322147651</v>
      </c>
      <c r="I88" s="2005">
        <v>191</v>
      </c>
      <c r="J88" s="462">
        <f t="shared" si="50"/>
        <v>-2.0512820512820513E-2</v>
      </c>
      <c r="K88" s="2005">
        <v>196</v>
      </c>
      <c r="L88" s="462">
        <f t="shared" si="51"/>
        <v>2.6178010471204188E-2</v>
      </c>
      <c r="M88" s="2005">
        <v>210</v>
      </c>
      <c r="N88" s="462">
        <f t="shared" si="52"/>
        <v>7.1428571428571425E-2</v>
      </c>
      <c r="O88" s="2005">
        <v>206</v>
      </c>
      <c r="P88" s="462">
        <f t="shared" si="53"/>
        <v>-1.9047619047619049E-2</v>
      </c>
      <c r="Q88" s="2005">
        <v>190</v>
      </c>
      <c r="R88" s="1558">
        <f t="shared" si="54"/>
        <v>-7.7669902912621352E-2</v>
      </c>
    </row>
    <row r="89" spans="1:18" ht="17.25" customHeight="1" x14ac:dyDescent="0.3">
      <c r="A89" s="461" t="s">
        <v>1197</v>
      </c>
      <c r="B89" s="2005">
        <v>0</v>
      </c>
      <c r="C89" s="2005">
        <v>0</v>
      </c>
      <c r="D89" s="2006" t="str">
        <f t="shared" si="47"/>
        <v>N/A</v>
      </c>
      <c r="E89" s="2005">
        <v>0</v>
      </c>
      <c r="F89" s="2006" t="str">
        <f t="shared" si="48"/>
        <v>N/A</v>
      </c>
      <c r="G89" s="2005">
        <v>0</v>
      </c>
      <c r="H89" s="462" t="str">
        <f t="shared" si="49"/>
        <v>N/A</v>
      </c>
      <c r="I89" s="2005">
        <v>0</v>
      </c>
      <c r="J89" s="462" t="str">
        <f t="shared" si="50"/>
        <v>N/A</v>
      </c>
      <c r="K89" s="2005">
        <v>0</v>
      </c>
      <c r="L89" s="462" t="str">
        <f t="shared" si="51"/>
        <v>N/A</v>
      </c>
      <c r="M89" s="2005">
        <v>0</v>
      </c>
      <c r="N89" s="462" t="str">
        <f t="shared" si="52"/>
        <v>N/A</v>
      </c>
      <c r="O89" s="2005">
        <v>0</v>
      </c>
      <c r="P89" s="462" t="str">
        <f t="shared" si="53"/>
        <v>N/A</v>
      </c>
      <c r="Q89" s="2005">
        <v>0</v>
      </c>
      <c r="R89" s="1558" t="str">
        <f t="shared" si="54"/>
        <v>N/A</v>
      </c>
    </row>
    <row r="90" spans="1:18" ht="17.25" customHeight="1" x14ac:dyDescent="0.3">
      <c r="A90" s="461" t="s">
        <v>1147</v>
      </c>
      <c r="B90" s="2005">
        <v>0</v>
      </c>
      <c r="C90" s="2005">
        <v>0</v>
      </c>
      <c r="D90" s="2006" t="str">
        <f t="shared" si="47"/>
        <v>N/A</v>
      </c>
      <c r="E90" s="2005">
        <v>0</v>
      </c>
      <c r="F90" s="2006" t="str">
        <f t="shared" si="48"/>
        <v>N/A</v>
      </c>
      <c r="G90" s="2005">
        <v>0</v>
      </c>
      <c r="H90" s="462" t="str">
        <f t="shared" si="49"/>
        <v>N/A</v>
      </c>
      <c r="I90" s="2005">
        <v>0</v>
      </c>
      <c r="J90" s="462" t="str">
        <f t="shared" si="50"/>
        <v>N/A</v>
      </c>
      <c r="K90" s="2005">
        <v>0</v>
      </c>
      <c r="L90" s="462" t="str">
        <f t="shared" si="51"/>
        <v>N/A</v>
      </c>
      <c r="M90" s="2005">
        <v>0</v>
      </c>
      <c r="N90" s="462" t="str">
        <f t="shared" si="52"/>
        <v>N/A</v>
      </c>
      <c r="O90" s="2005">
        <v>0</v>
      </c>
      <c r="P90" s="462" t="str">
        <f t="shared" si="53"/>
        <v>N/A</v>
      </c>
      <c r="Q90" s="2005">
        <v>0</v>
      </c>
      <c r="R90" s="1558" t="str">
        <f t="shared" si="54"/>
        <v>N/A</v>
      </c>
    </row>
    <row r="91" spans="1:18" ht="17.25" customHeight="1" x14ac:dyDescent="0.3">
      <c r="A91" s="461" t="s">
        <v>1148</v>
      </c>
      <c r="B91" s="2005">
        <v>0</v>
      </c>
      <c r="C91" s="2005">
        <v>0</v>
      </c>
      <c r="D91" s="2006" t="str">
        <f t="shared" si="47"/>
        <v>N/A</v>
      </c>
      <c r="E91" s="2005">
        <v>0</v>
      </c>
      <c r="F91" s="2006" t="str">
        <f t="shared" si="48"/>
        <v>N/A</v>
      </c>
      <c r="G91" s="2005">
        <v>0</v>
      </c>
      <c r="H91" s="462" t="str">
        <f t="shared" si="49"/>
        <v>N/A</v>
      </c>
      <c r="I91" s="2005">
        <v>0</v>
      </c>
      <c r="J91" s="462" t="str">
        <f t="shared" si="50"/>
        <v>N/A</v>
      </c>
      <c r="K91" s="2005">
        <v>0</v>
      </c>
      <c r="L91" s="462" t="str">
        <f t="shared" si="51"/>
        <v>N/A</v>
      </c>
      <c r="M91" s="2005">
        <v>0</v>
      </c>
      <c r="N91" s="462" t="str">
        <f t="shared" si="52"/>
        <v>N/A</v>
      </c>
      <c r="O91" s="2005">
        <v>0</v>
      </c>
      <c r="P91" s="462" t="str">
        <f t="shared" si="53"/>
        <v>N/A</v>
      </c>
      <c r="Q91" s="2005">
        <v>0</v>
      </c>
      <c r="R91" s="1558" t="str">
        <f t="shared" si="54"/>
        <v>N/A</v>
      </c>
    </row>
    <row r="92" spans="1:18" ht="17.25" customHeight="1" x14ac:dyDescent="0.3">
      <c r="A92" s="461" t="s">
        <v>1150</v>
      </c>
      <c r="B92" s="2005">
        <v>50</v>
      </c>
      <c r="C92" s="2005">
        <v>50</v>
      </c>
      <c r="D92" s="2006">
        <f t="shared" si="47"/>
        <v>0</v>
      </c>
      <c r="E92" s="2005">
        <v>59</v>
      </c>
      <c r="F92" s="2006">
        <f t="shared" si="48"/>
        <v>0.18</v>
      </c>
      <c r="G92" s="2005">
        <v>52</v>
      </c>
      <c r="H92" s="462">
        <f t="shared" si="49"/>
        <v>-0.11864406779661017</v>
      </c>
      <c r="I92" s="2005">
        <v>44</v>
      </c>
      <c r="J92" s="462">
        <f t="shared" si="50"/>
        <v>-0.15384615384615385</v>
      </c>
      <c r="K92" s="2005">
        <v>37</v>
      </c>
      <c r="L92" s="462">
        <f t="shared" si="51"/>
        <v>-0.15909090909090909</v>
      </c>
      <c r="M92" s="2005">
        <v>36</v>
      </c>
      <c r="N92" s="462">
        <f t="shared" si="52"/>
        <v>-2.7027027027027029E-2</v>
      </c>
      <c r="O92" s="2005">
        <v>42</v>
      </c>
      <c r="P92" s="462">
        <f t="shared" si="53"/>
        <v>0.16666666666666666</v>
      </c>
      <c r="Q92" s="2005">
        <v>32</v>
      </c>
      <c r="R92" s="1558">
        <f t="shared" si="54"/>
        <v>-0.23809523809523808</v>
      </c>
    </row>
    <row r="93" spans="1:18" ht="17.25" customHeight="1" x14ac:dyDescent="0.3">
      <c r="A93" s="461" t="s">
        <v>25</v>
      </c>
      <c r="B93" s="2005">
        <v>0</v>
      </c>
      <c r="C93" s="2005">
        <v>0</v>
      </c>
      <c r="D93" s="2006" t="str">
        <f t="shared" si="47"/>
        <v>N/A</v>
      </c>
      <c r="E93" s="2005">
        <v>0</v>
      </c>
      <c r="F93" s="2006" t="str">
        <f t="shared" si="48"/>
        <v>N/A</v>
      </c>
      <c r="G93" s="2005">
        <v>0</v>
      </c>
      <c r="H93" s="462" t="str">
        <f t="shared" si="49"/>
        <v>N/A</v>
      </c>
      <c r="I93" s="2005">
        <v>0</v>
      </c>
      <c r="J93" s="462" t="str">
        <f t="shared" si="50"/>
        <v>N/A</v>
      </c>
      <c r="K93" s="2005">
        <v>0</v>
      </c>
      <c r="L93" s="462" t="str">
        <f t="shared" si="51"/>
        <v>N/A</v>
      </c>
      <c r="M93" s="2005">
        <v>0</v>
      </c>
      <c r="N93" s="462" t="str">
        <f t="shared" si="52"/>
        <v>N/A</v>
      </c>
      <c r="O93" s="2005">
        <v>0</v>
      </c>
      <c r="P93" s="462" t="str">
        <f t="shared" si="53"/>
        <v>N/A</v>
      </c>
      <c r="Q93" s="2005">
        <v>0</v>
      </c>
      <c r="R93" s="1558" t="str">
        <f t="shared" si="54"/>
        <v>N/A</v>
      </c>
    </row>
    <row r="94" spans="1:18" ht="17.25" customHeight="1" x14ac:dyDescent="0.3">
      <c r="A94" s="465" t="s">
        <v>1015</v>
      </c>
      <c r="B94" s="2005">
        <f>SUM(B87:B93)</f>
        <v>195</v>
      </c>
      <c r="C94" s="2005">
        <f>SUM(C87:C93)</f>
        <v>210</v>
      </c>
      <c r="D94" s="2006">
        <f t="shared" si="47"/>
        <v>7.6923076923076927E-2</v>
      </c>
      <c r="E94" s="2005">
        <f>SUM(E87:E93)</f>
        <v>248</v>
      </c>
      <c r="F94" s="2006">
        <f t="shared" si="48"/>
        <v>0.18095238095238095</v>
      </c>
      <c r="G94" s="2005">
        <f>SUM(G87:G93)</f>
        <v>283</v>
      </c>
      <c r="H94" s="462">
        <f t="shared" si="49"/>
        <v>0.14112903225806453</v>
      </c>
      <c r="I94" s="2005">
        <f>SUM(I87:I93)</f>
        <v>271</v>
      </c>
      <c r="J94" s="462">
        <f t="shared" si="50"/>
        <v>-4.2402826855123678E-2</v>
      </c>
      <c r="K94" s="2005">
        <f>SUM(K87:K93)</f>
        <v>267</v>
      </c>
      <c r="L94" s="462">
        <f t="shared" si="51"/>
        <v>-1.4760147601476014E-2</v>
      </c>
      <c r="M94" s="2005">
        <f>SUM(M87:M93)</f>
        <v>256</v>
      </c>
      <c r="N94" s="462">
        <f t="shared" si="52"/>
        <v>-4.1198501872659173E-2</v>
      </c>
      <c r="O94" s="2005">
        <f>SUM(O87:O93)</f>
        <v>255</v>
      </c>
      <c r="P94" s="462">
        <f t="shared" si="53"/>
        <v>-3.90625E-3</v>
      </c>
      <c r="Q94" s="2005">
        <f>SUM(Q87:Q93)</f>
        <v>223</v>
      </c>
      <c r="R94" s="1558">
        <f t="shared" si="54"/>
        <v>-0.12549019607843137</v>
      </c>
    </row>
    <row r="95" spans="1:18" ht="17.25" customHeight="1" x14ac:dyDescent="0.3">
      <c r="A95" s="459" t="s">
        <v>426</v>
      </c>
      <c r="B95" s="2003"/>
      <c r="C95" s="2003"/>
      <c r="D95" s="2004"/>
      <c r="E95" s="2003"/>
      <c r="F95" s="2004"/>
      <c r="G95" s="2003"/>
      <c r="H95" s="460"/>
      <c r="I95" s="2003"/>
      <c r="J95" s="460"/>
      <c r="K95" s="2003"/>
      <c r="L95" s="460"/>
      <c r="M95" s="2003"/>
      <c r="N95" s="460"/>
      <c r="O95" s="2003"/>
      <c r="P95" s="460"/>
      <c r="Q95" s="2003"/>
      <c r="R95" s="1559"/>
    </row>
    <row r="96" spans="1:18" ht="17.25" customHeight="1" x14ac:dyDescent="0.3">
      <c r="A96" s="461" t="s">
        <v>1101</v>
      </c>
      <c r="B96" s="2005">
        <v>61</v>
      </c>
      <c r="C96" s="2005">
        <v>51</v>
      </c>
      <c r="D96" s="2006">
        <f t="shared" ref="D96:D103" si="55">IF(B96&gt;0,(C96-B96)/B96,(IF(C96=0,"N/A",100%)))</f>
        <v>-0.16393442622950818</v>
      </c>
      <c r="E96" s="2005">
        <v>72</v>
      </c>
      <c r="F96" s="2006">
        <f t="shared" ref="F96:F103" si="56">IF(C96&gt;0,(E96-C96)/C96,(IF(E96=0,"N/A",100%)))</f>
        <v>0.41176470588235292</v>
      </c>
      <c r="G96" s="2005">
        <v>74</v>
      </c>
      <c r="H96" s="462">
        <f t="shared" ref="H96:H103" si="57">IF(E96&gt;0,(G96-E96)/E96,(IF(G96=0,"N/A",100%)))</f>
        <v>2.7777777777777776E-2</v>
      </c>
      <c r="I96" s="2005">
        <v>133</v>
      </c>
      <c r="J96" s="462">
        <f t="shared" ref="J96:J103" si="58">IF(G96&gt;0,(I96-G96)/G96,(IF(I96=0,"N/A",100%)))</f>
        <v>0.79729729729729726</v>
      </c>
      <c r="K96" s="2005">
        <v>133</v>
      </c>
      <c r="L96" s="463">
        <f t="shared" ref="L96:L103" si="59">IF(I96&gt;0,(K96-I96)/I96,(IF(K96=0,"N/A",100%)))</f>
        <v>0</v>
      </c>
      <c r="M96" s="2005">
        <v>134</v>
      </c>
      <c r="N96" s="463">
        <f t="shared" ref="N96:N103" si="60">IF(K96&gt;0,(M96-K96)/K96,(IF(M96=0,"N/A",100%)))</f>
        <v>7.5187969924812026E-3</v>
      </c>
      <c r="O96" s="2005">
        <v>140</v>
      </c>
      <c r="P96" s="462">
        <f t="shared" ref="P96:P103" si="61">IF(M96&gt;0,(O96-M96)/M96,(IF(O96=0,"N/A",100%)))</f>
        <v>4.4776119402985072E-2</v>
      </c>
      <c r="Q96" s="2005">
        <v>128</v>
      </c>
      <c r="R96" s="1558">
        <f t="shared" ref="R96:R103" si="62">IF(O96&gt;0,(Q96-O96)/O96,(IF(Q96=0,"N/A",100%)))</f>
        <v>-8.5714285714285715E-2</v>
      </c>
    </row>
    <row r="97" spans="1:18" ht="17.25" customHeight="1" x14ac:dyDescent="0.3">
      <c r="A97" s="461" t="s">
        <v>1134</v>
      </c>
      <c r="B97" s="2005">
        <v>5</v>
      </c>
      <c r="C97" s="2005">
        <v>12</v>
      </c>
      <c r="D97" s="2006">
        <f t="shared" si="55"/>
        <v>1.4</v>
      </c>
      <c r="E97" s="2005">
        <v>7</v>
      </c>
      <c r="F97" s="2006">
        <f t="shared" si="56"/>
        <v>-0.41666666666666669</v>
      </c>
      <c r="G97" s="2005">
        <v>14</v>
      </c>
      <c r="H97" s="462">
        <f t="shared" si="57"/>
        <v>1</v>
      </c>
      <c r="I97" s="2005">
        <v>4</v>
      </c>
      <c r="J97" s="462">
        <f t="shared" si="58"/>
        <v>-0.7142857142857143</v>
      </c>
      <c r="K97" s="2005">
        <v>1</v>
      </c>
      <c r="L97" s="462">
        <f t="shared" si="59"/>
        <v>-0.75</v>
      </c>
      <c r="M97" s="1496">
        <v>1</v>
      </c>
      <c r="N97" s="463">
        <f t="shared" si="60"/>
        <v>0</v>
      </c>
      <c r="O97" s="1496">
        <v>0</v>
      </c>
      <c r="P97" s="463">
        <f t="shared" si="61"/>
        <v>-1</v>
      </c>
      <c r="Q97" s="1496">
        <v>0</v>
      </c>
      <c r="R97" s="1560" t="str">
        <f t="shared" si="62"/>
        <v>N/A</v>
      </c>
    </row>
    <row r="98" spans="1:18" ht="17.25" customHeight="1" x14ac:dyDescent="0.3">
      <c r="A98" s="461" t="s">
        <v>1102</v>
      </c>
      <c r="B98" s="2005">
        <v>1</v>
      </c>
      <c r="C98" s="2005">
        <v>4</v>
      </c>
      <c r="D98" s="2006">
        <f t="shared" si="55"/>
        <v>3</v>
      </c>
      <c r="E98" s="2005">
        <v>0</v>
      </c>
      <c r="F98" s="2006">
        <f t="shared" si="56"/>
        <v>-1</v>
      </c>
      <c r="G98" s="2005">
        <v>0</v>
      </c>
      <c r="H98" s="462" t="str">
        <f t="shared" si="57"/>
        <v>N/A</v>
      </c>
      <c r="I98" s="2005">
        <v>0</v>
      </c>
      <c r="J98" s="462" t="str">
        <f t="shared" si="58"/>
        <v>N/A</v>
      </c>
      <c r="K98" s="2005">
        <v>0</v>
      </c>
      <c r="L98" s="462" t="str">
        <f t="shared" si="59"/>
        <v>N/A</v>
      </c>
      <c r="M98" s="1496">
        <v>0</v>
      </c>
      <c r="N98" s="463" t="str">
        <f t="shared" si="60"/>
        <v>N/A</v>
      </c>
      <c r="O98" s="1496">
        <v>0</v>
      </c>
      <c r="P98" s="463" t="str">
        <f t="shared" si="61"/>
        <v>N/A</v>
      </c>
      <c r="Q98" s="1496">
        <v>0</v>
      </c>
      <c r="R98" s="1560" t="str">
        <f t="shared" si="62"/>
        <v>N/A</v>
      </c>
    </row>
    <row r="99" spans="1:18" ht="17.25" customHeight="1" x14ac:dyDescent="0.3">
      <c r="A99" s="461" t="s">
        <v>1103</v>
      </c>
      <c r="B99" s="2005">
        <v>51</v>
      </c>
      <c r="C99" s="2005">
        <v>51</v>
      </c>
      <c r="D99" s="2006">
        <f t="shared" si="55"/>
        <v>0</v>
      </c>
      <c r="E99" s="2005">
        <v>71</v>
      </c>
      <c r="F99" s="2006">
        <f t="shared" si="56"/>
        <v>0.39215686274509803</v>
      </c>
      <c r="G99" s="2005">
        <v>74</v>
      </c>
      <c r="H99" s="462">
        <f t="shared" si="57"/>
        <v>4.2253521126760563E-2</v>
      </c>
      <c r="I99" s="2005">
        <v>30</v>
      </c>
      <c r="J99" s="462">
        <f t="shared" si="58"/>
        <v>-0.59459459459459463</v>
      </c>
      <c r="K99" s="2005">
        <v>13</v>
      </c>
      <c r="L99" s="1154">
        <f t="shared" si="59"/>
        <v>-0.56666666666666665</v>
      </c>
      <c r="M99" s="1496">
        <v>7</v>
      </c>
      <c r="N99" s="463">
        <f t="shared" si="60"/>
        <v>-0.46153846153846156</v>
      </c>
      <c r="O99" s="1496">
        <v>1</v>
      </c>
      <c r="P99" s="463">
        <f t="shared" si="61"/>
        <v>-0.8571428571428571</v>
      </c>
      <c r="Q99" s="1496">
        <v>1</v>
      </c>
      <c r="R99" s="1560">
        <f t="shared" si="62"/>
        <v>0</v>
      </c>
    </row>
    <row r="100" spans="1:18" ht="17.25" customHeight="1" x14ac:dyDescent="0.3">
      <c r="A100" s="461" t="s">
        <v>1104</v>
      </c>
      <c r="B100" s="2005">
        <v>7</v>
      </c>
      <c r="C100" s="2005">
        <v>9</v>
      </c>
      <c r="D100" s="2006">
        <f t="shared" si="55"/>
        <v>0.2857142857142857</v>
      </c>
      <c r="E100" s="2005">
        <v>2</v>
      </c>
      <c r="F100" s="2006">
        <f t="shared" si="56"/>
        <v>-0.77777777777777779</v>
      </c>
      <c r="G100" s="2005">
        <v>0</v>
      </c>
      <c r="H100" s="462">
        <f t="shared" si="57"/>
        <v>-1</v>
      </c>
      <c r="I100" s="2005">
        <v>0</v>
      </c>
      <c r="J100" s="462" t="str">
        <f t="shared" si="58"/>
        <v>N/A</v>
      </c>
      <c r="K100" s="2005">
        <v>0</v>
      </c>
      <c r="L100" s="462" t="str">
        <f t="shared" si="59"/>
        <v>N/A</v>
      </c>
      <c r="M100" s="1496">
        <v>0</v>
      </c>
      <c r="N100" s="463" t="str">
        <f t="shared" si="60"/>
        <v>N/A</v>
      </c>
      <c r="O100" s="1496">
        <v>0</v>
      </c>
      <c r="P100" s="463" t="str">
        <f t="shared" si="61"/>
        <v>N/A</v>
      </c>
      <c r="Q100" s="1496">
        <v>0</v>
      </c>
      <c r="R100" s="1560" t="str">
        <f t="shared" si="62"/>
        <v>N/A</v>
      </c>
    </row>
    <row r="101" spans="1:18" ht="17.25" hidden="1" customHeight="1" x14ac:dyDescent="0.3">
      <c r="A101" s="461" t="s">
        <v>754</v>
      </c>
      <c r="B101" s="2005">
        <v>0</v>
      </c>
      <c r="C101" s="2005">
        <v>0</v>
      </c>
      <c r="D101" s="2006" t="str">
        <f t="shared" si="55"/>
        <v>N/A</v>
      </c>
      <c r="E101" s="2005">
        <v>0</v>
      </c>
      <c r="F101" s="2006" t="str">
        <f t="shared" si="56"/>
        <v>N/A</v>
      </c>
      <c r="G101" s="2005">
        <v>0</v>
      </c>
      <c r="H101" s="462" t="str">
        <f t="shared" si="57"/>
        <v>N/A</v>
      </c>
      <c r="I101" s="2005">
        <v>0</v>
      </c>
      <c r="J101" s="462" t="str">
        <f t="shared" si="58"/>
        <v>N/A</v>
      </c>
      <c r="K101" s="2005">
        <v>0</v>
      </c>
      <c r="L101" s="462" t="str">
        <f t="shared" si="59"/>
        <v>N/A</v>
      </c>
      <c r="M101" s="1496">
        <v>0</v>
      </c>
      <c r="N101" s="463" t="str">
        <f t="shared" si="60"/>
        <v>N/A</v>
      </c>
      <c r="O101" s="1496">
        <v>0</v>
      </c>
      <c r="P101" s="463" t="str">
        <f t="shared" si="61"/>
        <v>N/A</v>
      </c>
      <c r="Q101" s="1496">
        <v>0</v>
      </c>
      <c r="R101" s="1560" t="str">
        <f t="shared" si="62"/>
        <v>N/A</v>
      </c>
    </row>
    <row r="102" spans="1:18" ht="17.25" customHeight="1" x14ac:dyDescent="0.3">
      <c r="A102" s="465" t="s">
        <v>1015</v>
      </c>
      <c r="B102" s="2005">
        <f>SUM(B96:B101)</f>
        <v>125</v>
      </c>
      <c r="C102" s="2005">
        <f>SUM(C96:C101)</f>
        <v>127</v>
      </c>
      <c r="D102" s="2006">
        <f t="shared" si="55"/>
        <v>1.6E-2</v>
      </c>
      <c r="E102" s="2005">
        <f>SUM(E96:E101)</f>
        <v>152</v>
      </c>
      <c r="F102" s="2006">
        <f t="shared" si="56"/>
        <v>0.19685039370078741</v>
      </c>
      <c r="G102" s="2005">
        <f>SUM(G96:G101)</f>
        <v>162</v>
      </c>
      <c r="H102" s="462">
        <f t="shared" si="57"/>
        <v>6.5789473684210523E-2</v>
      </c>
      <c r="I102" s="2005">
        <f>SUM(I96:I101)</f>
        <v>167</v>
      </c>
      <c r="J102" s="462">
        <f t="shared" si="58"/>
        <v>3.0864197530864196E-2</v>
      </c>
      <c r="K102" s="2005">
        <f>SUM(K96:K101)</f>
        <v>147</v>
      </c>
      <c r="L102" s="462">
        <f t="shared" si="59"/>
        <v>-0.11976047904191617</v>
      </c>
      <c r="M102" s="1496">
        <f>SUM(M96:M101)</f>
        <v>142</v>
      </c>
      <c r="N102" s="463">
        <f t="shared" si="60"/>
        <v>-3.4013605442176874E-2</v>
      </c>
      <c r="O102" s="1496">
        <f>SUM(O96:O101)</f>
        <v>141</v>
      </c>
      <c r="P102" s="463">
        <f t="shared" si="61"/>
        <v>-7.0422535211267607E-3</v>
      </c>
      <c r="Q102" s="1496">
        <f>SUM(Q96:Q101)</f>
        <v>129</v>
      </c>
      <c r="R102" s="1560">
        <f t="shared" si="62"/>
        <v>-8.5106382978723402E-2</v>
      </c>
    </row>
    <row r="103" spans="1:18" ht="17.25" customHeight="1" thickBot="1" x14ac:dyDescent="0.35">
      <c r="A103" s="2013" t="s">
        <v>427</v>
      </c>
      <c r="B103" s="468">
        <f>+B102+B94+B85</f>
        <v>712</v>
      </c>
      <c r="C103" s="468">
        <f>+C102+C94+C85</f>
        <v>757</v>
      </c>
      <c r="D103" s="587">
        <f t="shared" si="55"/>
        <v>6.3202247191011238E-2</v>
      </c>
      <c r="E103" s="468">
        <f>+E102+E94+E85</f>
        <v>820</v>
      </c>
      <c r="F103" s="587">
        <f t="shared" si="56"/>
        <v>8.3223249669749005E-2</v>
      </c>
      <c r="G103" s="468">
        <f>+G102+G94+G85</f>
        <v>854</v>
      </c>
      <c r="H103" s="473">
        <f t="shared" si="57"/>
        <v>4.1463414634146344E-2</v>
      </c>
      <c r="I103" s="468">
        <f>+I102+I94+I85</f>
        <v>838</v>
      </c>
      <c r="J103" s="473">
        <f t="shared" si="58"/>
        <v>-1.873536299765808E-2</v>
      </c>
      <c r="K103" s="468">
        <f>+K102+K94+K85</f>
        <v>790</v>
      </c>
      <c r="L103" s="473">
        <f t="shared" si="59"/>
        <v>-5.7279236276849645E-2</v>
      </c>
      <c r="M103" s="468">
        <f>+M102+M94+M85</f>
        <v>783</v>
      </c>
      <c r="N103" s="473">
        <f t="shared" si="60"/>
        <v>-8.8607594936708865E-3</v>
      </c>
      <c r="O103" s="468">
        <f>+O102+O94+O85</f>
        <v>761</v>
      </c>
      <c r="P103" s="473">
        <f t="shared" si="61"/>
        <v>-2.8097062579821201E-2</v>
      </c>
      <c r="Q103" s="468">
        <f>+Q102+Q94+Q85</f>
        <v>686</v>
      </c>
      <c r="R103" s="2014">
        <f t="shared" si="62"/>
        <v>-9.8554533508541389E-2</v>
      </c>
    </row>
    <row r="104" spans="1:18" ht="18.75" customHeight="1" thickTop="1" thickBot="1" x14ac:dyDescent="0.35">
      <c r="A104" s="2182" t="s">
        <v>428</v>
      </c>
      <c r="B104" s="2183"/>
      <c r="C104" s="2183"/>
      <c r="D104" s="2183"/>
      <c r="E104" s="2183"/>
      <c r="F104" s="2183"/>
      <c r="G104" s="2183"/>
      <c r="H104" s="2183"/>
      <c r="I104" s="2183"/>
      <c r="J104" s="2183"/>
      <c r="K104" s="2183"/>
      <c r="L104" s="2183"/>
      <c r="M104" s="2183"/>
      <c r="N104" s="2183"/>
      <c r="O104" s="2183"/>
      <c r="P104" s="2183"/>
      <c r="Q104" s="2183"/>
      <c r="R104" s="2184"/>
    </row>
    <row r="105" spans="1:18" ht="20.25" customHeight="1" thickTop="1" x14ac:dyDescent="0.3">
      <c r="A105" s="666" t="s">
        <v>410</v>
      </c>
      <c r="B105" s="2001">
        <v>2008</v>
      </c>
      <c r="C105" s="2001">
        <f>B105+1</f>
        <v>2009</v>
      </c>
      <c r="D105" s="2002" t="s">
        <v>1100</v>
      </c>
      <c r="E105" s="2001">
        <f>C105+1</f>
        <v>2010</v>
      </c>
      <c r="F105" s="2002" t="s">
        <v>1100</v>
      </c>
      <c r="G105" s="2001">
        <f>E105+1</f>
        <v>2011</v>
      </c>
      <c r="H105" s="667" t="s">
        <v>1100</v>
      </c>
      <c r="I105" s="2001">
        <f>G105+1</f>
        <v>2012</v>
      </c>
      <c r="J105" s="667" t="s">
        <v>1100</v>
      </c>
      <c r="K105" s="2001">
        <v>2013</v>
      </c>
      <c r="L105" s="667" t="s">
        <v>1100</v>
      </c>
      <c r="M105" s="2001">
        <v>2014</v>
      </c>
      <c r="N105" s="667" t="s">
        <v>1100</v>
      </c>
      <c r="O105" s="1994">
        <v>2015</v>
      </c>
      <c r="P105" s="667" t="s">
        <v>1100</v>
      </c>
      <c r="Q105" s="2001">
        <v>2016</v>
      </c>
      <c r="R105" s="1562" t="s">
        <v>1100</v>
      </c>
    </row>
    <row r="106" spans="1:18" ht="17.25" customHeight="1" x14ac:dyDescent="0.3">
      <c r="A106" s="469" t="s">
        <v>1638</v>
      </c>
      <c r="B106" s="1495"/>
      <c r="C106" s="1495"/>
      <c r="D106" s="470"/>
      <c r="E106" s="1495"/>
      <c r="F106" s="470"/>
      <c r="G106" s="1495"/>
      <c r="H106" s="470"/>
      <c r="I106" s="1495"/>
      <c r="J106" s="470"/>
      <c r="K106" s="1495"/>
      <c r="L106" s="470"/>
      <c r="M106" s="1495"/>
      <c r="N106" s="470"/>
      <c r="O106" s="1925"/>
      <c r="P106" s="470"/>
      <c r="Q106" s="1495"/>
      <c r="R106" s="472"/>
    </row>
    <row r="107" spans="1:18" ht="17.25" customHeight="1" x14ac:dyDescent="0.3">
      <c r="A107" s="461" t="s">
        <v>1151</v>
      </c>
      <c r="B107" s="2005">
        <v>66</v>
      </c>
      <c r="C107" s="2005">
        <v>95</v>
      </c>
      <c r="D107" s="2006">
        <f t="shared" ref="D107:D113" si="63">IF(B107&gt;0,(C107-B107)/B107,(IF(C107=0,"N/A",100%)))</f>
        <v>0.43939393939393939</v>
      </c>
      <c r="E107" s="2005">
        <v>95</v>
      </c>
      <c r="F107" s="2006">
        <f t="shared" ref="F107:F113" si="64">IF(C107&gt;0,(E107-C107)/C107,(IF(E107=0,"N/A",100%)))</f>
        <v>0</v>
      </c>
      <c r="G107" s="2005">
        <v>83</v>
      </c>
      <c r="H107" s="462">
        <f t="shared" ref="H107:H113" si="65">IF(E107&gt;0,(G107-E107)/E107,(IF(G107=0,"N/A",100%)))</f>
        <v>-0.12631578947368421</v>
      </c>
      <c r="I107" s="2005">
        <v>83</v>
      </c>
      <c r="J107" s="462">
        <f t="shared" ref="J107:J113" si="66">IF(G107&gt;0,(I107-G107)/G107,(IF(I107=0,"N/A",100%)))</f>
        <v>0</v>
      </c>
      <c r="K107" s="2005">
        <v>98</v>
      </c>
      <c r="L107" s="463">
        <f t="shared" ref="L107:L113" si="67">IF(I107&gt;0,(K107-I107)/I107,(IF(K107=0,"N/A",100%)))</f>
        <v>0.18072289156626506</v>
      </c>
      <c r="M107" s="2005">
        <v>92</v>
      </c>
      <c r="N107" s="463">
        <f t="shared" ref="N107:N113" si="68">IF(K107&gt;0,(M107-K107)/K107,(IF(M107=0,"N/A",100%)))</f>
        <v>-6.1224489795918366E-2</v>
      </c>
      <c r="O107" s="1995">
        <v>81</v>
      </c>
      <c r="P107" s="463">
        <f t="shared" ref="P107:P113" si="69">IF(M107&gt;0,(O107-M107)/M107,(IF(O107=0,"N/A",100%)))</f>
        <v>-0.11956521739130435</v>
      </c>
      <c r="Q107" s="2005">
        <v>78</v>
      </c>
      <c r="R107" s="1560">
        <f t="shared" ref="R107:R113" si="70">IF(O107&gt;0,(Q107-O107)/O107,(IF(Q107=0,"N/A",100%)))</f>
        <v>-3.7037037037037035E-2</v>
      </c>
    </row>
    <row r="108" spans="1:18" ht="17.25" customHeight="1" x14ac:dyDescent="0.3">
      <c r="A108" s="461" t="s">
        <v>1156</v>
      </c>
      <c r="B108" s="2005">
        <v>34</v>
      </c>
      <c r="C108" s="2005">
        <v>33</v>
      </c>
      <c r="D108" s="2006">
        <f t="shared" si="63"/>
        <v>-2.9411764705882353E-2</v>
      </c>
      <c r="E108" s="2005">
        <v>36</v>
      </c>
      <c r="F108" s="2006">
        <f t="shared" si="64"/>
        <v>9.0909090909090912E-2</v>
      </c>
      <c r="G108" s="2005">
        <v>34</v>
      </c>
      <c r="H108" s="462">
        <f t="shared" si="65"/>
        <v>-5.5555555555555552E-2</v>
      </c>
      <c r="I108" s="2005">
        <v>35</v>
      </c>
      <c r="J108" s="462">
        <f t="shared" si="66"/>
        <v>2.9411764705882353E-2</v>
      </c>
      <c r="K108" s="2005">
        <v>33</v>
      </c>
      <c r="L108" s="462">
        <f t="shared" si="67"/>
        <v>-5.7142857142857141E-2</v>
      </c>
      <c r="M108" s="2005">
        <v>38</v>
      </c>
      <c r="N108" s="462">
        <f t="shared" si="68"/>
        <v>0.15151515151515152</v>
      </c>
      <c r="O108" s="1995">
        <v>37</v>
      </c>
      <c r="P108" s="462">
        <f t="shared" si="69"/>
        <v>-2.6315789473684209E-2</v>
      </c>
      <c r="Q108" s="2005">
        <v>44</v>
      </c>
      <c r="R108" s="1558">
        <f t="shared" si="70"/>
        <v>0.1891891891891892</v>
      </c>
    </row>
    <row r="109" spans="1:18" ht="17.25" customHeight="1" x14ac:dyDescent="0.3">
      <c r="A109" s="461" t="s">
        <v>1157</v>
      </c>
      <c r="B109" s="2005">
        <v>21</v>
      </c>
      <c r="C109" s="2005">
        <v>0</v>
      </c>
      <c r="D109" s="2006">
        <f t="shared" si="63"/>
        <v>-1</v>
      </c>
      <c r="E109" s="2005">
        <v>1</v>
      </c>
      <c r="F109" s="2006">
        <f t="shared" si="64"/>
        <v>1</v>
      </c>
      <c r="G109" s="2005">
        <v>0</v>
      </c>
      <c r="H109" s="462">
        <f t="shared" si="65"/>
        <v>-1</v>
      </c>
      <c r="I109" s="2005">
        <v>0</v>
      </c>
      <c r="J109" s="462" t="str">
        <f t="shared" si="66"/>
        <v>N/A</v>
      </c>
      <c r="K109" s="2005">
        <v>0</v>
      </c>
      <c r="L109" s="462" t="str">
        <f t="shared" si="67"/>
        <v>N/A</v>
      </c>
      <c r="M109" s="2005">
        <v>0</v>
      </c>
      <c r="N109" s="462" t="str">
        <f t="shared" si="68"/>
        <v>N/A</v>
      </c>
      <c r="O109" s="1995">
        <v>0</v>
      </c>
      <c r="P109" s="462" t="str">
        <f t="shared" si="69"/>
        <v>N/A</v>
      </c>
      <c r="Q109" s="2005">
        <v>0</v>
      </c>
      <c r="R109" s="1558" t="str">
        <f t="shared" si="70"/>
        <v>N/A</v>
      </c>
    </row>
    <row r="110" spans="1:18" ht="17.25" customHeight="1" x14ac:dyDescent="0.3">
      <c r="A110" s="461" t="s">
        <v>1158</v>
      </c>
      <c r="B110" s="2005">
        <v>87</v>
      </c>
      <c r="C110" s="2005">
        <v>99</v>
      </c>
      <c r="D110" s="2006">
        <f t="shared" si="63"/>
        <v>0.13793103448275862</v>
      </c>
      <c r="E110" s="2005">
        <v>116</v>
      </c>
      <c r="F110" s="2006">
        <f t="shared" si="64"/>
        <v>0.17171717171717171</v>
      </c>
      <c r="G110" s="2005">
        <v>133</v>
      </c>
      <c r="H110" s="462">
        <f t="shared" si="65"/>
        <v>0.14655172413793102</v>
      </c>
      <c r="I110" s="2005">
        <v>138</v>
      </c>
      <c r="J110" s="462">
        <f t="shared" si="66"/>
        <v>3.7593984962406013E-2</v>
      </c>
      <c r="K110" s="2005">
        <v>124</v>
      </c>
      <c r="L110" s="462">
        <f t="shared" si="67"/>
        <v>-0.10144927536231885</v>
      </c>
      <c r="M110" s="2005">
        <v>125</v>
      </c>
      <c r="N110" s="462">
        <f t="shared" si="68"/>
        <v>8.0645161290322578E-3</v>
      </c>
      <c r="O110" s="1995">
        <v>128</v>
      </c>
      <c r="P110" s="462">
        <f t="shared" si="69"/>
        <v>2.4E-2</v>
      </c>
      <c r="Q110" s="2005">
        <v>101</v>
      </c>
      <c r="R110" s="1558">
        <f t="shared" si="70"/>
        <v>-0.2109375</v>
      </c>
    </row>
    <row r="111" spans="1:18" ht="17.25" customHeight="1" x14ac:dyDescent="0.3">
      <c r="A111" s="461" t="s">
        <v>1159</v>
      </c>
      <c r="B111" s="2005">
        <v>189</v>
      </c>
      <c r="C111" s="2005">
        <v>219</v>
      </c>
      <c r="D111" s="2006">
        <f t="shared" si="63"/>
        <v>0.15873015873015872</v>
      </c>
      <c r="E111" s="2005">
        <v>235</v>
      </c>
      <c r="F111" s="2006">
        <f t="shared" si="64"/>
        <v>7.3059360730593603E-2</v>
      </c>
      <c r="G111" s="2005">
        <v>219</v>
      </c>
      <c r="H111" s="462">
        <f t="shared" si="65"/>
        <v>-6.8085106382978725E-2</v>
      </c>
      <c r="I111" s="2005">
        <v>176</v>
      </c>
      <c r="J111" s="462">
        <f t="shared" si="66"/>
        <v>-0.19634703196347031</v>
      </c>
      <c r="K111" s="2005">
        <v>159</v>
      </c>
      <c r="L111" s="462">
        <f t="shared" si="67"/>
        <v>-9.6590909090909088E-2</v>
      </c>
      <c r="M111" s="2005">
        <v>173</v>
      </c>
      <c r="N111" s="462">
        <f t="shared" si="68"/>
        <v>8.8050314465408799E-2</v>
      </c>
      <c r="O111" s="1995">
        <v>188</v>
      </c>
      <c r="P111" s="462">
        <f t="shared" si="69"/>
        <v>8.6705202312138727E-2</v>
      </c>
      <c r="Q111" s="2005">
        <v>153</v>
      </c>
      <c r="R111" s="1558">
        <f t="shared" si="70"/>
        <v>-0.18617021276595744</v>
      </c>
    </row>
    <row r="112" spans="1:18" ht="17.25" customHeight="1" x14ac:dyDescent="0.3">
      <c r="A112" s="461" t="s">
        <v>1139</v>
      </c>
      <c r="B112" s="2005">
        <v>1</v>
      </c>
      <c r="C112" s="2005">
        <v>3</v>
      </c>
      <c r="D112" s="2006">
        <f t="shared" si="63"/>
        <v>2</v>
      </c>
      <c r="E112" s="2005">
        <v>1</v>
      </c>
      <c r="F112" s="2006">
        <f t="shared" si="64"/>
        <v>-0.66666666666666663</v>
      </c>
      <c r="G112" s="2005">
        <v>0</v>
      </c>
      <c r="H112" s="462">
        <f t="shared" si="65"/>
        <v>-1</v>
      </c>
      <c r="I112" s="2005">
        <v>0</v>
      </c>
      <c r="J112" s="462" t="str">
        <f t="shared" si="66"/>
        <v>N/A</v>
      </c>
      <c r="K112" s="2005">
        <v>1</v>
      </c>
      <c r="L112" s="462">
        <f t="shared" si="67"/>
        <v>1</v>
      </c>
      <c r="M112" s="2005">
        <v>0</v>
      </c>
      <c r="N112" s="462">
        <f t="shared" si="68"/>
        <v>-1</v>
      </c>
      <c r="O112" s="1995">
        <v>0</v>
      </c>
      <c r="P112" s="462" t="str">
        <f t="shared" si="69"/>
        <v>N/A</v>
      </c>
      <c r="Q112" s="2005">
        <v>0</v>
      </c>
      <c r="R112" s="1558" t="str">
        <f t="shared" si="70"/>
        <v>N/A</v>
      </c>
    </row>
    <row r="113" spans="1:18" ht="17.25" customHeight="1" x14ac:dyDescent="0.3">
      <c r="A113" s="465" t="s">
        <v>1015</v>
      </c>
      <c r="B113" s="2005">
        <f>SUM(B107:B112)</f>
        <v>398</v>
      </c>
      <c r="C113" s="2005">
        <f>SUM(C107:C112)</f>
        <v>449</v>
      </c>
      <c r="D113" s="2006">
        <f t="shared" si="63"/>
        <v>0.12814070351758794</v>
      </c>
      <c r="E113" s="2005">
        <f>SUM(E107:E112)</f>
        <v>484</v>
      </c>
      <c r="F113" s="2006">
        <f t="shared" si="64"/>
        <v>7.7951002227171495E-2</v>
      </c>
      <c r="G113" s="2005">
        <f>SUM(G107:G112)</f>
        <v>469</v>
      </c>
      <c r="H113" s="462">
        <f t="shared" si="65"/>
        <v>-3.0991735537190084E-2</v>
      </c>
      <c r="I113" s="2005">
        <f>SUM(I107:I112)</f>
        <v>432</v>
      </c>
      <c r="J113" s="462">
        <f t="shared" si="66"/>
        <v>-7.8891257995735611E-2</v>
      </c>
      <c r="K113" s="2005">
        <f>SUM(K107:K112)</f>
        <v>415</v>
      </c>
      <c r="L113" s="462">
        <f t="shared" si="67"/>
        <v>-3.9351851851851853E-2</v>
      </c>
      <c r="M113" s="2005">
        <f>SUM(M107:M112)</f>
        <v>428</v>
      </c>
      <c r="N113" s="462">
        <f t="shared" si="68"/>
        <v>3.1325301204819279E-2</v>
      </c>
      <c r="O113" s="1995">
        <f>SUM(O107:O112)</f>
        <v>434</v>
      </c>
      <c r="P113" s="462">
        <f t="shared" si="69"/>
        <v>1.4018691588785047E-2</v>
      </c>
      <c r="Q113" s="2005">
        <f>SUM(Q107:Q112)</f>
        <v>376</v>
      </c>
      <c r="R113" s="1558">
        <f t="shared" si="70"/>
        <v>-0.13364055299539171</v>
      </c>
    </row>
    <row r="114" spans="1:18" ht="17.25" customHeight="1" x14ac:dyDescent="0.3">
      <c r="A114" s="459" t="s">
        <v>429</v>
      </c>
      <c r="B114" s="2003"/>
      <c r="C114" s="2003"/>
      <c r="D114" s="2004"/>
      <c r="E114" s="2003"/>
      <c r="F114" s="2004"/>
      <c r="G114" s="2003"/>
      <c r="H114" s="460"/>
      <c r="I114" s="2003"/>
      <c r="J114" s="460"/>
      <c r="K114" s="2003"/>
      <c r="L114" s="460"/>
      <c r="M114" s="2003"/>
      <c r="N114" s="460"/>
      <c r="O114" s="1996"/>
      <c r="P114" s="460"/>
      <c r="Q114" s="2003"/>
      <c r="R114" s="1559"/>
    </row>
    <row r="115" spans="1:18" s="320" customFormat="1" ht="17.25" customHeight="1" x14ac:dyDescent="0.3">
      <c r="A115" s="706" t="s">
        <v>513</v>
      </c>
      <c r="B115" s="2011">
        <v>13</v>
      </c>
      <c r="C115" s="2011">
        <v>15</v>
      </c>
      <c r="D115" s="2006">
        <f t="shared" ref="D115:D127" si="71">IF(B115&gt;0,(C115-B115)/B115,(IF(C115=0,"N/A",100%)))</f>
        <v>0.15384615384615385</v>
      </c>
      <c r="E115" s="2011">
        <v>12</v>
      </c>
      <c r="F115" s="2006">
        <f t="shared" ref="F115:F127" si="72">IF(C115&gt;0,(E115-C115)/C115,(IF(E115=0,"N/A",100%)))</f>
        <v>-0.2</v>
      </c>
      <c r="G115" s="2011">
        <v>11</v>
      </c>
      <c r="H115" s="462">
        <f t="shared" ref="H115:H127" si="73">IF(E115&gt;0,(G115-E115)/E115,(IF(G115=0,"N/A",100%)))</f>
        <v>-8.3333333333333329E-2</v>
      </c>
      <c r="I115" s="2011">
        <v>7</v>
      </c>
      <c r="J115" s="462">
        <f t="shared" ref="J115:J127" si="74">IF(G115&gt;0,(I115-G115)/G115,(IF(I115=0,"N/A",100%)))</f>
        <v>-0.36363636363636365</v>
      </c>
      <c r="K115" s="2011">
        <v>4</v>
      </c>
      <c r="L115" s="462">
        <f t="shared" ref="L115:L127" si="75">IF(I115&gt;0,(K115-I115)/I115,(IF(K115=0,"N/A",100%)))</f>
        <v>-0.42857142857142855</v>
      </c>
      <c r="M115" s="2011">
        <v>3</v>
      </c>
      <c r="N115" s="462">
        <f t="shared" ref="N115:N127" si="76">IF(K115&gt;0,(M115-K115)/K115,(IF(M115=0,"N/A",100%)))</f>
        <v>-0.25</v>
      </c>
      <c r="O115" s="1997">
        <v>3</v>
      </c>
      <c r="P115" s="462">
        <f t="shared" ref="P115:P127" si="77">IF(M115&gt;0,(O115-M115)/M115,(IF(O115=0,"N/A",100%)))</f>
        <v>0</v>
      </c>
      <c r="Q115" s="2011">
        <v>1</v>
      </c>
      <c r="R115" s="1558">
        <f t="shared" ref="R115:R127" si="78">IF(O115&gt;0,(Q115-O115)/O115,(IF(Q115=0,"N/A",100%)))</f>
        <v>-0.66666666666666663</v>
      </c>
    </row>
    <row r="116" spans="1:18" ht="17.25" customHeight="1" x14ac:dyDescent="0.3">
      <c r="A116" s="461" t="s">
        <v>1130</v>
      </c>
      <c r="B116" s="2005">
        <v>69</v>
      </c>
      <c r="C116" s="2005">
        <v>48</v>
      </c>
      <c r="D116" s="2006">
        <f t="shared" si="71"/>
        <v>-0.30434782608695654</v>
      </c>
      <c r="E116" s="2005">
        <v>48</v>
      </c>
      <c r="F116" s="2006">
        <f t="shared" si="72"/>
        <v>0</v>
      </c>
      <c r="G116" s="2005">
        <v>36</v>
      </c>
      <c r="H116" s="462">
        <f t="shared" si="73"/>
        <v>-0.25</v>
      </c>
      <c r="I116" s="2005">
        <v>32</v>
      </c>
      <c r="J116" s="462">
        <f t="shared" si="74"/>
        <v>-0.1111111111111111</v>
      </c>
      <c r="K116" s="2005">
        <v>24</v>
      </c>
      <c r="L116" s="462">
        <f t="shared" si="75"/>
        <v>-0.25</v>
      </c>
      <c r="M116" s="2005">
        <v>26</v>
      </c>
      <c r="N116" s="462">
        <f t="shared" si="76"/>
        <v>8.3333333333333329E-2</v>
      </c>
      <c r="O116" s="1995">
        <v>32</v>
      </c>
      <c r="P116" s="462">
        <f t="shared" si="77"/>
        <v>0.23076923076923078</v>
      </c>
      <c r="Q116" s="2005">
        <v>41</v>
      </c>
      <c r="R116" s="1558">
        <f t="shared" si="78"/>
        <v>0.28125</v>
      </c>
    </row>
    <row r="117" spans="1:18" ht="17.25" customHeight="1" x14ac:dyDescent="0.3">
      <c r="A117" s="461" t="s">
        <v>776</v>
      </c>
      <c r="B117" s="2005">
        <v>2</v>
      </c>
      <c r="C117" s="2005">
        <v>1</v>
      </c>
      <c r="D117" s="2006">
        <f t="shared" si="71"/>
        <v>-0.5</v>
      </c>
      <c r="E117" s="2005">
        <v>0</v>
      </c>
      <c r="F117" s="2006">
        <f t="shared" si="72"/>
        <v>-1</v>
      </c>
      <c r="G117" s="2005">
        <v>0</v>
      </c>
      <c r="H117" s="462" t="str">
        <f t="shared" si="73"/>
        <v>N/A</v>
      </c>
      <c r="I117" s="2005">
        <v>0</v>
      </c>
      <c r="J117" s="462" t="str">
        <f t="shared" si="74"/>
        <v>N/A</v>
      </c>
      <c r="K117" s="2005">
        <v>0</v>
      </c>
      <c r="L117" s="462" t="str">
        <f t="shared" si="75"/>
        <v>N/A</v>
      </c>
      <c r="M117" s="2005">
        <v>0</v>
      </c>
      <c r="N117" s="462" t="str">
        <f t="shared" si="76"/>
        <v>N/A</v>
      </c>
      <c r="O117" s="1995">
        <v>0</v>
      </c>
      <c r="P117" s="462" t="str">
        <f t="shared" si="77"/>
        <v>N/A</v>
      </c>
      <c r="Q117" s="2005">
        <v>0</v>
      </c>
      <c r="R117" s="1558" t="str">
        <f t="shared" si="78"/>
        <v>N/A</v>
      </c>
    </row>
    <row r="118" spans="1:18" ht="17.25" customHeight="1" x14ac:dyDescent="0.3">
      <c r="A118" s="461" t="s">
        <v>1368</v>
      </c>
      <c r="B118" s="2005">
        <v>7</v>
      </c>
      <c r="C118" s="2005">
        <v>0</v>
      </c>
      <c r="D118" s="2006">
        <f t="shared" si="71"/>
        <v>-1</v>
      </c>
      <c r="E118" s="2005">
        <v>0</v>
      </c>
      <c r="F118" s="2006" t="str">
        <f t="shared" si="72"/>
        <v>N/A</v>
      </c>
      <c r="G118" s="2005">
        <v>0</v>
      </c>
      <c r="H118" s="462" t="str">
        <f t="shared" si="73"/>
        <v>N/A</v>
      </c>
      <c r="I118" s="2005">
        <v>0</v>
      </c>
      <c r="J118" s="462" t="str">
        <f t="shared" si="74"/>
        <v>N/A</v>
      </c>
      <c r="K118" s="2005">
        <v>0</v>
      </c>
      <c r="L118" s="462" t="str">
        <f t="shared" si="75"/>
        <v>N/A</v>
      </c>
      <c r="M118" s="2005">
        <v>0</v>
      </c>
      <c r="N118" s="462" t="str">
        <f t="shared" si="76"/>
        <v>N/A</v>
      </c>
      <c r="O118" s="1995">
        <v>0</v>
      </c>
      <c r="P118" s="462" t="str">
        <f t="shared" si="77"/>
        <v>N/A</v>
      </c>
      <c r="Q118" s="2005">
        <v>0</v>
      </c>
      <c r="R118" s="1558" t="str">
        <f t="shared" si="78"/>
        <v>N/A</v>
      </c>
    </row>
    <row r="119" spans="1:18" ht="17.25" customHeight="1" x14ac:dyDescent="0.3">
      <c r="A119" s="461" t="s">
        <v>789</v>
      </c>
      <c r="B119" s="2005">
        <v>8</v>
      </c>
      <c r="C119" s="2005">
        <v>9</v>
      </c>
      <c r="D119" s="2006">
        <f t="shared" si="71"/>
        <v>0.125</v>
      </c>
      <c r="E119" s="2005">
        <v>4</v>
      </c>
      <c r="F119" s="2006">
        <f t="shared" si="72"/>
        <v>-0.55555555555555558</v>
      </c>
      <c r="G119" s="2005">
        <v>8</v>
      </c>
      <c r="H119" s="462">
        <f t="shared" si="73"/>
        <v>1</v>
      </c>
      <c r="I119" s="2005">
        <v>4</v>
      </c>
      <c r="J119" s="462">
        <f t="shared" si="74"/>
        <v>-0.5</v>
      </c>
      <c r="K119" s="2005">
        <v>10</v>
      </c>
      <c r="L119" s="462">
        <f t="shared" si="75"/>
        <v>1.5</v>
      </c>
      <c r="M119" s="2005">
        <v>9</v>
      </c>
      <c r="N119" s="462">
        <f t="shared" si="76"/>
        <v>-0.1</v>
      </c>
      <c r="O119" s="1995">
        <v>8</v>
      </c>
      <c r="P119" s="462">
        <f t="shared" si="77"/>
        <v>-0.1111111111111111</v>
      </c>
      <c r="Q119" s="2005">
        <v>3</v>
      </c>
      <c r="R119" s="1558">
        <f t="shared" si="78"/>
        <v>-0.625</v>
      </c>
    </row>
    <row r="120" spans="1:18" ht="17.25" customHeight="1" x14ac:dyDescent="0.3">
      <c r="A120" s="461" t="s">
        <v>1356</v>
      </c>
      <c r="B120" s="2005">
        <v>2</v>
      </c>
      <c r="C120" s="2005">
        <v>9</v>
      </c>
      <c r="D120" s="2006">
        <f t="shared" si="71"/>
        <v>3.5</v>
      </c>
      <c r="E120" s="2005">
        <v>6</v>
      </c>
      <c r="F120" s="2006">
        <f t="shared" si="72"/>
        <v>-0.33333333333333331</v>
      </c>
      <c r="G120" s="2005">
        <v>2</v>
      </c>
      <c r="H120" s="462">
        <f t="shared" si="73"/>
        <v>-0.66666666666666663</v>
      </c>
      <c r="I120" s="2005">
        <v>1</v>
      </c>
      <c r="J120" s="462">
        <f t="shared" si="74"/>
        <v>-0.5</v>
      </c>
      <c r="K120" s="2005">
        <v>0</v>
      </c>
      <c r="L120" s="462">
        <f t="shared" si="75"/>
        <v>-1</v>
      </c>
      <c r="M120" s="2005">
        <v>0</v>
      </c>
      <c r="N120" s="462" t="str">
        <f t="shared" si="76"/>
        <v>N/A</v>
      </c>
      <c r="O120" s="1995">
        <v>0</v>
      </c>
      <c r="P120" s="462" t="str">
        <f t="shared" si="77"/>
        <v>N/A</v>
      </c>
      <c r="Q120" s="2005">
        <v>0</v>
      </c>
      <c r="R120" s="1558" t="str">
        <f t="shared" si="78"/>
        <v>N/A</v>
      </c>
    </row>
    <row r="121" spans="1:18" ht="17.25" customHeight="1" x14ac:dyDescent="0.3">
      <c r="A121" s="461" t="s">
        <v>1663</v>
      </c>
      <c r="B121" s="2005">
        <v>0</v>
      </c>
      <c r="C121" s="2005">
        <v>0</v>
      </c>
      <c r="D121" s="2006" t="str">
        <f t="shared" si="71"/>
        <v>N/A</v>
      </c>
      <c r="E121" s="2005">
        <v>0</v>
      </c>
      <c r="F121" s="2006" t="str">
        <f t="shared" si="72"/>
        <v>N/A</v>
      </c>
      <c r="G121" s="2005">
        <v>0</v>
      </c>
      <c r="H121" s="462" t="str">
        <f t="shared" si="73"/>
        <v>N/A</v>
      </c>
      <c r="I121" s="2005">
        <v>0</v>
      </c>
      <c r="J121" s="462" t="str">
        <f t="shared" si="74"/>
        <v>N/A</v>
      </c>
      <c r="K121" s="2005">
        <v>0</v>
      </c>
      <c r="L121" s="462" t="str">
        <f t="shared" si="75"/>
        <v>N/A</v>
      </c>
      <c r="M121" s="2005">
        <v>0</v>
      </c>
      <c r="N121" s="462" t="str">
        <f t="shared" si="76"/>
        <v>N/A</v>
      </c>
      <c r="O121" s="1995">
        <v>11</v>
      </c>
      <c r="P121" s="462">
        <f t="shared" si="77"/>
        <v>1</v>
      </c>
      <c r="Q121" s="2005">
        <v>7</v>
      </c>
      <c r="R121" s="1558">
        <f t="shared" si="78"/>
        <v>-0.36363636363636365</v>
      </c>
    </row>
    <row r="122" spans="1:18" ht="17.25" customHeight="1" x14ac:dyDescent="0.3">
      <c r="A122" s="461" t="s">
        <v>1106</v>
      </c>
      <c r="B122" s="2005">
        <v>57</v>
      </c>
      <c r="C122" s="2005">
        <v>45</v>
      </c>
      <c r="D122" s="2006">
        <f t="shared" si="71"/>
        <v>-0.21052631578947367</v>
      </c>
      <c r="E122" s="2005">
        <v>34</v>
      </c>
      <c r="F122" s="2006">
        <f t="shared" si="72"/>
        <v>-0.24444444444444444</v>
      </c>
      <c r="G122" s="2005">
        <v>45</v>
      </c>
      <c r="H122" s="462">
        <f t="shared" si="73"/>
        <v>0.3235294117647059</v>
      </c>
      <c r="I122" s="2005">
        <v>65</v>
      </c>
      <c r="J122" s="462">
        <f t="shared" si="74"/>
        <v>0.44444444444444442</v>
      </c>
      <c r="K122" s="2005">
        <v>66</v>
      </c>
      <c r="L122" s="462">
        <f t="shared" si="75"/>
        <v>1.5384615384615385E-2</v>
      </c>
      <c r="M122" s="2005">
        <v>60</v>
      </c>
      <c r="N122" s="462">
        <f t="shared" si="76"/>
        <v>-9.0909090909090912E-2</v>
      </c>
      <c r="O122" s="1995">
        <v>57</v>
      </c>
      <c r="P122" s="462">
        <f t="shared" si="77"/>
        <v>-0.05</v>
      </c>
      <c r="Q122" s="2005">
        <v>55</v>
      </c>
      <c r="R122" s="1558">
        <f t="shared" si="78"/>
        <v>-3.5087719298245612E-2</v>
      </c>
    </row>
    <row r="123" spans="1:18" ht="17.25" customHeight="1" x14ac:dyDescent="0.3">
      <c r="A123" s="461" t="s">
        <v>1107</v>
      </c>
      <c r="B123" s="2005">
        <v>4</v>
      </c>
      <c r="C123" s="2005">
        <v>7</v>
      </c>
      <c r="D123" s="2006">
        <f t="shared" si="71"/>
        <v>0.75</v>
      </c>
      <c r="E123" s="2005">
        <v>5</v>
      </c>
      <c r="F123" s="2006">
        <f t="shared" si="72"/>
        <v>-0.2857142857142857</v>
      </c>
      <c r="G123" s="2005">
        <v>0</v>
      </c>
      <c r="H123" s="462">
        <f t="shared" si="73"/>
        <v>-1</v>
      </c>
      <c r="I123" s="2005">
        <v>1</v>
      </c>
      <c r="J123" s="462">
        <f t="shared" si="74"/>
        <v>1</v>
      </c>
      <c r="K123" s="2005">
        <v>0</v>
      </c>
      <c r="L123" s="462">
        <f t="shared" si="75"/>
        <v>-1</v>
      </c>
      <c r="M123" s="2005">
        <v>0</v>
      </c>
      <c r="N123" s="462" t="str">
        <f t="shared" si="76"/>
        <v>N/A</v>
      </c>
      <c r="O123" s="1995">
        <v>0</v>
      </c>
      <c r="P123" s="462" t="str">
        <f t="shared" si="77"/>
        <v>N/A</v>
      </c>
      <c r="Q123" s="2005">
        <v>0</v>
      </c>
      <c r="R123" s="1558" t="str">
        <f t="shared" si="78"/>
        <v>N/A</v>
      </c>
    </row>
    <row r="124" spans="1:18" ht="17.25" customHeight="1" x14ac:dyDescent="0.3">
      <c r="A124" s="461" t="s">
        <v>1108</v>
      </c>
      <c r="B124" s="2005">
        <v>54</v>
      </c>
      <c r="C124" s="2005">
        <v>61</v>
      </c>
      <c r="D124" s="2006">
        <f t="shared" si="71"/>
        <v>0.12962962962962962</v>
      </c>
      <c r="E124" s="2005">
        <v>61</v>
      </c>
      <c r="F124" s="2006">
        <f t="shared" si="72"/>
        <v>0</v>
      </c>
      <c r="G124" s="2005">
        <v>74</v>
      </c>
      <c r="H124" s="462">
        <f t="shared" si="73"/>
        <v>0.21311475409836064</v>
      </c>
      <c r="I124" s="2005">
        <v>76</v>
      </c>
      <c r="J124" s="462">
        <f t="shared" si="74"/>
        <v>2.7027027027027029E-2</v>
      </c>
      <c r="K124" s="2005">
        <v>83</v>
      </c>
      <c r="L124" s="462">
        <f t="shared" si="75"/>
        <v>9.2105263157894732E-2</v>
      </c>
      <c r="M124" s="2005">
        <v>78</v>
      </c>
      <c r="N124" s="462">
        <f t="shared" si="76"/>
        <v>-6.0240963855421686E-2</v>
      </c>
      <c r="O124" s="1995">
        <v>73</v>
      </c>
      <c r="P124" s="462">
        <f t="shared" si="77"/>
        <v>-6.4102564102564097E-2</v>
      </c>
      <c r="Q124" s="2005">
        <v>70</v>
      </c>
      <c r="R124" s="1558">
        <f t="shared" si="78"/>
        <v>-4.1095890410958902E-2</v>
      </c>
    </row>
    <row r="125" spans="1:18" ht="17.25" customHeight="1" x14ac:dyDescent="0.3">
      <c r="A125" s="461" t="s">
        <v>1109</v>
      </c>
      <c r="B125" s="2005">
        <v>5</v>
      </c>
      <c r="C125" s="2005">
        <v>4</v>
      </c>
      <c r="D125" s="2006">
        <f t="shared" si="71"/>
        <v>-0.2</v>
      </c>
      <c r="E125" s="2005">
        <v>2</v>
      </c>
      <c r="F125" s="2006">
        <f t="shared" si="72"/>
        <v>-0.5</v>
      </c>
      <c r="G125" s="2005">
        <v>2</v>
      </c>
      <c r="H125" s="462">
        <f t="shared" si="73"/>
        <v>0</v>
      </c>
      <c r="I125" s="2005">
        <v>1</v>
      </c>
      <c r="J125" s="462">
        <f t="shared" si="74"/>
        <v>-0.5</v>
      </c>
      <c r="K125" s="2005">
        <v>0</v>
      </c>
      <c r="L125" s="462">
        <f t="shared" si="75"/>
        <v>-1</v>
      </c>
      <c r="M125" s="2005">
        <v>0</v>
      </c>
      <c r="N125" s="462" t="str">
        <f t="shared" si="76"/>
        <v>N/A</v>
      </c>
      <c r="O125" s="1995">
        <v>0</v>
      </c>
      <c r="P125" s="462" t="str">
        <f t="shared" si="77"/>
        <v>N/A</v>
      </c>
      <c r="Q125" s="2005">
        <v>0</v>
      </c>
      <c r="R125" s="1558" t="str">
        <f t="shared" si="78"/>
        <v>N/A</v>
      </c>
    </row>
    <row r="126" spans="1:18" ht="17.25" customHeight="1" x14ac:dyDescent="0.3">
      <c r="A126" s="465" t="s">
        <v>1015</v>
      </c>
      <c r="B126" s="2005">
        <f>SUM(B115:B125)</f>
        <v>221</v>
      </c>
      <c r="C126" s="2005">
        <f>SUM(C115:C125)</f>
        <v>199</v>
      </c>
      <c r="D126" s="2006">
        <f t="shared" si="71"/>
        <v>-9.9547511312217188E-2</v>
      </c>
      <c r="E126" s="2005">
        <f>SUM(E115:E125)</f>
        <v>172</v>
      </c>
      <c r="F126" s="2006">
        <f t="shared" si="72"/>
        <v>-0.135678391959799</v>
      </c>
      <c r="G126" s="2005">
        <f>SUM(G115:G125)</f>
        <v>178</v>
      </c>
      <c r="H126" s="462">
        <f t="shared" si="73"/>
        <v>3.4883720930232558E-2</v>
      </c>
      <c r="I126" s="2005">
        <f>SUM(I115:I125)</f>
        <v>187</v>
      </c>
      <c r="J126" s="462">
        <f t="shared" si="74"/>
        <v>5.0561797752808987E-2</v>
      </c>
      <c r="K126" s="2005">
        <f>SUM(K115:K125)</f>
        <v>187</v>
      </c>
      <c r="L126" s="462">
        <f t="shared" si="75"/>
        <v>0</v>
      </c>
      <c r="M126" s="2005">
        <f>SUM(M115:M125)</f>
        <v>176</v>
      </c>
      <c r="N126" s="462">
        <f t="shared" si="76"/>
        <v>-5.8823529411764705E-2</v>
      </c>
      <c r="O126" s="1995">
        <f>SUM(O115:O125)</f>
        <v>184</v>
      </c>
      <c r="P126" s="462">
        <f t="shared" si="77"/>
        <v>4.5454545454545456E-2</v>
      </c>
      <c r="Q126" s="2005">
        <f>SUM(Q115:Q125)</f>
        <v>177</v>
      </c>
      <c r="R126" s="1558">
        <f t="shared" si="78"/>
        <v>-3.8043478260869568E-2</v>
      </c>
    </row>
    <row r="127" spans="1:18" ht="17.25" customHeight="1" x14ac:dyDescent="0.3">
      <c r="A127" s="1183" t="s">
        <v>430</v>
      </c>
      <c r="B127" s="857">
        <f>+B126+B113</f>
        <v>619</v>
      </c>
      <c r="C127" s="857">
        <f>+C126+C113</f>
        <v>648</v>
      </c>
      <c r="D127" s="1555">
        <f t="shared" si="71"/>
        <v>4.6849757673667204E-2</v>
      </c>
      <c r="E127" s="857">
        <f>+E126+E113</f>
        <v>656</v>
      </c>
      <c r="F127" s="1555">
        <f t="shared" si="72"/>
        <v>1.2345679012345678E-2</v>
      </c>
      <c r="G127" s="857">
        <f>+G126+G113</f>
        <v>647</v>
      </c>
      <c r="H127" s="1155">
        <f t="shared" si="73"/>
        <v>-1.3719512195121951E-2</v>
      </c>
      <c r="I127" s="857">
        <f>+I126+I113</f>
        <v>619</v>
      </c>
      <c r="J127" s="1155">
        <f t="shared" si="74"/>
        <v>-4.3276661514683151E-2</v>
      </c>
      <c r="K127" s="857">
        <f>+K126+K113</f>
        <v>602</v>
      </c>
      <c r="L127" s="1155">
        <f t="shared" si="75"/>
        <v>-2.7463651050080775E-2</v>
      </c>
      <c r="M127" s="857">
        <f>+M126+M113</f>
        <v>604</v>
      </c>
      <c r="N127" s="1155">
        <f t="shared" si="76"/>
        <v>3.3222591362126247E-3</v>
      </c>
      <c r="O127" s="1929">
        <f>+O126+O113</f>
        <v>618</v>
      </c>
      <c r="P127" s="1155">
        <f t="shared" si="77"/>
        <v>2.3178807947019868E-2</v>
      </c>
      <c r="Q127" s="857">
        <f>+Q126+Q113</f>
        <v>553</v>
      </c>
      <c r="R127" s="1550">
        <f t="shared" si="78"/>
        <v>-0.10517799352750809</v>
      </c>
    </row>
    <row r="128" spans="1:18" ht="17.25" customHeight="1" x14ac:dyDescent="0.3">
      <c r="A128" s="1556" t="s">
        <v>984</v>
      </c>
      <c r="B128" s="1557"/>
      <c r="C128" s="1557"/>
      <c r="D128" s="1557"/>
      <c r="E128" s="1557"/>
      <c r="F128" s="1557"/>
      <c r="G128" s="1557"/>
      <c r="H128" s="1557"/>
      <c r="I128" s="1557"/>
      <c r="J128" s="1557"/>
      <c r="K128" s="1557"/>
      <c r="L128" s="1557"/>
      <c r="M128" s="1557"/>
      <c r="N128" s="1557"/>
      <c r="O128" s="1557"/>
      <c r="P128" s="2000"/>
      <c r="Q128" s="1557"/>
      <c r="R128" s="1563"/>
    </row>
    <row r="129" spans="1:18" ht="17.25" customHeight="1" x14ac:dyDescent="0.3">
      <c r="A129" s="461" t="s">
        <v>1144</v>
      </c>
      <c r="B129" s="2005">
        <f>91+55</f>
        <v>146</v>
      </c>
      <c r="C129" s="2005">
        <f>100+26</f>
        <v>126</v>
      </c>
      <c r="D129" s="2006">
        <f t="shared" ref="D129:D134" si="79">IF(B129&gt;0,(C129-B129)/B129,(IF(C129=0,"N/A",100%)))</f>
        <v>-0.13698630136986301</v>
      </c>
      <c r="E129" s="2005">
        <v>205</v>
      </c>
      <c r="F129" s="2006">
        <f t="shared" ref="F129:F134" si="80">IF(C129&gt;0,(E129-C129)/C129,(IF(E129=0,"N/A",100%)))</f>
        <v>0.62698412698412698</v>
      </c>
      <c r="G129" s="2005">
        <v>315</v>
      </c>
      <c r="H129" s="462">
        <f t="shared" ref="H129:H134" si="81">IF(E129&gt;0,(G129-E129)/E129,(IF(G129=0,"N/A",100%)))</f>
        <v>0.53658536585365857</v>
      </c>
      <c r="I129" s="2005">
        <v>343</v>
      </c>
      <c r="J129" s="462">
        <f t="shared" ref="J129:J134" si="82">IF(G129&gt;0,(I129-G129)/G129,(IF(I129=0,"N/A",100%)))</f>
        <v>8.8888888888888892E-2</v>
      </c>
      <c r="K129" s="2005">
        <v>136</v>
      </c>
      <c r="L129" s="462">
        <f t="shared" ref="L129:L134" si="83">IF(I129&gt;0,(K129-I129)/I129,(IF(K129=0,"N/A",100%)))</f>
        <v>-0.60349854227405253</v>
      </c>
      <c r="M129" s="2005">
        <f>166+59</f>
        <v>225</v>
      </c>
      <c r="N129" s="462">
        <f t="shared" ref="N129:N134" si="84">IF(K129&gt;0,(M129-K129)/K129,(IF(M129=0,"N/A",100%)))</f>
        <v>0.65441176470588236</v>
      </c>
      <c r="O129" s="1995">
        <v>149</v>
      </c>
      <c r="P129" s="462">
        <f t="shared" ref="P129:P134" si="85">IF(M129&gt;0,(O129-M129)/M129,(IF(O129=0,"N/A",100%)))</f>
        <v>-0.33777777777777779</v>
      </c>
      <c r="Q129" s="2005">
        <f>128+56</f>
        <v>184</v>
      </c>
      <c r="R129" s="1558">
        <f t="shared" ref="R129:R134" si="86">IF(O129&gt;0,(Q129-O129)/O129,(IF(Q129=0,"N/A",100%)))</f>
        <v>0.2348993288590604</v>
      </c>
    </row>
    <row r="130" spans="1:18" ht="17.25" customHeight="1" x14ac:dyDescent="0.3">
      <c r="A130" s="461" t="s">
        <v>1145</v>
      </c>
      <c r="B130" s="2005">
        <v>0</v>
      </c>
      <c r="C130" s="2005">
        <v>0</v>
      </c>
      <c r="D130" s="2006" t="str">
        <f t="shared" si="79"/>
        <v>N/A</v>
      </c>
      <c r="E130" s="2005">
        <v>0</v>
      </c>
      <c r="F130" s="2006" t="str">
        <f t="shared" si="80"/>
        <v>N/A</v>
      </c>
      <c r="G130" s="2005">
        <v>0</v>
      </c>
      <c r="H130" s="462" t="str">
        <f t="shared" si="81"/>
        <v>N/A</v>
      </c>
      <c r="I130" s="2005">
        <v>0</v>
      </c>
      <c r="J130" s="462" t="str">
        <f t="shared" si="82"/>
        <v>N/A</v>
      </c>
      <c r="K130" s="2005">
        <v>0</v>
      </c>
      <c r="L130" s="462" t="str">
        <f t="shared" si="83"/>
        <v>N/A</v>
      </c>
      <c r="M130" s="2005">
        <v>5</v>
      </c>
      <c r="N130" s="462">
        <f t="shared" si="84"/>
        <v>1</v>
      </c>
      <c r="O130" s="1995">
        <v>17</v>
      </c>
      <c r="P130" s="462">
        <f t="shared" si="85"/>
        <v>2.4</v>
      </c>
      <c r="Q130" s="2005">
        <v>37</v>
      </c>
      <c r="R130" s="1558">
        <f t="shared" si="86"/>
        <v>1.1764705882352942</v>
      </c>
    </row>
    <row r="131" spans="1:18" ht="17.25" customHeight="1" x14ac:dyDescent="0.3">
      <c r="A131" s="461" t="s">
        <v>1146</v>
      </c>
      <c r="B131" s="2005">
        <v>0</v>
      </c>
      <c r="C131" s="2005">
        <v>0</v>
      </c>
      <c r="D131" s="2006" t="str">
        <f t="shared" si="79"/>
        <v>N/A</v>
      </c>
      <c r="E131" s="2005">
        <v>0</v>
      </c>
      <c r="F131" s="2006" t="str">
        <f t="shared" si="80"/>
        <v>N/A</v>
      </c>
      <c r="G131" s="2005">
        <v>0</v>
      </c>
      <c r="H131" s="462" t="str">
        <f t="shared" si="81"/>
        <v>N/A</v>
      </c>
      <c r="I131" s="2005">
        <v>0</v>
      </c>
      <c r="J131" s="462" t="str">
        <f t="shared" si="82"/>
        <v>N/A</v>
      </c>
      <c r="K131" s="2005">
        <v>0</v>
      </c>
      <c r="L131" s="462" t="str">
        <f t="shared" si="83"/>
        <v>N/A</v>
      </c>
      <c r="M131" s="2005">
        <v>0</v>
      </c>
      <c r="N131" s="462" t="str">
        <f t="shared" si="84"/>
        <v>N/A</v>
      </c>
      <c r="O131" s="1995">
        <v>0</v>
      </c>
      <c r="P131" s="462" t="str">
        <f t="shared" si="85"/>
        <v>N/A</v>
      </c>
      <c r="Q131" s="2005">
        <v>0</v>
      </c>
      <c r="R131" s="1558" t="str">
        <f t="shared" si="86"/>
        <v>N/A</v>
      </c>
    </row>
    <row r="132" spans="1:18" ht="17.25" customHeight="1" x14ac:dyDescent="0.3">
      <c r="A132" s="461" t="s">
        <v>1761</v>
      </c>
      <c r="B132" s="2005">
        <v>46</v>
      </c>
      <c r="C132" s="2005">
        <v>50</v>
      </c>
      <c r="D132" s="2006">
        <f t="shared" si="79"/>
        <v>8.6956521739130432E-2</v>
      </c>
      <c r="E132" s="2005">
        <v>58</v>
      </c>
      <c r="F132" s="2006">
        <f t="shared" si="80"/>
        <v>0.16</v>
      </c>
      <c r="G132" s="2005">
        <v>19</v>
      </c>
      <c r="H132" s="462">
        <f t="shared" si="81"/>
        <v>-0.67241379310344829</v>
      </c>
      <c r="I132" s="2005">
        <v>21</v>
      </c>
      <c r="J132" s="462">
        <f t="shared" si="82"/>
        <v>0.10526315789473684</v>
      </c>
      <c r="K132" s="2005">
        <v>181</v>
      </c>
      <c r="L132" s="462">
        <f t="shared" si="83"/>
        <v>7.6190476190476186</v>
      </c>
      <c r="M132" s="2005">
        <v>31</v>
      </c>
      <c r="N132" s="462">
        <f t="shared" si="84"/>
        <v>-0.82872928176795579</v>
      </c>
      <c r="O132" s="1995">
        <v>42</v>
      </c>
      <c r="P132" s="462">
        <f t="shared" si="85"/>
        <v>0.35483870967741937</v>
      </c>
      <c r="Q132" s="2005">
        <v>59</v>
      </c>
      <c r="R132" s="1558">
        <f t="shared" si="86"/>
        <v>0.40476190476190477</v>
      </c>
    </row>
    <row r="133" spans="1:18" ht="17.25" customHeight="1" x14ac:dyDescent="0.3">
      <c r="A133" s="465" t="s">
        <v>1015</v>
      </c>
      <c r="B133" s="2012">
        <f>SUM(B129:B132)</f>
        <v>192</v>
      </c>
      <c r="C133" s="2012">
        <f>SUM(C129:C132)</f>
        <v>176</v>
      </c>
      <c r="D133" s="2006">
        <f t="shared" si="79"/>
        <v>-8.3333333333333329E-2</v>
      </c>
      <c r="E133" s="2012">
        <f>SUM(E129:E132)</f>
        <v>263</v>
      </c>
      <c r="F133" s="2006">
        <f t="shared" si="80"/>
        <v>0.49431818181818182</v>
      </c>
      <c r="G133" s="2012">
        <f>SUM(G129:G132)</f>
        <v>334</v>
      </c>
      <c r="H133" s="462">
        <f t="shared" si="81"/>
        <v>0.26996197718631176</v>
      </c>
      <c r="I133" s="2012">
        <f>SUM(I129:I132)</f>
        <v>364</v>
      </c>
      <c r="J133" s="462">
        <f t="shared" si="82"/>
        <v>8.9820359281437126E-2</v>
      </c>
      <c r="K133" s="2012">
        <f>SUM(K129:K132)</f>
        <v>317</v>
      </c>
      <c r="L133" s="462">
        <f t="shared" si="83"/>
        <v>-0.12912087912087913</v>
      </c>
      <c r="M133" s="2012">
        <f>SUM(M129:M132)</f>
        <v>261</v>
      </c>
      <c r="N133" s="462">
        <f t="shared" si="84"/>
        <v>-0.17665615141955837</v>
      </c>
      <c r="O133" s="1998">
        <f>SUM(O129:O132)</f>
        <v>208</v>
      </c>
      <c r="P133" s="462">
        <f t="shared" si="85"/>
        <v>-0.20306513409961685</v>
      </c>
      <c r="Q133" s="2012">
        <f>SUM(Q129:Q132)</f>
        <v>280</v>
      </c>
      <c r="R133" s="1558">
        <f t="shared" si="86"/>
        <v>0.34615384615384615</v>
      </c>
    </row>
    <row r="134" spans="1:18" ht="18" customHeight="1" thickBot="1" x14ac:dyDescent="0.35">
      <c r="A134" s="529" t="s">
        <v>1003</v>
      </c>
      <c r="B134" s="530">
        <f>+B133+B127+B103+B67+B34</f>
        <v>2304</v>
      </c>
      <c r="C134" s="530">
        <f>+C133+C127+C103+C67+C34</f>
        <v>2476</v>
      </c>
      <c r="D134" s="588">
        <f t="shared" si="79"/>
        <v>7.4652777777777776E-2</v>
      </c>
      <c r="E134" s="530">
        <f>+E133+E127+E103+E67+E34</f>
        <v>2691</v>
      </c>
      <c r="F134" s="588">
        <f t="shared" si="80"/>
        <v>8.6833602584814221E-2</v>
      </c>
      <c r="G134" s="530">
        <f>+G133+G127+G103+G67+G34</f>
        <v>2846</v>
      </c>
      <c r="H134" s="531">
        <f t="shared" si="81"/>
        <v>5.7599405425492384E-2</v>
      </c>
      <c r="I134" s="530">
        <f>+I133+I127+I103+I67+I34</f>
        <v>2849</v>
      </c>
      <c r="J134" s="531">
        <f t="shared" si="82"/>
        <v>1.0541110330288123E-3</v>
      </c>
      <c r="K134" s="530">
        <f>+K133+K127+K103+K67+K34</f>
        <v>2780</v>
      </c>
      <c r="L134" s="531">
        <f t="shared" si="83"/>
        <v>-2.4219024219024218E-2</v>
      </c>
      <c r="M134" s="530">
        <f>+M133+M127+M103+M67+M34</f>
        <v>2661</v>
      </c>
      <c r="N134" s="531">
        <f t="shared" si="84"/>
        <v>-4.2805755395683452E-2</v>
      </c>
      <c r="O134" s="1999">
        <f>+O133+O127+O103+O67+O34</f>
        <v>2539</v>
      </c>
      <c r="P134" s="531">
        <f t="shared" si="85"/>
        <v>-4.5847425779782035E-2</v>
      </c>
      <c r="Q134" s="530">
        <f>+Q133+Q127+Q103+Q67+Q34</f>
        <v>2463</v>
      </c>
      <c r="R134" s="1564">
        <f t="shared" si="86"/>
        <v>-2.993304450571091E-2</v>
      </c>
    </row>
    <row r="135" spans="1:18" ht="18" customHeight="1" thickTop="1" x14ac:dyDescent="0.25">
      <c r="A135" s="474" t="s">
        <v>1171</v>
      </c>
      <c r="B135" s="475"/>
      <c r="C135" s="475"/>
      <c r="D135" s="476"/>
      <c r="E135" s="475"/>
      <c r="F135" s="476"/>
      <c r="G135" s="475"/>
      <c r="H135" s="476"/>
    </row>
  </sheetData>
  <mergeCells count="5">
    <mergeCell ref="A104:R104"/>
    <mergeCell ref="A68:R68"/>
    <mergeCell ref="A35:R35"/>
    <mergeCell ref="A2:R2"/>
    <mergeCell ref="A1:R1"/>
  </mergeCells>
  <phoneticPr fontId="16" type="noConversion"/>
  <printOptions horizontalCentered="1" verticalCentered="1"/>
  <pageMargins left="0.2" right="0.2" top="0.3" bottom="0.4" header="0" footer="0.15"/>
  <pageSetup scale="51" orientation="landscape" r:id="rId1"/>
  <headerFooter alignWithMargins="0">
    <oddFooter>&amp;LSource: Office of Institutional Research</oddFooter>
  </headerFooter>
  <rowBreaks count="1" manualBreakCount="1">
    <brk id="67"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40"/>
  <sheetViews>
    <sheetView zoomScale="76" zoomScaleNormal="76" workbookViewId="0">
      <selection sqref="A1:V1"/>
    </sheetView>
  </sheetViews>
  <sheetFormatPr defaultColWidth="8.88671875" defaultRowHeight="13.2" x14ac:dyDescent="0.25"/>
  <cols>
    <col min="1" max="1" width="77.33203125" style="1546" bestFit="1" customWidth="1"/>
    <col min="2" max="3" width="15.44140625" style="1546" hidden="1" customWidth="1"/>
    <col min="4" max="4" width="15.44140625" style="1473" hidden="1" customWidth="1"/>
    <col min="5" max="5" width="15.44140625" style="1546" hidden="1" customWidth="1"/>
    <col min="6" max="6" width="15.44140625" style="1473" hidden="1" customWidth="1"/>
    <col min="7" max="7" width="15.44140625" style="1546" hidden="1" customWidth="1"/>
    <col min="8" max="8" width="15.44140625" style="1473" hidden="1" customWidth="1"/>
    <col min="9" max="9" width="15.5546875" style="1546" hidden="1" customWidth="1"/>
    <col min="10" max="10" width="15.44140625" style="1546" hidden="1" customWidth="1"/>
    <col min="11" max="12" width="15.33203125" style="1546" hidden="1" customWidth="1"/>
    <col min="13" max="14" width="15.33203125" style="1546" customWidth="1"/>
    <col min="15" max="18" width="15.44140625" style="1546" customWidth="1"/>
    <col min="19" max="58" width="15.5546875" style="1546" customWidth="1"/>
    <col min="59" max="16384" width="8.88671875" style="1546"/>
  </cols>
  <sheetData>
    <row r="1" spans="1:22" ht="19.8" thickBot="1" x14ac:dyDescent="0.4">
      <c r="A1" s="2194" t="s">
        <v>197</v>
      </c>
      <c r="B1" s="2194"/>
      <c r="C1" s="2194"/>
      <c r="D1" s="2194"/>
      <c r="E1" s="2194"/>
      <c r="F1" s="2194"/>
      <c r="G1" s="2194"/>
      <c r="H1" s="2194"/>
      <c r="I1" s="2194"/>
      <c r="J1" s="2194"/>
      <c r="K1" s="2194"/>
      <c r="L1" s="2194"/>
      <c r="M1" s="2194"/>
      <c r="N1" s="2194"/>
      <c r="O1" s="2194"/>
      <c r="P1" s="2194"/>
      <c r="Q1" s="2194"/>
      <c r="R1" s="2194"/>
      <c r="S1" s="2194"/>
      <c r="T1" s="2194"/>
      <c r="U1" s="2194"/>
      <c r="V1" s="2194"/>
    </row>
    <row r="2" spans="1:22" ht="20.25" customHeight="1" thickBot="1" x14ac:dyDescent="0.35">
      <c r="A2" s="2161" t="s">
        <v>409</v>
      </c>
      <c r="B2" s="2162"/>
      <c r="C2" s="2162"/>
      <c r="D2" s="2162"/>
      <c r="E2" s="2162"/>
      <c r="F2" s="2162"/>
      <c r="G2" s="2162"/>
      <c r="H2" s="2162"/>
      <c r="I2" s="2162"/>
      <c r="J2" s="2162"/>
      <c r="K2" s="2162"/>
      <c r="L2" s="2162"/>
      <c r="M2" s="2162"/>
      <c r="N2" s="2162"/>
      <c r="O2" s="2162"/>
      <c r="P2" s="2162"/>
      <c r="Q2" s="2162"/>
      <c r="R2" s="2162"/>
      <c r="S2" s="2162"/>
      <c r="T2" s="2162"/>
      <c r="U2" s="2162"/>
      <c r="V2" s="2163"/>
    </row>
    <row r="3" spans="1:22" ht="20.25" customHeight="1" x14ac:dyDescent="0.3">
      <c r="A3" s="549" t="s">
        <v>410</v>
      </c>
      <c r="B3" s="2001">
        <v>2002</v>
      </c>
      <c r="C3" s="2001">
        <f>+B3+1</f>
        <v>2003</v>
      </c>
      <c r="D3" s="667" t="s">
        <v>1100</v>
      </c>
      <c r="E3" s="2001">
        <v>2008</v>
      </c>
      <c r="F3" s="667" t="s">
        <v>1100</v>
      </c>
      <c r="G3" s="2001">
        <f>E3+1</f>
        <v>2009</v>
      </c>
      <c r="H3" s="667" t="s">
        <v>1100</v>
      </c>
      <c r="I3" s="2001">
        <f>G3+1</f>
        <v>2010</v>
      </c>
      <c r="J3" s="1359" t="s">
        <v>1100</v>
      </c>
      <c r="K3" s="2001">
        <f>I3+1</f>
        <v>2011</v>
      </c>
      <c r="L3" s="667" t="s">
        <v>1100</v>
      </c>
      <c r="M3" s="2001">
        <f>K3+1</f>
        <v>2012</v>
      </c>
      <c r="N3" s="667" t="s">
        <v>1100</v>
      </c>
      <c r="O3" s="2001">
        <f>M3+1</f>
        <v>2013</v>
      </c>
      <c r="P3" s="667" t="s">
        <v>1100</v>
      </c>
      <c r="Q3" s="2001">
        <f>O3+1</f>
        <v>2014</v>
      </c>
      <c r="R3" s="667" t="s">
        <v>1100</v>
      </c>
      <c r="S3" s="2001">
        <f>Q3+1</f>
        <v>2015</v>
      </c>
      <c r="T3" s="1359" t="s">
        <v>1100</v>
      </c>
      <c r="U3" s="2001">
        <f>S3+1</f>
        <v>2016</v>
      </c>
      <c r="V3" s="1359" t="s">
        <v>1100</v>
      </c>
    </row>
    <row r="4" spans="1:22" ht="18" customHeight="1" x14ac:dyDescent="0.3">
      <c r="A4" s="1834" t="s">
        <v>411</v>
      </c>
      <c r="B4" s="1835"/>
      <c r="C4" s="1835"/>
      <c r="D4" s="1547"/>
      <c r="E4" s="1835"/>
      <c r="F4" s="1547"/>
      <c r="G4" s="1835"/>
      <c r="H4" s="1547"/>
      <c r="I4" s="1835"/>
      <c r="J4" s="1836"/>
      <c r="K4" s="1835"/>
      <c r="L4" s="1547"/>
      <c r="M4" s="1835"/>
      <c r="N4" s="1547"/>
      <c r="O4" s="1835"/>
      <c r="P4" s="1547"/>
      <c r="Q4" s="1835"/>
      <c r="R4" s="1547"/>
      <c r="S4" s="1835"/>
      <c r="T4" s="1836"/>
      <c r="U4" s="1835"/>
      <c r="V4" s="1836"/>
    </row>
    <row r="5" spans="1:22" ht="18" customHeight="1" x14ac:dyDescent="0.3">
      <c r="A5" s="552" t="s">
        <v>1110</v>
      </c>
      <c r="B5" s="1629">
        <v>14</v>
      </c>
      <c r="C5" s="1629">
        <v>21</v>
      </c>
      <c r="D5" s="463">
        <f>IF(B5&gt;0,(C5-B5)/B5,(IF(C5=0,"N/A",100%)))</f>
        <v>0.5</v>
      </c>
      <c r="E5" s="1629">
        <v>22</v>
      </c>
      <c r="F5" s="462">
        <f>IF(C5&gt;0,(E5-C5)/C5,(IF(E5=0,"N/A",100%)))</f>
        <v>4.7619047619047616E-2</v>
      </c>
      <c r="G5" s="1629">
        <v>37</v>
      </c>
      <c r="H5" s="462">
        <f>IF(E5&gt;0,(G5-E5)/E5,(IF(G5=0,"N/A",100%)))</f>
        <v>0.68181818181818177</v>
      </c>
      <c r="I5" s="1629">
        <v>26</v>
      </c>
      <c r="J5" s="1630">
        <f>IF(G5&gt;0,(I5-G5)/G5,(IF(I5=0,"N/A",100%)))</f>
        <v>-0.29729729729729731</v>
      </c>
      <c r="K5" s="1629">
        <v>32</v>
      </c>
      <c r="L5" s="462">
        <f>IF(I5&gt;0,(K5-I5)/I5,(IF(K5=0,"N/A",100%)))</f>
        <v>0.23076923076923078</v>
      </c>
      <c r="M5" s="1629">
        <v>26</v>
      </c>
      <c r="N5" s="462">
        <f>IF(K5&gt;0,(M5-K5)/K5,(IF(M5=0,"N/A",100%)))</f>
        <v>-0.1875</v>
      </c>
      <c r="O5" s="1629">
        <v>21</v>
      </c>
      <c r="P5" s="462">
        <f>IF(M5&gt;0,(O5-M5)/M5,(IF(O5=0,"N/A",100%)))</f>
        <v>-0.19230769230769232</v>
      </c>
      <c r="Q5" s="1629">
        <v>27</v>
      </c>
      <c r="R5" s="462">
        <f>IF(O5&gt;0,(Q5-O5)/O5,(IF(Q5=0,"N/A",100%)))</f>
        <v>0.2857142857142857</v>
      </c>
      <c r="S5" s="1629">
        <v>12</v>
      </c>
      <c r="T5" s="1630">
        <f>IF(Q5&gt;0,(S5-Q5)/Q5,(IF(S5=0,"N/A",100%)))</f>
        <v>-0.55555555555555558</v>
      </c>
      <c r="U5" s="1629">
        <v>15</v>
      </c>
      <c r="V5" s="1630">
        <f>IF(S5&gt;0,(U5-S5)/S5,(IF(U5=0,"N/A",100%)))</f>
        <v>0.25</v>
      </c>
    </row>
    <row r="6" spans="1:22" ht="18" customHeight="1" x14ac:dyDescent="0.3">
      <c r="A6" s="552" t="s">
        <v>522</v>
      </c>
      <c r="B6" s="1629">
        <v>0</v>
      </c>
      <c r="C6" s="1629">
        <v>0</v>
      </c>
      <c r="D6" s="463" t="str">
        <f>IF(B6&gt;0,(C6-B6)/B6,(IF(C6=0,"N/A",100%)))</f>
        <v>N/A</v>
      </c>
      <c r="E6" s="1629">
        <v>0</v>
      </c>
      <c r="F6" s="462" t="str">
        <f>IF(C6&gt;0,(E6-C6)/C6,(IF(E6=0,"N/A",100%)))</f>
        <v>N/A</v>
      </c>
      <c r="G6" s="1629">
        <v>0</v>
      </c>
      <c r="H6" s="462" t="str">
        <f>IF(E6&gt;0,(G6-E6)/E6,(IF(G6=0,"N/A",100%)))</f>
        <v>N/A</v>
      </c>
      <c r="I6" s="1629">
        <v>0</v>
      </c>
      <c r="J6" s="1630" t="str">
        <f>IF(G6&gt;0,(I6-G6)/G6,(IF(I6=0,"N/A",100%)))</f>
        <v>N/A</v>
      </c>
      <c r="K6" s="1629">
        <v>0</v>
      </c>
      <c r="L6" s="462" t="str">
        <f>IF(I6&gt;0,(K6-I6)/I6,(IF(K6=0,"N/A",100%)))</f>
        <v>N/A</v>
      </c>
      <c r="M6" s="1629">
        <v>0</v>
      </c>
      <c r="N6" s="462" t="str">
        <f>IF(K6&gt;0,(M6-K6)/K6,(IF(M6=0,"N/A",100%)))</f>
        <v>N/A</v>
      </c>
      <c r="O6" s="1629">
        <v>0</v>
      </c>
      <c r="P6" s="462" t="str">
        <f>IF(M6&gt;0,(O6-M6)/M6,(IF(O6=0,"N/A",100%)))</f>
        <v>N/A</v>
      </c>
      <c r="Q6" s="1629">
        <v>1</v>
      </c>
      <c r="R6" s="462">
        <f>IF(O6&gt;0,(Q6-O6)/O6,(IF(Q6=0,"N/A",100%)))</f>
        <v>1</v>
      </c>
      <c r="S6" s="1629">
        <v>4</v>
      </c>
      <c r="T6" s="1630">
        <f>IF(Q6&gt;0,(S6-Q6)/Q6,(IF(S6=0,"N/A",100%)))</f>
        <v>3</v>
      </c>
      <c r="U6" s="1629">
        <v>5</v>
      </c>
      <c r="V6" s="1630">
        <f>IF(S6&gt;0,(U6-S6)/S6,(IF(U6=0,"N/A",100%)))</f>
        <v>0.25</v>
      </c>
    </row>
    <row r="7" spans="1:22" ht="18" customHeight="1" x14ac:dyDescent="0.3">
      <c r="A7" s="552" t="s">
        <v>755</v>
      </c>
      <c r="B7" s="1629">
        <v>0</v>
      </c>
      <c r="C7" s="1629">
        <v>0</v>
      </c>
      <c r="D7" s="463" t="str">
        <f>IF(B7&gt;0,(C7-B7)/B7,(IF(C7=0,"N/A",100%)))</f>
        <v>N/A</v>
      </c>
      <c r="E7" s="1629">
        <v>1</v>
      </c>
      <c r="F7" s="462">
        <f>IF(C7&gt;0,(E7-C7)/C7,(IF(E7=0,"N/A",100%)))</f>
        <v>1</v>
      </c>
      <c r="G7" s="1629">
        <v>1</v>
      </c>
      <c r="H7" s="462">
        <f>IF(E7&gt;0,(G7-E7)/E7,(IF(G7=0,"N/A",100%)))</f>
        <v>0</v>
      </c>
      <c r="I7" s="1629">
        <v>2</v>
      </c>
      <c r="J7" s="1630">
        <f>IF(G7&gt;0,(I7-G7)/G7,(IF(I7=0,"N/A",100%)))</f>
        <v>1</v>
      </c>
      <c r="K7" s="1629">
        <v>1</v>
      </c>
      <c r="L7" s="462">
        <f>IF(I7&gt;0,(K7-I7)/I7,(IF(K7=0,"N/A",100%)))</f>
        <v>-0.5</v>
      </c>
      <c r="M7" s="1629">
        <v>2</v>
      </c>
      <c r="N7" s="462">
        <f>IF(K7&gt;0,(M7-K7)/K7,(IF(M7=0,"N/A",100%)))</f>
        <v>1</v>
      </c>
      <c r="O7" s="1629">
        <v>2</v>
      </c>
      <c r="P7" s="462">
        <f>IF(M7&gt;0,(O7-M7)/M7,(IF(O7=0,"N/A",100%)))</f>
        <v>0</v>
      </c>
      <c r="Q7" s="1629">
        <v>2</v>
      </c>
      <c r="R7" s="462">
        <f>IF(O7&gt;0,(Q7-O7)/O7,(IF(Q7=0,"N/A",100%)))</f>
        <v>0</v>
      </c>
      <c r="S7" s="1629">
        <v>1</v>
      </c>
      <c r="T7" s="1630">
        <f>IF(Q7&gt;0,(S7-Q7)/Q7,(IF(S7=0,"N/A",100%)))</f>
        <v>-0.5</v>
      </c>
      <c r="U7" s="1629">
        <v>0</v>
      </c>
      <c r="V7" s="1630">
        <f>IF(S7&gt;0,(U7-S7)/S7,(IF(U7=0,"N/A",100%)))</f>
        <v>-1</v>
      </c>
    </row>
    <row r="8" spans="1:22" ht="18" customHeight="1" x14ac:dyDescent="0.3">
      <c r="A8" s="552" t="s">
        <v>630</v>
      </c>
      <c r="B8" s="1629">
        <v>0</v>
      </c>
      <c r="C8" s="1629">
        <v>1</v>
      </c>
      <c r="D8" s="462">
        <f>IF(B8&gt;0,(C8-B8)/B8,(IF(C8=0,"N/A",100%)))</f>
        <v>1</v>
      </c>
      <c r="E8" s="1629">
        <v>0</v>
      </c>
      <c r="F8" s="462">
        <f>IF(C8&gt;0,(E8-C8)/C8,(IF(E8=0,"N/A",100%)))</f>
        <v>-1</v>
      </c>
      <c r="G8" s="1629">
        <v>0</v>
      </c>
      <c r="H8" s="462" t="str">
        <f>IF(E8&gt;0,(G8-E8)/E8,(IF(G8=0,"N/A",100%)))</f>
        <v>N/A</v>
      </c>
      <c r="I8" s="1629">
        <v>0</v>
      </c>
      <c r="J8" s="1630" t="str">
        <f>IF(G8&gt;0,(I8-G8)/G8,(IF(I8=0,"N/A",100%)))</f>
        <v>N/A</v>
      </c>
      <c r="K8" s="1629">
        <v>0</v>
      </c>
      <c r="L8" s="462" t="str">
        <f>IF(I8&gt;0,(K8-I8)/I8,(IF(K8=0,"N/A",100%)))</f>
        <v>N/A</v>
      </c>
      <c r="M8" s="1629">
        <v>0</v>
      </c>
      <c r="N8" s="462" t="str">
        <f>IF(K8&gt;0,(M8-K8)/K8,(IF(M8=0,"N/A",100%)))</f>
        <v>N/A</v>
      </c>
      <c r="O8" s="1629">
        <v>1</v>
      </c>
      <c r="P8" s="462">
        <f>IF(M8&gt;0,(O8-M8)/M8,(IF(O8=0,"N/A",100%)))</f>
        <v>1</v>
      </c>
      <c r="Q8" s="1629">
        <v>0</v>
      </c>
      <c r="R8" s="462">
        <f>IF(O8&gt;0,(Q8-O8)/O8,(IF(Q8=0,"N/A",100%)))</f>
        <v>-1</v>
      </c>
      <c r="S8" s="1629">
        <v>0</v>
      </c>
      <c r="T8" s="1630" t="str">
        <f>IF(Q8&gt;0,(S8-Q8)/Q8,(IF(S8=0,"N/A",100%)))</f>
        <v>N/A</v>
      </c>
      <c r="U8" s="1629">
        <v>0</v>
      </c>
      <c r="V8" s="1630" t="str">
        <f>IF(S8&gt;0,(U8-S8)/S8,(IF(U8=0,"N/A",100%)))</f>
        <v>N/A</v>
      </c>
    </row>
    <row r="9" spans="1:22" ht="18" customHeight="1" x14ac:dyDescent="0.3">
      <c r="A9" s="553" t="s">
        <v>1015</v>
      </c>
      <c r="B9" s="1629">
        <f>SUM(B5:B8)</f>
        <v>14</v>
      </c>
      <c r="C9" s="1629">
        <f>SUM(C5:C8)</f>
        <v>22</v>
      </c>
      <c r="D9" s="462">
        <f>IF(B9&gt;0,(C9-B9)/B9,(IF(C9=0,"N/A",100%)))</f>
        <v>0.5714285714285714</v>
      </c>
      <c r="E9" s="1629">
        <f>SUM(E5:E8)</f>
        <v>23</v>
      </c>
      <c r="F9" s="462">
        <f>IF(C9&gt;0,(E9-C9)/C9,(IF(E9=0,"N/A",100%)))</f>
        <v>4.5454545454545456E-2</v>
      </c>
      <c r="G9" s="1629">
        <f>SUM(G5:G8)</f>
        <v>38</v>
      </c>
      <c r="H9" s="462">
        <f>IF(E9&gt;0,(G9-E9)/E9,(IF(G9=0,"N/A",100%)))</f>
        <v>0.65217391304347827</v>
      </c>
      <c r="I9" s="1629">
        <f>SUM(I5:I8)</f>
        <v>28</v>
      </c>
      <c r="J9" s="1630">
        <f>IF(G9&gt;0,(I9-G9)/G9,(IF(I9=0,"N/A",100%)))</f>
        <v>-0.26315789473684209</v>
      </c>
      <c r="K9" s="1629">
        <f>SUM(K5:K8)</f>
        <v>33</v>
      </c>
      <c r="L9" s="462">
        <f>IF(I9&gt;0,(K9-I9)/I9,(IF(K9=0,"N/A",100%)))</f>
        <v>0.17857142857142858</v>
      </c>
      <c r="M9" s="1837">
        <f>SUM(M5:M8)</f>
        <v>28</v>
      </c>
      <c r="N9" s="462">
        <f>IF(K9&gt;0,(M9-K9)/K9,(IF(M9=0,"N/A",100%)))</f>
        <v>-0.15151515151515152</v>
      </c>
      <c r="O9" s="1837">
        <f>SUM(O5:O8)</f>
        <v>24</v>
      </c>
      <c r="P9" s="462">
        <f>IF(M9&gt;0,(O9-M9)/M9,(IF(O9=0,"N/A",100%)))</f>
        <v>-0.14285714285714285</v>
      </c>
      <c r="Q9" s="1837">
        <f>SUM(Q5:Q8)</f>
        <v>30</v>
      </c>
      <c r="R9" s="462">
        <f>IF(O9&gt;0,(Q9-O9)/O9,(IF(Q9=0,"N/A",100%)))</f>
        <v>0.25</v>
      </c>
      <c r="S9" s="1837">
        <f>SUM(S5:S8)</f>
        <v>17</v>
      </c>
      <c r="T9" s="1630">
        <f>IF(Q9&gt;0,(S9-Q9)/Q9,(IF(S9=0,"N/A",100%)))</f>
        <v>-0.43333333333333335</v>
      </c>
      <c r="U9" s="1837">
        <f>SUM(U5:U8)</f>
        <v>20</v>
      </c>
      <c r="V9" s="1630">
        <f>IF(S9&gt;0,(U9-S9)/S9,(IF(U9=0,"N/A",100%)))</f>
        <v>0.17647058823529413</v>
      </c>
    </row>
    <row r="10" spans="1:22" ht="18" customHeight="1" x14ac:dyDescent="0.3">
      <c r="A10" s="1834" t="s">
        <v>412</v>
      </c>
      <c r="B10" s="1835"/>
      <c r="C10" s="1835"/>
      <c r="D10" s="1547"/>
      <c r="E10" s="1835"/>
      <c r="F10" s="1547"/>
      <c r="G10" s="1835"/>
      <c r="H10" s="1547"/>
      <c r="I10" s="1835"/>
      <c r="J10" s="1836"/>
      <c r="K10" s="1835"/>
      <c r="L10" s="1547"/>
      <c r="M10" s="1835"/>
      <c r="N10" s="1547"/>
      <c r="O10" s="1835"/>
      <c r="P10" s="1547"/>
      <c r="Q10" s="1835"/>
      <c r="R10" s="1547"/>
      <c r="S10" s="1835"/>
      <c r="T10" s="1836"/>
      <c r="U10" s="1835"/>
      <c r="V10" s="1836"/>
    </row>
    <row r="11" spans="1:22" ht="18" customHeight="1" x14ac:dyDescent="0.3">
      <c r="A11" s="555" t="s">
        <v>1135</v>
      </c>
      <c r="B11" s="1629">
        <v>8</v>
      </c>
      <c r="C11" s="1629">
        <v>5</v>
      </c>
      <c r="D11" s="462">
        <f t="shared" ref="D11:D18" si="0">IF(B11&gt;0,(C11-B11)/B11,(IF(C11=0,"N/A",100%)))</f>
        <v>-0.375</v>
      </c>
      <c r="E11" s="1629">
        <v>3</v>
      </c>
      <c r="F11" s="462">
        <f t="shared" ref="F11:F18" si="1">IF(C11&gt;0,(E11-C11)/C11,(IF(E11=0,"N/A",100%)))</f>
        <v>-0.4</v>
      </c>
      <c r="G11" s="1629">
        <v>5</v>
      </c>
      <c r="H11" s="462">
        <f t="shared" ref="H11:H18" si="2">IF(E11&gt;0,(G11-E11)/E11,(IF(G11=0,"N/A",100%)))</f>
        <v>0.66666666666666663</v>
      </c>
      <c r="I11" s="1629">
        <v>2</v>
      </c>
      <c r="J11" s="1630">
        <f t="shared" ref="J11:J18" si="3">IF(G11&gt;0,(I11-G11)/G11,(IF(I11=0,"N/A",100%)))</f>
        <v>-0.6</v>
      </c>
      <c r="K11" s="1629">
        <v>4</v>
      </c>
      <c r="L11" s="462">
        <f t="shared" ref="L11:L18" si="4">IF(I11&gt;0,(K11-I11)/I11,(IF(K11=0,"N/A",100%)))</f>
        <v>1</v>
      </c>
      <c r="M11" s="1629">
        <v>1</v>
      </c>
      <c r="N11" s="462">
        <f t="shared" ref="N11:N18" si="5">IF(K11&gt;0,(M11-K11)/K11,(IF(M11=0,"N/A",100%)))</f>
        <v>-0.75</v>
      </c>
      <c r="O11" s="1629">
        <v>0</v>
      </c>
      <c r="P11" s="462">
        <f t="shared" ref="P11:P18" si="6">IF(M11&gt;0,(O11-M11)/M11,(IF(O11=0,"N/A",100%)))</f>
        <v>-1</v>
      </c>
      <c r="Q11" s="1629">
        <v>0</v>
      </c>
      <c r="R11" s="462" t="str">
        <f t="shared" ref="R11:R18" si="7">IF(O11&gt;0,(Q11-O11)/O11,(IF(Q11=0,"N/A",100%)))</f>
        <v>N/A</v>
      </c>
      <c r="S11" s="1629">
        <v>2</v>
      </c>
      <c r="T11" s="1630">
        <f t="shared" ref="T11:T18" si="8">IF(Q11&gt;0,(S11-Q11)/Q11,(IF(S11=0,"N/A",100%)))</f>
        <v>1</v>
      </c>
      <c r="U11" s="1629">
        <v>1</v>
      </c>
      <c r="V11" s="1630">
        <f t="shared" ref="V11:V18" si="9">IF(S11&gt;0,(U11-S11)/S11,(IF(U11=0,"N/A",100%)))</f>
        <v>-0.5</v>
      </c>
    </row>
    <row r="12" spans="1:22" ht="18" customHeight="1" x14ac:dyDescent="0.3">
      <c r="A12" s="552" t="s">
        <v>1136</v>
      </c>
      <c r="B12" s="1629">
        <v>5</v>
      </c>
      <c r="C12" s="1629">
        <v>4</v>
      </c>
      <c r="D12" s="462">
        <f t="shared" si="0"/>
        <v>-0.2</v>
      </c>
      <c r="E12" s="1629">
        <v>0</v>
      </c>
      <c r="F12" s="462">
        <f t="shared" si="1"/>
        <v>-1</v>
      </c>
      <c r="G12" s="1629">
        <v>0</v>
      </c>
      <c r="H12" s="462" t="str">
        <f t="shared" si="2"/>
        <v>N/A</v>
      </c>
      <c r="I12" s="1629">
        <v>0</v>
      </c>
      <c r="J12" s="1630" t="str">
        <f t="shared" si="3"/>
        <v>N/A</v>
      </c>
      <c r="K12" s="1629">
        <v>0</v>
      </c>
      <c r="L12" s="462" t="str">
        <f t="shared" si="4"/>
        <v>N/A</v>
      </c>
      <c r="M12" s="1629">
        <v>0</v>
      </c>
      <c r="N12" s="462" t="str">
        <f t="shared" si="5"/>
        <v>N/A</v>
      </c>
      <c r="O12" s="1629">
        <v>4</v>
      </c>
      <c r="P12" s="462">
        <f t="shared" si="6"/>
        <v>1</v>
      </c>
      <c r="Q12" s="1629">
        <v>0</v>
      </c>
      <c r="R12" s="462">
        <f t="shared" si="7"/>
        <v>-1</v>
      </c>
      <c r="S12" s="1629">
        <v>0</v>
      </c>
      <c r="T12" s="1630" t="str">
        <f t="shared" si="8"/>
        <v>N/A</v>
      </c>
      <c r="U12" s="1629">
        <v>0</v>
      </c>
      <c r="V12" s="1630" t="str">
        <f t="shared" si="9"/>
        <v>N/A</v>
      </c>
    </row>
    <row r="13" spans="1:22" ht="18" customHeight="1" x14ac:dyDescent="0.3">
      <c r="A13" s="554" t="s">
        <v>1140</v>
      </c>
      <c r="B13" s="1629">
        <v>14</v>
      </c>
      <c r="C13" s="1629">
        <v>4</v>
      </c>
      <c r="D13" s="462">
        <f t="shared" si="0"/>
        <v>-0.7142857142857143</v>
      </c>
      <c r="E13" s="1629">
        <v>1</v>
      </c>
      <c r="F13" s="462">
        <f t="shared" si="1"/>
        <v>-0.75</v>
      </c>
      <c r="G13" s="1629">
        <v>3</v>
      </c>
      <c r="H13" s="462">
        <f t="shared" si="2"/>
        <v>2</v>
      </c>
      <c r="I13" s="1629">
        <v>6</v>
      </c>
      <c r="J13" s="1630">
        <f t="shared" si="3"/>
        <v>1</v>
      </c>
      <c r="K13" s="1629">
        <v>2</v>
      </c>
      <c r="L13" s="462">
        <f t="shared" si="4"/>
        <v>-0.66666666666666663</v>
      </c>
      <c r="M13" s="1629">
        <v>2</v>
      </c>
      <c r="N13" s="462">
        <f t="shared" si="5"/>
        <v>0</v>
      </c>
      <c r="O13" s="1629">
        <v>0</v>
      </c>
      <c r="P13" s="462">
        <f t="shared" si="6"/>
        <v>-1</v>
      </c>
      <c r="Q13" s="1629">
        <v>1</v>
      </c>
      <c r="R13" s="462">
        <f t="shared" si="7"/>
        <v>1</v>
      </c>
      <c r="S13" s="1629">
        <v>2</v>
      </c>
      <c r="T13" s="1630">
        <f t="shared" si="8"/>
        <v>1</v>
      </c>
      <c r="U13" s="1629">
        <v>3</v>
      </c>
      <c r="V13" s="1630">
        <f t="shared" si="9"/>
        <v>0.5</v>
      </c>
    </row>
    <row r="14" spans="1:22" ht="18" customHeight="1" x14ac:dyDescent="0.3">
      <c r="A14" s="552" t="s">
        <v>1137</v>
      </c>
      <c r="B14" s="1629">
        <v>5</v>
      </c>
      <c r="C14" s="1629">
        <v>4</v>
      </c>
      <c r="D14" s="462">
        <f t="shared" si="0"/>
        <v>-0.2</v>
      </c>
      <c r="E14" s="1629">
        <v>1</v>
      </c>
      <c r="F14" s="462">
        <f t="shared" si="1"/>
        <v>-0.75</v>
      </c>
      <c r="G14" s="1629">
        <v>1</v>
      </c>
      <c r="H14" s="462">
        <f t="shared" si="2"/>
        <v>0</v>
      </c>
      <c r="I14" s="1629">
        <v>0</v>
      </c>
      <c r="J14" s="1630">
        <f t="shared" si="3"/>
        <v>-1</v>
      </c>
      <c r="K14" s="1629">
        <v>0</v>
      </c>
      <c r="L14" s="462" t="str">
        <f t="shared" si="4"/>
        <v>N/A</v>
      </c>
      <c r="M14" s="1629">
        <v>0</v>
      </c>
      <c r="N14" s="462" t="str">
        <f t="shared" si="5"/>
        <v>N/A</v>
      </c>
      <c r="O14" s="1629">
        <v>0</v>
      </c>
      <c r="P14" s="462" t="str">
        <f t="shared" si="6"/>
        <v>N/A</v>
      </c>
      <c r="Q14" s="1629">
        <v>0</v>
      </c>
      <c r="R14" s="462" t="str">
        <f t="shared" si="7"/>
        <v>N/A</v>
      </c>
      <c r="S14" s="1629">
        <v>0</v>
      </c>
      <c r="T14" s="1630" t="str">
        <f t="shared" si="8"/>
        <v>N/A</v>
      </c>
      <c r="U14" s="1629">
        <v>0</v>
      </c>
      <c r="V14" s="1630" t="str">
        <f t="shared" si="9"/>
        <v>N/A</v>
      </c>
    </row>
    <row r="15" spans="1:22" ht="18" customHeight="1" x14ac:dyDescent="0.3">
      <c r="A15" s="552" t="s">
        <v>257</v>
      </c>
      <c r="B15" s="1629">
        <v>0</v>
      </c>
      <c r="C15" s="1629">
        <v>0</v>
      </c>
      <c r="D15" s="462" t="str">
        <f t="shared" si="0"/>
        <v>N/A</v>
      </c>
      <c r="E15" s="1629">
        <v>5</v>
      </c>
      <c r="F15" s="462">
        <f t="shared" si="1"/>
        <v>1</v>
      </c>
      <c r="G15" s="1629">
        <v>6</v>
      </c>
      <c r="H15" s="462">
        <f t="shared" si="2"/>
        <v>0.2</v>
      </c>
      <c r="I15" s="1629">
        <v>4</v>
      </c>
      <c r="J15" s="1630">
        <f t="shared" si="3"/>
        <v>-0.33333333333333331</v>
      </c>
      <c r="K15" s="1629">
        <v>4</v>
      </c>
      <c r="L15" s="462">
        <f t="shared" si="4"/>
        <v>0</v>
      </c>
      <c r="M15" s="1629">
        <v>3</v>
      </c>
      <c r="N15" s="462">
        <f t="shared" si="5"/>
        <v>-0.25</v>
      </c>
      <c r="O15" s="1629">
        <v>0</v>
      </c>
      <c r="P15" s="462">
        <f t="shared" si="6"/>
        <v>-1</v>
      </c>
      <c r="Q15" s="1629">
        <v>6</v>
      </c>
      <c r="R15" s="462">
        <f t="shared" si="7"/>
        <v>1</v>
      </c>
      <c r="S15" s="1629">
        <v>8</v>
      </c>
      <c r="T15" s="1630">
        <f t="shared" si="8"/>
        <v>0.33333333333333331</v>
      </c>
      <c r="U15" s="1629">
        <v>3</v>
      </c>
      <c r="V15" s="1630">
        <f t="shared" si="9"/>
        <v>-0.625</v>
      </c>
    </row>
    <row r="16" spans="1:22" ht="18" customHeight="1" x14ac:dyDescent="0.3">
      <c r="A16" s="555" t="s">
        <v>1138</v>
      </c>
      <c r="B16" s="1629">
        <v>8</v>
      </c>
      <c r="C16" s="1629">
        <v>5</v>
      </c>
      <c r="D16" s="462">
        <f t="shared" si="0"/>
        <v>-0.375</v>
      </c>
      <c r="E16" s="1629">
        <v>1</v>
      </c>
      <c r="F16" s="462">
        <f t="shared" si="1"/>
        <v>-0.8</v>
      </c>
      <c r="G16" s="1629">
        <v>4</v>
      </c>
      <c r="H16" s="462">
        <f t="shared" si="2"/>
        <v>3</v>
      </c>
      <c r="I16" s="1629">
        <v>2</v>
      </c>
      <c r="J16" s="1630">
        <f t="shared" si="3"/>
        <v>-0.5</v>
      </c>
      <c r="K16" s="1629">
        <v>4</v>
      </c>
      <c r="L16" s="462">
        <f t="shared" si="4"/>
        <v>1</v>
      </c>
      <c r="M16" s="1629">
        <v>4</v>
      </c>
      <c r="N16" s="462">
        <f t="shared" si="5"/>
        <v>0</v>
      </c>
      <c r="O16" s="1629">
        <v>4</v>
      </c>
      <c r="P16" s="462">
        <f t="shared" si="6"/>
        <v>0</v>
      </c>
      <c r="Q16" s="1629">
        <v>5</v>
      </c>
      <c r="R16" s="462">
        <f t="shared" si="7"/>
        <v>0.25</v>
      </c>
      <c r="S16" s="1629">
        <v>5</v>
      </c>
      <c r="T16" s="1630">
        <f t="shared" si="8"/>
        <v>0</v>
      </c>
      <c r="U16" s="1629">
        <v>7</v>
      </c>
      <c r="V16" s="1630">
        <f t="shared" si="9"/>
        <v>0.4</v>
      </c>
    </row>
    <row r="17" spans="1:22" ht="18" customHeight="1" x14ac:dyDescent="0.3">
      <c r="A17" s="552" t="s">
        <v>1141</v>
      </c>
      <c r="B17" s="1629">
        <v>5</v>
      </c>
      <c r="C17" s="1629">
        <v>6</v>
      </c>
      <c r="D17" s="462">
        <f t="shared" si="0"/>
        <v>0.2</v>
      </c>
      <c r="E17" s="1629">
        <v>8</v>
      </c>
      <c r="F17" s="462">
        <f t="shared" si="1"/>
        <v>0.33333333333333331</v>
      </c>
      <c r="G17" s="1629">
        <v>7</v>
      </c>
      <c r="H17" s="462">
        <f t="shared" si="2"/>
        <v>-0.125</v>
      </c>
      <c r="I17" s="1629">
        <v>3</v>
      </c>
      <c r="J17" s="1630">
        <f t="shared" si="3"/>
        <v>-0.5714285714285714</v>
      </c>
      <c r="K17" s="1629">
        <v>9</v>
      </c>
      <c r="L17" s="462">
        <f t="shared" si="4"/>
        <v>2</v>
      </c>
      <c r="M17" s="1629">
        <v>6</v>
      </c>
      <c r="N17" s="462">
        <f t="shared" si="5"/>
        <v>-0.33333333333333331</v>
      </c>
      <c r="O17" s="1629">
        <v>6</v>
      </c>
      <c r="P17" s="462">
        <f t="shared" si="6"/>
        <v>0</v>
      </c>
      <c r="Q17" s="1629">
        <v>2</v>
      </c>
      <c r="R17" s="462">
        <f t="shared" si="7"/>
        <v>-0.66666666666666663</v>
      </c>
      <c r="S17" s="1629">
        <v>2</v>
      </c>
      <c r="T17" s="1630">
        <f t="shared" si="8"/>
        <v>0</v>
      </c>
      <c r="U17" s="1629">
        <v>6</v>
      </c>
      <c r="V17" s="1630">
        <f t="shared" si="9"/>
        <v>2</v>
      </c>
    </row>
    <row r="18" spans="1:22" ht="18" customHeight="1" x14ac:dyDescent="0.3">
      <c r="A18" s="553" t="s">
        <v>1015</v>
      </c>
      <c r="B18" s="1629">
        <f>SUM(B11:B17)</f>
        <v>45</v>
      </c>
      <c r="C18" s="1629">
        <f>SUM(C11:C17)</f>
        <v>28</v>
      </c>
      <c r="D18" s="462">
        <f t="shared" si="0"/>
        <v>-0.37777777777777777</v>
      </c>
      <c r="E18" s="1629">
        <f>SUM(E11:E17)</f>
        <v>19</v>
      </c>
      <c r="F18" s="462">
        <f t="shared" si="1"/>
        <v>-0.32142857142857145</v>
      </c>
      <c r="G18" s="1629">
        <f>SUM(G11:G17)</f>
        <v>26</v>
      </c>
      <c r="H18" s="462">
        <f t="shared" si="2"/>
        <v>0.36842105263157893</v>
      </c>
      <c r="I18" s="1629">
        <f>SUM(I11:I17)</f>
        <v>17</v>
      </c>
      <c r="J18" s="1630">
        <f t="shared" si="3"/>
        <v>-0.34615384615384615</v>
      </c>
      <c r="K18" s="1629">
        <f>SUM(K11:K17)</f>
        <v>23</v>
      </c>
      <c r="L18" s="462">
        <f t="shared" si="4"/>
        <v>0.35294117647058826</v>
      </c>
      <c r="M18" s="1837">
        <f>SUM(M11:M17)</f>
        <v>16</v>
      </c>
      <c r="N18" s="462">
        <f t="shared" si="5"/>
        <v>-0.30434782608695654</v>
      </c>
      <c r="O18" s="1837">
        <f>SUM(O11:O17)</f>
        <v>14</v>
      </c>
      <c r="P18" s="462">
        <f t="shared" si="6"/>
        <v>-0.125</v>
      </c>
      <c r="Q18" s="1837">
        <f>SUM(Q11:Q17)</f>
        <v>14</v>
      </c>
      <c r="R18" s="462">
        <f t="shared" si="7"/>
        <v>0</v>
      </c>
      <c r="S18" s="1837">
        <f>SUM(S11:S17)</f>
        <v>19</v>
      </c>
      <c r="T18" s="1630">
        <f t="shared" si="8"/>
        <v>0.35714285714285715</v>
      </c>
      <c r="U18" s="1837">
        <f>SUM(U11:U17)</f>
        <v>20</v>
      </c>
      <c r="V18" s="1630">
        <f t="shared" si="9"/>
        <v>5.2631578947368418E-2</v>
      </c>
    </row>
    <row r="19" spans="1:22" ht="18" customHeight="1" x14ac:dyDescent="0.3">
      <c r="A19" s="1834" t="s">
        <v>413</v>
      </c>
      <c r="B19" s="1835"/>
      <c r="C19" s="1835"/>
      <c r="D19" s="1547"/>
      <c r="E19" s="1835"/>
      <c r="F19" s="1547"/>
      <c r="G19" s="1835"/>
      <c r="H19" s="1547"/>
      <c r="I19" s="1835"/>
      <c r="J19" s="1836"/>
      <c r="K19" s="1835"/>
      <c r="L19" s="1547"/>
      <c r="M19" s="1835"/>
      <c r="N19" s="1547"/>
      <c r="O19" s="1835"/>
      <c r="P19" s="1547"/>
      <c r="Q19" s="1835"/>
      <c r="R19" s="1547"/>
      <c r="S19" s="1835"/>
      <c r="T19" s="1836"/>
      <c r="U19" s="1835"/>
      <c r="V19" s="1836"/>
    </row>
    <row r="20" spans="1:22" ht="18" customHeight="1" x14ac:dyDescent="0.3">
      <c r="A20" s="552" t="s">
        <v>1776</v>
      </c>
      <c r="B20" s="1629">
        <v>0</v>
      </c>
      <c r="C20" s="1629">
        <v>0</v>
      </c>
      <c r="D20" s="462" t="str">
        <f t="shared" ref="D20:D25" si="10">IF(B20&gt;0,(C20-B20)/B20,(IF(C20=0,"N/A",100%)))</f>
        <v>N/A</v>
      </c>
      <c r="E20" s="1629">
        <v>0</v>
      </c>
      <c r="F20" s="462" t="str">
        <f t="shared" ref="F20:F25" si="11">IF(C20&gt;0,(E20-C20)/C20,(IF(E20=0,"N/A",100%)))</f>
        <v>N/A</v>
      </c>
      <c r="G20" s="1629">
        <v>0</v>
      </c>
      <c r="H20" s="462" t="str">
        <f t="shared" ref="H20:H25" si="12">IF(E20&gt;0,(G20-E20)/E20,(IF(G20=0,"N/A",100%)))</f>
        <v>N/A</v>
      </c>
      <c r="I20" s="1629">
        <v>0</v>
      </c>
      <c r="J20" s="1630" t="str">
        <f t="shared" ref="J20:J25" si="13">IF(G20&gt;0,(I20-G20)/G20,(IF(I20=0,"N/A",100%)))</f>
        <v>N/A</v>
      </c>
      <c r="K20" s="1629">
        <v>0</v>
      </c>
      <c r="L20" s="462" t="str">
        <f t="shared" ref="L20:L25" si="14">IF(I20&gt;0,(K20-I20)/I20,(IF(K20=0,"N/A",100%)))</f>
        <v>N/A</v>
      </c>
      <c r="M20" s="1629">
        <v>0</v>
      </c>
      <c r="N20" s="462" t="str">
        <f t="shared" ref="N20:N25" si="15">IF(K20&gt;0,(M20-K20)/K20,(IF(M20=0,"N/A",100%)))</f>
        <v>N/A</v>
      </c>
      <c r="O20" s="1629">
        <v>0</v>
      </c>
      <c r="P20" s="462" t="str">
        <f t="shared" ref="P20:P25" si="16">IF(M20&gt;0,(O20-M20)/M20,(IF(O20=0,"N/A",100%)))</f>
        <v>N/A</v>
      </c>
      <c r="Q20" s="1629">
        <v>2</v>
      </c>
      <c r="R20" s="462">
        <f t="shared" ref="R20:R25" si="17">IF(O20&gt;0,(Q20-O20)/O20,(IF(Q20=0,"N/A",100%)))</f>
        <v>1</v>
      </c>
      <c r="S20" s="1629">
        <v>2</v>
      </c>
      <c r="T20" s="1630">
        <f t="shared" ref="T20:T25" si="18">IF(Q20&gt;0,(S20-Q20)/Q20,(IF(S20=0,"N/A",100%)))</f>
        <v>0</v>
      </c>
      <c r="U20" s="1629">
        <v>1</v>
      </c>
      <c r="V20" s="1630">
        <f t="shared" ref="V20:V25" si="19">IF(S20&gt;0,(U20-S20)/S20,(IF(U20=0,"N/A",100%)))</f>
        <v>-0.5</v>
      </c>
    </row>
    <row r="21" spans="1:22" ht="18" customHeight="1" x14ac:dyDescent="0.3">
      <c r="A21" s="552" t="s">
        <v>1050</v>
      </c>
      <c r="B21" s="1629">
        <v>24</v>
      </c>
      <c r="C21" s="1629">
        <v>30</v>
      </c>
      <c r="D21" s="462">
        <f t="shared" si="10"/>
        <v>0.25</v>
      </c>
      <c r="E21" s="1629">
        <v>32</v>
      </c>
      <c r="F21" s="462">
        <f t="shared" si="11"/>
        <v>6.6666666666666666E-2</v>
      </c>
      <c r="G21" s="1629">
        <v>30</v>
      </c>
      <c r="H21" s="462">
        <f t="shared" si="12"/>
        <v>-6.25E-2</v>
      </c>
      <c r="I21" s="1629">
        <v>26</v>
      </c>
      <c r="J21" s="1630">
        <f t="shared" si="13"/>
        <v>-0.13333333333333333</v>
      </c>
      <c r="K21" s="1629">
        <v>28</v>
      </c>
      <c r="L21" s="462">
        <f t="shared" si="14"/>
        <v>7.6923076923076927E-2</v>
      </c>
      <c r="M21" s="1629">
        <v>38</v>
      </c>
      <c r="N21" s="462">
        <f t="shared" si="15"/>
        <v>0.35714285714285715</v>
      </c>
      <c r="O21" s="1629">
        <v>33</v>
      </c>
      <c r="P21" s="462">
        <f t="shared" si="16"/>
        <v>-0.13157894736842105</v>
      </c>
      <c r="Q21" s="1629">
        <v>32</v>
      </c>
      <c r="R21" s="462">
        <f t="shared" si="17"/>
        <v>-3.0303030303030304E-2</v>
      </c>
      <c r="S21" s="1629">
        <v>26</v>
      </c>
      <c r="T21" s="1630">
        <f t="shared" si="18"/>
        <v>-0.1875</v>
      </c>
      <c r="U21" s="1629">
        <v>32</v>
      </c>
      <c r="V21" s="1630">
        <f t="shared" si="19"/>
        <v>0.23076923076923078</v>
      </c>
    </row>
    <row r="22" spans="1:22" ht="18" customHeight="1" x14ac:dyDescent="0.3">
      <c r="A22" s="552" t="s">
        <v>1142</v>
      </c>
      <c r="B22" s="1629">
        <v>6</v>
      </c>
      <c r="C22" s="1629">
        <v>0</v>
      </c>
      <c r="D22" s="462">
        <f t="shared" si="10"/>
        <v>-1</v>
      </c>
      <c r="E22" s="1629">
        <v>0</v>
      </c>
      <c r="F22" s="462" t="str">
        <f t="shared" si="11"/>
        <v>N/A</v>
      </c>
      <c r="G22" s="1629">
        <v>0</v>
      </c>
      <c r="H22" s="462" t="str">
        <f t="shared" si="12"/>
        <v>N/A</v>
      </c>
      <c r="I22" s="1629">
        <v>0</v>
      </c>
      <c r="J22" s="1630" t="str">
        <f t="shared" si="13"/>
        <v>N/A</v>
      </c>
      <c r="K22" s="1629">
        <v>0</v>
      </c>
      <c r="L22" s="462" t="str">
        <f t="shared" si="14"/>
        <v>N/A</v>
      </c>
      <c r="M22" s="1629">
        <v>0</v>
      </c>
      <c r="N22" s="462" t="str">
        <f t="shared" si="15"/>
        <v>N/A</v>
      </c>
      <c r="O22" s="1629">
        <v>0</v>
      </c>
      <c r="P22" s="462" t="str">
        <f t="shared" si="16"/>
        <v>N/A</v>
      </c>
      <c r="Q22" s="1629">
        <v>30</v>
      </c>
      <c r="R22" s="462">
        <f t="shared" si="17"/>
        <v>1</v>
      </c>
      <c r="S22" s="1629">
        <v>27</v>
      </c>
      <c r="T22" s="1630">
        <f t="shared" si="18"/>
        <v>-0.1</v>
      </c>
      <c r="U22" s="1629">
        <v>0</v>
      </c>
      <c r="V22" s="1630">
        <f t="shared" si="19"/>
        <v>-1</v>
      </c>
    </row>
    <row r="23" spans="1:22" ht="18" customHeight="1" x14ac:dyDescent="0.3">
      <c r="A23" s="552" t="s">
        <v>1369</v>
      </c>
      <c r="B23" s="1629">
        <v>22</v>
      </c>
      <c r="C23" s="1629">
        <v>22</v>
      </c>
      <c r="D23" s="462">
        <f t="shared" si="10"/>
        <v>0</v>
      </c>
      <c r="E23" s="1629">
        <v>35</v>
      </c>
      <c r="F23" s="462">
        <f t="shared" si="11"/>
        <v>0.59090909090909094</v>
      </c>
      <c r="G23" s="1629">
        <v>27</v>
      </c>
      <c r="H23" s="462">
        <f t="shared" si="12"/>
        <v>-0.22857142857142856</v>
      </c>
      <c r="I23" s="1629">
        <v>15</v>
      </c>
      <c r="J23" s="1630">
        <f t="shared" si="13"/>
        <v>-0.44444444444444442</v>
      </c>
      <c r="K23" s="1629">
        <v>33</v>
      </c>
      <c r="L23" s="462">
        <f t="shared" si="14"/>
        <v>1.2</v>
      </c>
      <c r="M23" s="1629">
        <v>23</v>
      </c>
      <c r="N23" s="462">
        <f t="shared" si="15"/>
        <v>-0.30303030303030304</v>
      </c>
      <c r="O23" s="1629">
        <v>30</v>
      </c>
      <c r="P23" s="462">
        <f t="shared" si="16"/>
        <v>0.30434782608695654</v>
      </c>
      <c r="Q23" s="1629">
        <v>20</v>
      </c>
      <c r="R23" s="462">
        <f t="shared" si="17"/>
        <v>-0.33333333333333331</v>
      </c>
      <c r="S23" s="1629">
        <v>18</v>
      </c>
      <c r="T23" s="1630">
        <f t="shared" si="18"/>
        <v>-0.1</v>
      </c>
      <c r="U23" s="1629">
        <v>1</v>
      </c>
      <c r="V23" s="1630">
        <f t="shared" si="19"/>
        <v>-0.94444444444444442</v>
      </c>
    </row>
    <row r="24" spans="1:22" ht="18" customHeight="1" x14ac:dyDescent="0.3">
      <c r="A24" s="552" t="s">
        <v>1143</v>
      </c>
      <c r="B24" s="1629">
        <v>19</v>
      </c>
      <c r="C24" s="1629">
        <v>32</v>
      </c>
      <c r="D24" s="462">
        <f t="shared" si="10"/>
        <v>0.68421052631578949</v>
      </c>
      <c r="E24" s="1629">
        <v>9</v>
      </c>
      <c r="F24" s="462">
        <f t="shared" si="11"/>
        <v>-0.71875</v>
      </c>
      <c r="G24" s="1629">
        <v>9</v>
      </c>
      <c r="H24" s="462">
        <f t="shared" si="12"/>
        <v>0</v>
      </c>
      <c r="I24" s="1629">
        <v>17</v>
      </c>
      <c r="J24" s="1630">
        <f t="shared" si="13"/>
        <v>0.88888888888888884</v>
      </c>
      <c r="K24" s="1629">
        <v>11</v>
      </c>
      <c r="L24" s="462">
        <f t="shared" si="14"/>
        <v>-0.35294117647058826</v>
      </c>
      <c r="M24" s="1629">
        <v>9</v>
      </c>
      <c r="N24" s="462">
        <f t="shared" si="15"/>
        <v>-0.18181818181818182</v>
      </c>
      <c r="O24" s="1629">
        <v>9</v>
      </c>
      <c r="P24" s="462">
        <f t="shared" si="16"/>
        <v>0</v>
      </c>
      <c r="Q24" s="1629">
        <v>8</v>
      </c>
      <c r="R24" s="462">
        <f t="shared" si="17"/>
        <v>-0.1111111111111111</v>
      </c>
      <c r="S24" s="1629">
        <v>11</v>
      </c>
      <c r="T24" s="1630">
        <f t="shared" si="18"/>
        <v>0.375</v>
      </c>
      <c r="U24" s="1629">
        <v>8</v>
      </c>
      <c r="V24" s="1630">
        <f t="shared" si="19"/>
        <v>-0.27272727272727271</v>
      </c>
    </row>
    <row r="25" spans="1:22" ht="18" customHeight="1" x14ac:dyDescent="0.3">
      <c r="A25" s="553" t="s">
        <v>1015</v>
      </c>
      <c r="B25" s="1629">
        <f>SUM(B20:B24)</f>
        <v>71</v>
      </c>
      <c r="C25" s="1629">
        <f>SUM(C20:C24)</f>
        <v>84</v>
      </c>
      <c r="D25" s="462">
        <f t="shared" si="10"/>
        <v>0.18309859154929578</v>
      </c>
      <c r="E25" s="1629">
        <f>SUM(E20:E24)</f>
        <v>76</v>
      </c>
      <c r="F25" s="462">
        <f t="shared" si="11"/>
        <v>-9.5238095238095233E-2</v>
      </c>
      <c r="G25" s="1629">
        <f>SUM(G20:G24)</f>
        <v>66</v>
      </c>
      <c r="H25" s="462">
        <f t="shared" si="12"/>
        <v>-0.13157894736842105</v>
      </c>
      <c r="I25" s="1629">
        <f>SUM(I20:I24)</f>
        <v>58</v>
      </c>
      <c r="J25" s="1630">
        <f t="shared" si="13"/>
        <v>-0.12121212121212122</v>
      </c>
      <c r="K25" s="1629">
        <f>SUM(K20:K24)</f>
        <v>72</v>
      </c>
      <c r="L25" s="462">
        <f t="shared" si="14"/>
        <v>0.2413793103448276</v>
      </c>
      <c r="M25" s="1629">
        <f>SUM(M20:M24)</f>
        <v>70</v>
      </c>
      <c r="N25" s="462">
        <f t="shared" si="15"/>
        <v>-2.7777777777777776E-2</v>
      </c>
      <c r="O25" s="1629">
        <f>SUM(O20:O24)</f>
        <v>72</v>
      </c>
      <c r="P25" s="462">
        <f t="shared" si="16"/>
        <v>2.8571428571428571E-2</v>
      </c>
      <c r="Q25" s="1629">
        <f>SUM(Q20:Q24)</f>
        <v>92</v>
      </c>
      <c r="R25" s="462">
        <f t="shared" si="17"/>
        <v>0.27777777777777779</v>
      </c>
      <c r="S25" s="1629">
        <f>SUM(S20:S24)</f>
        <v>84</v>
      </c>
      <c r="T25" s="1630">
        <f t="shared" si="18"/>
        <v>-8.6956521739130432E-2</v>
      </c>
      <c r="U25" s="1629">
        <f>SUM(U20:U24)</f>
        <v>42</v>
      </c>
      <c r="V25" s="1630">
        <f t="shared" si="19"/>
        <v>-0.5</v>
      </c>
    </row>
    <row r="26" spans="1:22" ht="18" customHeight="1" x14ac:dyDescent="0.3">
      <c r="A26" s="1834" t="s">
        <v>414</v>
      </c>
      <c r="B26" s="1835"/>
      <c r="C26" s="1835"/>
      <c r="D26" s="1547"/>
      <c r="E26" s="1835"/>
      <c r="F26" s="1547"/>
      <c r="G26" s="1835"/>
      <c r="H26" s="1547"/>
      <c r="I26" s="1835"/>
      <c r="J26" s="1836"/>
      <c r="K26" s="1835"/>
      <c r="L26" s="1547"/>
      <c r="M26" s="1835"/>
      <c r="N26" s="1547"/>
      <c r="O26" s="1835"/>
      <c r="P26" s="1547"/>
      <c r="Q26" s="1835"/>
      <c r="R26" s="1547"/>
      <c r="S26" s="1835"/>
      <c r="T26" s="1836"/>
      <c r="U26" s="1835"/>
      <c r="V26" s="1836"/>
    </row>
    <row r="27" spans="1:22" ht="18" customHeight="1" x14ac:dyDescent="0.3">
      <c r="A27" s="552" t="s">
        <v>1111</v>
      </c>
      <c r="B27" s="1629">
        <v>3</v>
      </c>
      <c r="C27" s="1629">
        <v>10</v>
      </c>
      <c r="D27" s="462">
        <f>IF(B27&gt;0,(C27-B27)/B27,(IF(C27=0,"N/A",100%)))</f>
        <v>2.3333333333333335</v>
      </c>
      <c r="E27" s="1629">
        <v>8</v>
      </c>
      <c r="F27" s="462">
        <f>IF(C27&gt;0,(E27-C27)/C27,(IF(E27=0,"N/A",100%)))</f>
        <v>-0.2</v>
      </c>
      <c r="G27" s="1629">
        <v>11</v>
      </c>
      <c r="H27" s="462">
        <f>IF(E27&gt;0,(G27-E27)/E27,(IF(G27=0,"N/A",100%)))</f>
        <v>0.375</v>
      </c>
      <c r="I27" s="1629">
        <v>8</v>
      </c>
      <c r="J27" s="1630">
        <f>IF(G27&gt;0,(I27-G27)/G27,(IF(I27=0,"N/A",100%)))</f>
        <v>-0.27272727272727271</v>
      </c>
      <c r="K27" s="1629">
        <v>12</v>
      </c>
      <c r="L27" s="462">
        <f>IF(I27&gt;0,(K27-I27)/I27,(IF(K27=0,"N/A",100%)))</f>
        <v>0.5</v>
      </c>
      <c r="M27" s="1629">
        <v>8</v>
      </c>
      <c r="N27" s="462">
        <f>IF(K27&gt;0,(M27-K27)/K27,(IF(M27=0,"N/A",100%)))</f>
        <v>-0.33333333333333331</v>
      </c>
      <c r="O27" s="1629">
        <v>8</v>
      </c>
      <c r="P27" s="462">
        <f>IF(M27&gt;0,(O27-M27)/M27,(IF(O27=0,"N/A",100%)))</f>
        <v>0</v>
      </c>
      <c r="Q27" s="1629">
        <v>8</v>
      </c>
      <c r="R27" s="462">
        <f>IF(O27&gt;0,(Q27-O27)/O27,(IF(Q27=0,"N/A",100%)))</f>
        <v>0</v>
      </c>
      <c r="S27" s="1629">
        <v>2</v>
      </c>
      <c r="T27" s="1630">
        <f>IF(Q27&gt;0,(S27-Q27)/Q27,(IF(S27=0,"N/A",100%)))</f>
        <v>-0.75</v>
      </c>
      <c r="U27" s="1629">
        <v>5</v>
      </c>
      <c r="V27" s="1630">
        <f>IF(S27&gt;0,(U27-S27)/S27,(IF(U27=0,"N/A",100%)))</f>
        <v>1.5</v>
      </c>
    </row>
    <row r="28" spans="1:22" ht="18" customHeight="1" x14ac:dyDescent="0.3">
      <c r="A28" s="1363" t="s">
        <v>1112</v>
      </c>
      <c r="B28" s="1629">
        <v>0</v>
      </c>
      <c r="C28" s="1629">
        <v>0</v>
      </c>
      <c r="D28" s="462" t="str">
        <f>IF(B28&gt;0,(C28-B28)/B28,(IF(C28=0,"N/A",100%)))</f>
        <v>N/A</v>
      </c>
      <c r="E28" s="1629">
        <v>0</v>
      </c>
      <c r="F28" s="462" t="str">
        <f>IF(C28&gt;0,(E28-C28)/C28,(IF(E28=0,"N/A",100%)))</f>
        <v>N/A</v>
      </c>
      <c r="G28" s="1629">
        <v>1</v>
      </c>
      <c r="H28" s="462">
        <f>IF(E28&gt;0,(G28-E28)/E28,(IF(G28=0,"N/A",100%)))</f>
        <v>1</v>
      </c>
      <c r="I28" s="1629">
        <v>0</v>
      </c>
      <c r="J28" s="1630">
        <f>IF(G28&gt;0,(I28-G28)/G28,(IF(I28=0,"N/A",100%)))</f>
        <v>-1</v>
      </c>
      <c r="K28" s="1629">
        <v>0</v>
      </c>
      <c r="L28" s="462" t="str">
        <f>IF(I28&gt;0,(K28-I28)/I28,(IF(K28=0,"N/A",100%)))</f>
        <v>N/A</v>
      </c>
      <c r="M28" s="1629">
        <v>1</v>
      </c>
      <c r="N28" s="462">
        <f>IF(K28&gt;0,(M28-K28)/K28,(IF(M28=0,"N/A",100%)))</f>
        <v>1</v>
      </c>
      <c r="O28" s="1629">
        <v>1</v>
      </c>
      <c r="P28" s="462">
        <f>IF(M28&gt;0,(O28-M28)/M28,(IF(O28=0,"N/A",100%)))</f>
        <v>0</v>
      </c>
      <c r="Q28" s="1629">
        <v>1</v>
      </c>
      <c r="R28" s="462">
        <f>IF(O28&gt;0,(Q28-O28)/O28,(IF(Q28=0,"N/A",100%)))</f>
        <v>0</v>
      </c>
      <c r="S28" s="1629">
        <v>1</v>
      </c>
      <c r="T28" s="1630">
        <f>IF(Q28&gt;0,(S28-Q28)/Q28,(IF(S28=0,"N/A",100%)))</f>
        <v>0</v>
      </c>
      <c r="U28" s="1629">
        <v>0</v>
      </c>
      <c r="V28" s="1630">
        <f>IF(S28&gt;0,(U28-S28)/S28,(IF(U28=0,"N/A",100%)))</f>
        <v>-1</v>
      </c>
    </row>
    <row r="29" spans="1:22" ht="18" customHeight="1" x14ac:dyDescent="0.3">
      <c r="A29" s="552" t="s">
        <v>1113</v>
      </c>
      <c r="B29" s="1629">
        <v>1</v>
      </c>
      <c r="C29" s="1629">
        <v>2</v>
      </c>
      <c r="D29" s="462">
        <f>IF(B29&gt;0,(C29-B29)/B29,(IF(C29=0,"N/A",100%)))</f>
        <v>1</v>
      </c>
      <c r="E29" s="1629">
        <v>0</v>
      </c>
      <c r="F29" s="462">
        <f>IF(C29&gt;0,(E29-C29)/C29,(IF(E29=0,"N/A",100%)))</f>
        <v>-1</v>
      </c>
      <c r="G29" s="1629">
        <v>1</v>
      </c>
      <c r="H29" s="462">
        <f>IF(E29&gt;0,(G29-E29)/E29,(IF(G29=0,"N/A",100%)))</f>
        <v>1</v>
      </c>
      <c r="I29" s="1629">
        <v>3</v>
      </c>
      <c r="J29" s="1630">
        <f>IF(G29&gt;0,(I29-G29)/G29,(IF(I29=0,"N/A",100%)))</f>
        <v>2</v>
      </c>
      <c r="K29" s="1629">
        <v>4</v>
      </c>
      <c r="L29" s="462">
        <f>IF(I29&gt;0,(K29-I29)/I29,(IF(K29=0,"N/A",100%)))</f>
        <v>0.33333333333333331</v>
      </c>
      <c r="M29" s="1629">
        <v>2</v>
      </c>
      <c r="N29" s="462">
        <f>IF(K29&gt;0,(M29-K29)/K29,(IF(M29=0,"N/A",100%)))</f>
        <v>-0.5</v>
      </c>
      <c r="O29" s="1629">
        <v>2</v>
      </c>
      <c r="P29" s="462">
        <f>IF(M29&gt;0,(O29-M29)/M29,(IF(O29=0,"N/A",100%)))</f>
        <v>0</v>
      </c>
      <c r="Q29" s="1629">
        <v>4</v>
      </c>
      <c r="R29" s="462">
        <f>IF(O29&gt;0,(Q29-O29)/O29,(IF(Q29=0,"N/A",100%)))</f>
        <v>1</v>
      </c>
      <c r="S29" s="1629">
        <v>1</v>
      </c>
      <c r="T29" s="1630">
        <f>IF(Q29&gt;0,(S29-Q29)/Q29,(IF(S29=0,"N/A",100%)))</f>
        <v>-0.75</v>
      </c>
      <c r="U29" s="1629">
        <v>1</v>
      </c>
      <c r="V29" s="1630">
        <f>IF(S29&gt;0,(U29-S29)/S29,(IF(U29=0,"N/A",100%)))</f>
        <v>0</v>
      </c>
    </row>
    <row r="30" spans="1:22" ht="18" customHeight="1" x14ac:dyDescent="0.3">
      <c r="A30" s="553" t="s">
        <v>1015</v>
      </c>
      <c r="B30" s="1629">
        <f>SUM(B27:B29)</f>
        <v>4</v>
      </c>
      <c r="C30" s="1629">
        <f>SUM(C27:C29)</f>
        <v>12</v>
      </c>
      <c r="D30" s="462">
        <f>IF(B30&gt;0,(C30-B30)/B30,(IF(C30=0,"N/A",100%)))</f>
        <v>2</v>
      </c>
      <c r="E30" s="1629">
        <f>SUM(E27:E29)</f>
        <v>8</v>
      </c>
      <c r="F30" s="462">
        <f>IF(C30&gt;0,(E30-C30)/C30,(IF(E30=0,"N/A",100%)))</f>
        <v>-0.33333333333333331</v>
      </c>
      <c r="G30" s="1629">
        <f>SUM(G27:G29)</f>
        <v>13</v>
      </c>
      <c r="H30" s="462">
        <f>IF(E30&gt;0,(G30-E30)/E30,(IF(G30=0,"N/A",100%)))</f>
        <v>0.625</v>
      </c>
      <c r="I30" s="1629">
        <f>SUM(I27:I29)</f>
        <v>11</v>
      </c>
      <c r="J30" s="1630">
        <f>IF(G30&gt;0,(I30-G30)/G30,(IF(I30=0,"N/A",100%)))</f>
        <v>-0.15384615384615385</v>
      </c>
      <c r="K30" s="1629">
        <f>SUM(K27:K29)</f>
        <v>16</v>
      </c>
      <c r="L30" s="462">
        <f>IF(I30&gt;0,(K30-I30)/I30,(IF(K30=0,"N/A",100%)))</f>
        <v>0.45454545454545453</v>
      </c>
      <c r="M30" s="1837">
        <f>SUM(M27:M29)</f>
        <v>11</v>
      </c>
      <c r="N30" s="462">
        <f>IF(K30&gt;0,(M30-K30)/K30,(IF(M30=0,"N/A",100%)))</f>
        <v>-0.3125</v>
      </c>
      <c r="O30" s="1837">
        <f>SUM(O27:O29)</f>
        <v>11</v>
      </c>
      <c r="P30" s="462">
        <f>IF(M30&gt;0,(O30-M30)/M30,(IF(O30=0,"N/A",100%)))</f>
        <v>0</v>
      </c>
      <c r="Q30" s="1837">
        <f>SUM(Q27:Q29)</f>
        <v>13</v>
      </c>
      <c r="R30" s="462">
        <f>IF(O30&gt;0,(Q30-O30)/O30,(IF(Q30=0,"N/A",100%)))</f>
        <v>0.18181818181818182</v>
      </c>
      <c r="S30" s="1837">
        <f>SUM(S27:S29)</f>
        <v>4</v>
      </c>
      <c r="T30" s="1630">
        <f>IF(Q30&gt;0,(S30-Q30)/Q30,(IF(S30=0,"N/A",100%)))</f>
        <v>-0.69230769230769229</v>
      </c>
      <c r="U30" s="1837">
        <f>SUM(U27:U29)</f>
        <v>6</v>
      </c>
      <c r="V30" s="1630">
        <f>IF(S30&gt;0,(U30-S30)/S30,(IF(U30=0,"N/A",100%)))</f>
        <v>0.5</v>
      </c>
    </row>
    <row r="31" spans="1:22" ht="18" customHeight="1" thickBot="1" x14ac:dyDescent="0.35">
      <c r="A31" s="556" t="s">
        <v>415</v>
      </c>
      <c r="B31" s="545">
        <f>+B30+B25+B18+B9</f>
        <v>134</v>
      </c>
      <c r="C31" s="545">
        <f>+C30+C25+C18+C9</f>
        <v>146</v>
      </c>
      <c r="D31" s="1154">
        <f>IF(B31&gt;0,(C31-B31)/B31,(IF(C31=0,"N/A",100%)))</f>
        <v>8.9552238805970144E-2</v>
      </c>
      <c r="E31" s="545">
        <f>+E30+E25+E18+E9</f>
        <v>126</v>
      </c>
      <c r="F31" s="1154">
        <f>IF(C31&gt;0,(E31-C31)/C31,(IF(E31=0,"N/A",100%)))</f>
        <v>-0.13698630136986301</v>
      </c>
      <c r="G31" s="545">
        <f>+G30+G25+G18+G9</f>
        <v>143</v>
      </c>
      <c r="H31" s="1154">
        <f>IF(E31&gt;0,(G31-E31)/E31,(IF(G31=0,"N/A",100%)))</f>
        <v>0.13492063492063491</v>
      </c>
      <c r="I31" s="545">
        <f>+I30+I25+I18+I9</f>
        <v>114</v>
      </c>
      <c r="J31" s="705">
        <f>IF(G31&gt;0,(I31-G31)/G31,(IF(I31=0,"N/A",100%)))</f>
        <v>-0.20279720279720279</v>
      </c>
      <c r="K31" s="545">
        <f>+K30+K25+K18+K9</f>
        <v>144</v>
      </c>
      <c r="L31" s="1154">
        <f>IF(I31&gt;0,(K31-I31)/I31,(IF(K31=0,"N/A",100%)))</f>
        <v>0.26315789473684209</v>
      </c>
      <c r="M31" s="545">
        <f>+M30+M25+M18+M9</f>
        <v>125</v>
      </c>
      <c r="N31" s="1154">
        <f>IF(K31&gt;0,(M31-K31)/K31,(IF(M31=0,"N/A",100%)))</f>
        <v>-0.13194444444444445</v>
      </c>
      <c r="O31" s="545">
        <f>+O30+O25+O18+O9</f>
        <v>121</v>
      </c>
      <c r="P31" s="1154">
        <f>IF(M31&gt;0,(O31-M31)/M31,(IF(O31=0,"N/A",100%)))</f>
        <v>-3.2000000000000001E-2</v>
      </c>
      <c r="Q31" s="545">
        <f>+Q30+Q25+Q18+Q9</f>
        <v>149</v>
      </c>
      <c r="R31" s="1154">
        <f>IF(O31&gt;0,(Q31-O31)/O31,(IF(Q31=0,"N/A",100%)))</f>
        <v>0.23140495867768596</v>
      </c>
      <c r="S31" s="545">
        <f>+S30+S25+S18+S9</f>
        <v>124</v>
      </c>
      <c r="T31" s="705">
        <f>IF(Q31&gt;0,(S31-Q31)/Q31,(IF(S31=0,"N/A",100%)))</f>
        <v>-0.16778523489932887</v>
      </c>
      <c r="U31" s="545">
        <f>+U30+U25+U18+U9</f>
        <v>88</v>
      </c>
      <c r="V31" s="705">
        <f>IF(S31&gt;0,(U31-S31)/S31,(IF(U31=0,"N/A",100%)))</f>
        <v>-0.29032258064516131</v>
      </c>
    </row>
    <row r="32" spans="1:22" ht="20.25" customHeight="1" thickBot="1" x14ac:dyDescent="0.35">
      <c r="A32" s="2161" t="s">
        <v>416</v>
      </c>
      <c r="B32" s="2162"/>
      <c r="C32" s="2162"/>
      <c r="D32" s="2162"/>
      <c r="E32" s="2162"/>
      <c r="F32" s="2162"/>
      <c r="G32" s="2162"/>
      <c r="H32" s="2162"/>
      <c r="I32" s="2162"/>
      <c r="J32" s="2162"/>
      <c r="K32" s="2162"/>
      <c r="L32" s="2162"/>
      <c r="M32" s="2162"/>
      <c r="N32" s="2162"/>
      <c r="O32" s="2162"/>
      <c r="P32" s="2162"/>
      <c r="Q32" s="2162"/>
      <c r="R32" s="2162"/>
      <c r="S32" s="2162"/>
      <c r="T32" s="2162"/>
      <c r="U32" s="2162"/>
      <c r="V32" s="2163"/>
    </row>
    <row r="33" spans="1:22" ht="20.25" customHeight="1" x14ac:dyDescent="0.3">
      <c r="A33" s="549" t="s">
        <v>410</v>
      </c>
      <c r="B33" s="1832">
        <v>2002</v>
      </c>
      <c r="C33" s="1832">
        <f>+B33+1</f>
        <v>2003</v>
      </c>
      <c r="D33" s="667" t="s">
        <v>1100</v>
      </c>
      <c r="E33" s="1832">
        <v>2008</v>
      </c>
      <c r="F33" s="667" t="s">
        <v>1100</v>
      </c>
      <c r="G33" s="1832">
        <f>E33+1</f>
        <v>2009</v>
      </c>
      <c r="H33" s="667" t="s">
        <v>1100</v>
      </c>
      <c r="I33" s="1832">
        <f>G33+1</f>
        <v>2010</v>
      </c>
      <c r="J33" s="1833" t="s">
        <v>1100</v>
      </c>
      <c r="K33" s="1832">
        <f>I33+1</f>
        <v>2011</v>
      </c>
      <c r="L33" s="667" t="s">
        <v>1100</v>
      </c>
      <c r="M33" s="1832">
        <f>K33+1</f>
        <v>2012</v>
      </c>
      <c r="N33" s="667" t="s">
        <v>1100</v>
      </c>
      <c r="O33" s="1832">
        <f>M33+1</f>
        <v>2013</v>
      </c>
      <c r="P33" s="667" t="s">
        <v>1100</v>
      </c>
      <c r="Q33" s="1832">
        <f>O33+1</f>
        <v>2014</v>
      </c>
      <c r="R33" s="667" t="s">
        <v>1100</v>
      </c>
      <c r="S33" s="1832">
        <f>Q33+1</f>
        <v>2015</v>
      </c>
      <c r="T33" s="1833" t="s">
        <v>1100</v>
      </c>
      <c r="U33" s="1832">
        <f>S33+1</f>
        <v>2016</v>
      </c>
      <c r="V33" s="1833" t="s">
        <v>1100</v>
      </c>
    </row>
    <row r="34" spans="1:22" ht="18" customHeight="1" x14ac:dyDescent="0.3">
      <c r="A34" s="1834" t="s">
        <v>417</v>
      </c>
      <c r="B34" s="1835"/>
      <c r="C34" s="1835"/>
      <c r="D34" s="1547"/>
      <c r="E34" s="1835"/>
      <c r="F34" s="1547"/>
      <c r="G34" s="1835"/>
      <c r="H34" s="1547"/>
      <c r="I34" s="1835"/>
      <c r="J34" s="1836"/>
      <c r="K34" s="1835"/>
      <c r="L34" s="1547"/>
      <c r="M34" s="1835"/>
      <c r="N34" s="1547"/>
      <c r="O34" s="1835"/>
      <c r="P34" s="1547"/>
      <c r="Q34" s="1835"/>
      <c r="R34" s="1547"/>
      <c r="S34" s="1835"/>
      <c r="T34" s="1836"/>
      <c r="U34" s="1835"/>
      <c r="V34" s="1836"/>
    </row>
    <row r="35" spans="1:22" ht="18" customHeight="1" x14ac:dyDescent="0.3">
      <c r="A35" s="1363" t="s">
        <v>1127</v>
      </c>
      <c r="B35" s="1629">
        <v>1</v>
      </c>
      <c r="C35" s="1629">
        <v>0</v>
      </c>
      <c r="D35" s="462">
        <f>IF(B35&gt;0,(C35-B35)/B35,(IF(C35=0,"N/A",100%)))</f>
        <v>-1</v>
      </c>
      <c r="E35" s="1629">
        <v>0</v>
      </c>
      <c r="F35" s="462" t="str">
        <f>IF(C35&gt;0,(E35-C35)/C35,(IF(E35=0,"N/A",100%)))</f>
        <v>N/A</v>
      </c>
      <c r="G35" s="1629">
        <v>0</v>
      </c>
      <c r="H35" s="462" t="str">
        <f>IF(E35&gt;0,(G35-E35)/E35,(IF(G35=0,"N/A",100%)))</f>
        <v>N/A</v>
      </c>
      <c r="I35" s="1629">
        <v>0</v>
      </c>
      <c r="J35" s="1630" t="str">
        <f>IF(G35&gt;0,(I35-G35)/G35,(IF(I35=0,"N/A",100%)))</f>
        <v>N/A</v>
      </c>
      <c r="K35" s="1629">
        <v>0</v>
      </c>
      <c r="L35" s="462" t="str">
        <f>IF(I35&gt;0,(K35-I35)/I35,(IF(K35=0,"N/A",100%)))</f>
        <v>N/A</v>
      </c>
      <c r="M35" s="1629">
        <v>0</v>
      </c>
      <c r="N35" s="462" t="str">
        <f>IF(K35&gt;0,(M35-K35)/K35,(IF(M35=0,"N/A",100%)))</f>
        <v>N/A</v>
      </c>
      <c r="O35" s="1629">
        <v>0</v>
      </c>
      <c r="P35" s="462" t="str">
        <f>IF(M35&gt;0,(O35-M35)/M35,(IF(O35=0,"N/A",100%)))</f>
        <v>N/A</v>
      </c>
      <c r="Q35" s="1629">
        <v>0</v>
      </c>
      <c r="R35" s="462" t="str">
        <f>IF(O35&gt;0,(Q35-O35)/O35,(IF(Q35=0,"N/A",100%)))</f>
        <v>N/A</v>
      </c>
      <c r="S35" s="1629">
        <v>0</v>
      </c>
      <c r="T35" s="1630" t="str">
        <f>IF(Q35&gt;0,(S35-Q35)/Q35,(IF(S35=0,"N/A",100%)))</f>
        <v>N/A</v>
      </c>
      <c r="U35" s="1629">
        <v>0</v>
      </c>
      <c r="V35" s="1630" t="str">
        <f>IF(S35&gt;0,(U35-S35)/S35,(IF(U35=0,"N/A",100%)))</f>
        <v>N/A</v>
      </c>
    </row>
    <row r="36" spans="1:22" ht="18" customHeight="1" x14ac:dyDescent="0.3">
      <c r="A36" s="552" t="s">
        <v>1128</v>
      </c>
      <c r="B36" s="1629">
        <v>33</v>
      </c>
      <c r="C36" s="1629">
        <v>20</v>
      </c>
      <c r="D36" s="462">
        <f>IF(B36&gt;0,(C36-B36)/B36,(IF(C36=0,"N/A",100%)))</f>
        <v>-0.39393939393939392</v>
      </c>
      <c r="E36" s="1629">
        <v>8</v>
      </c>
      <c r="F36" s="462">
        <f>IF(C36&gt;0,(E36-C36)/C36,(IF(E36=0,"N/A",100%)))</f>
        <v>-0.6</v>
      </c>
      <c r="G36" s="1629">
        <v>11</v>
      </c>
      <c r="H36" s="462">
        <f>IF(E36&gt;0,(G36-E36)/E36,(IF(G36=0,"N/A",100%)))</f>
        <v>0.375</v>
      </c>
      <c r="I36" s="1629">
        <v>11</v>
      </c>
      <c r="J36" s="1630">
        <f>IF(G36&gt;0,(I36-G36)/G36,(IF(I36=0,"N/A",100%)))</f>
        <v>0</v>
      </c>
      <c r="K36" s="1629">
        <v>19</v>
      </c>
      <c r="L36" s="462">
        <f>IF(I36&gt;0,(K36-I36)/I36,(IF(K36=0,"N/A",100%)))</f>
        <v>0.72727272727272729</v>
      </c>
      <c r="M36" s="1837">
        <v>14</v>
      </c>
      <c r="N36" s="462">
        <f>IF(K36&gt;0,(M36-K36)/K36,(IF(M36=0,"N/A",100%)))</f>
        <v>-0.26315789473684209</v>
      </c>
      <c r="O36" s="1837">
        <v>11</v>
      </c>
      <c r="P36" s="462">
        <f>IF(M36&gt;0,(O36-M36)/M36,(IF(O36=0,"N/A",100%)))</f>
        <v>-0.21428571428571427</v>
      </c>
      <c r="Q36" s="1837">
        <v>3</v>
      </c>
      <c r="R36" s="462">
        <f>IF(O36&gt;0,(Q36-O36)/O36,(IF(Q36=0,"N/A",100%)))</f>
        <v>-0.72727272727272729</v>
      </c>
      <c r="S36" s="1837">
        <v>5</v>
      </c>
      <c r="T36" s="1630">
        <f>IF(Q36&gt;0,(S36-Q36)/Q36,(IF(S36=0,"N/A",100%)))</f>
        <v>0.66666666666666663</v>
      </c>
      <c r="U36" s="1837">
        <v>7</v>
      </c>
      <c r="V36" s="1630">
        <f>IF(S36&gt;0,(U36-S36)/S36,(IF(U36=0,"N/A",100%)))</f>
        <v>0.4</v>
      </c>
    </row>
    <row r="37" spans="1:22" ht="18" customHeight="1" x14ac:dyDescent="0.3">
      <c r="A37" s="553" t="s">
        <v>1015</v>
      </c>
      <c r="B37" s="1629">
        <f>SUM(B35:B36)</f>
        <v>34</v>
      </c>
      <c r="C37" s="1629">
        <f>SUM(C35:C36)</f>
        <v>20</v>
      </c>
      <c r="D37" s="462">
        <f>IF(B37&gt;0,(C37-B37)/B37,(IF(C37=0,"N/A",100%)))</f>
        <v>-0.41176470588235292</v>
      </c>
      <c r="E37" s="1629">
        <f>SUM(E35:E36)</f>
        <v>8</v>
      </c>
      <c r="F37" s="462">
        <f>IF(C37&gt;0,(E37-C37)/C37,(IF(E37=0,"N/A",100%)))</f>
        <v>-0.6</v>
      </c>
      <c r="G37" s="1629">
        <f>SUM(G35:G36)</f>
        <v>11</v>
      </c>
      <c r="H37" s="462">
        <f>IF(E37&gt;0,(G37-E37)/E37,(IF(G37=0,"N/A",100%)))</f>
        <v>0.375</v>
      </c>
      <c r="I37" s="1629">
        <f>SUM(I35:I36)</f>
        <v>11</v>
      </c>
      <c r="J37" s="1630">
        <f>IF(G37&gt;0,(I37-G37)/G37,(IF(I37=0,"N/A",100%)))</f>
        <v>0</v>
      </c>
      <c r="K37" s="1629">
        <f>SUM(K35:K36)</f>
        <v>19</v>
      </c>
      <c r="L37" s="462">
        <f>IF(I37&gt;0,(K37-I37)/I37,(IF(K37=0,"N/A",100%)))</f>
        <v>0.72727272727272729</v>
      </c>
      <c r="M37" s="1629">
        <f>SUM(M35:M36)</f>
        <v>14</v>
      </c>
      <c r="N37" s="462">
        <f>IF(K37&gt;0,(M37-K37)/K37,(IF(M37=0,"N/A",100%)))</f>
        <v>-0.26315789473684209</v>
      </c>
      <c r="O37" s="1629">
        <f>SUM(O35:O36)</f>
        <v>11</v>
      </c>
      <c r="P37" s="462">
        <f>IF(M37&gt;0,(O37-M37)/M37,(IF(O37=0,"N/A",100%)))</f>
        <v>-0.21428571428571427</v>
      </c>
      <c r="Q37" s="1629">
        <f>SUM(Q35:Q36)</f>
        <v>3</v>
      </c>
      <c r="R37" s="462">
        <f>IF(O37&gt;0,(Q37-O37)/O37,(IF(Q37=0,"N/A",100%)))</f>
        <v>-0.72727272727272729</v>
      </c>
      <c r="S37" s="1629">
        <f>SUM(S35:S36)</f>
        <v>5</v>
      </c>
      <c r="T37" s="1630">
        <f>IF(Q37&gt;0,(S37-Q37)/Q37,(IF(S37=0,"N/A",100%)))</f>
        <v>0.66666666666666663</v>
      </c>
      <c r="U37" s="1629">
        <f>SUM(U35:U36)</f>
        <v>7</v>
      </c>
      <c r="V37" s="1630">
        <f>IF(S37&gt;0,(U37-S37)/S37,(IF(U37=0,"N/A",100%)))</f>
        <v>0.4</v>
      </c>
    </row>
    <row r="38" spans="1:22" ht="18" customHeight="1" x14ac:dyDescent="0.3">
      <c r="A38" s="1834" t="s">
        <v>418</v>
      </c>
      <c r="B38" s="1835"/>
      <c r="C38" s="1835"/>
      <c r="D38" s="1547"/>
      <c r="E38" s="1835"/>
      <c r="F38" s="1547"/>
      <c r="G38" s="1835"/>
      <c r="H38" s="1547"/>
      <c r="I38" s="1835"/>
      <c r="J38" s="1836"/>
      <c r="K38" s="1835"/>
      <c r="L38" s="1547"/>
      <c r="M38" s="1835"/>
      <c r="N38" s="1547"/>
      <c r="O38" s="1835"/>
      <c r="P38" s="1547"/>
      <c r="Q38" s="1835"/>
      <c r="R38" s="1547"/>
      <c r="S38" s="1835"/>
      <c r="T38" s="1836"/>
      <c r="U38" s="1835"/>
      <c r="V38" s="1836"/>
    </row>
    <row r="39" spans="1:22" ht="18" customHeight="1" x14ac:dyDescent="0.3">
      <c r="A39" s="552" t="s">
        <v>1132</v>
      </c>
      <c r="B39" s="1629">
        <v>6</v>
      </c>
      <c r="C39" s="1629">
        <v>12</v>
      </c>
      <c r="D39" s="462">
        <f>IF(B39&gt;0,(C39-B39)/B39,(IF(C39=0,"N/A",100%)))</f>
        <v>1</v>
      </c>
      <c r="E39" s="1629">
        <v>6</v>
      </c>
      <c r="F39" s="462">
        <f>IF(C39&gt;0,(E39-C39)/C39,(IF(E39=0,"N/A",100%)))</f>
        <v>-0.5</v>
      </c>
      <c r="G39" s="1629">
        <v>4</v>
      </c>
      <c r="H39" s="462">
        <f>IF(E39&gt;0,(G39-E39)/E39,(IF(G39=0,"N/A",100%)))</f>
        <v>-0.33333333333333331</v>
      </c>
      <c r="I39" s="1629">
        <v>5</v>
      </c>
      <c r="J39" s="1630">
        <f>IF(G39&gt;0,(I39-G39)/G39,(IF(I39=0,"N/A",100%)))</f>
        <v>0.25</v>
      </c>
      <c r="K39" s="1629">
        <v>6</v>
      </c>
      <c r="L39" s="462">
        <f>IF(I39&gt;0,(K39-I39)/I39,(IF(K39=0,"N/A",100%)))</f>
        <v>0.2</v>
      </c>
      <c r="M39" s="1629">
        <v>6</v>
      </c>
      <c r="N39" s="462">
        <f>IF(K39&gt;0,(M39-K39)/K39,(IF(M39=0,"N/A",100%)))</f>
        <v>0</v>
      </c>
      <c r="O39" s="1629">
        <v>6</v>
      </c>
      <c r="P39" s="462">
        <f>IF(M39&gt;0,(O39-M39)/M39,(IF(O39=0,"N/A",100%)))</f>
        <v>0</v>
      </c>
      <c r="Q39" s="1629">
        <v>3</v>
      </c>
      <c r="R39" s="462">
        <f>IF(O39&gt;0,(Q39-O39)/O39,(IF(Q39=0,"N/A",100%)))</f>
        <v>-0.5</v>
      </c>
      <c r="S39" s="1629">
        <v>6</v>
      </c>
      <c r="T39" s="1630">
        <f>IF(Q39&gt;0,(S39-Q39)/Q39,(IF(S39=0,"N/A",100%)))</f>
        <v>1</v>
      </c>
      <c r="U39" s="1629">
        <v>5</v>
      </c>
      <c r="V39" s="1630">
        <f>IF(S39&gt;0,(U39-S39)/S39,(IF(U39=0,"N/A",100%)))</f>
        <v>-0.16666666666666666</v>
      </c>
    </row>
    <row r="40" spans="1:22" ht="18" customHeight="1" x14ac:dyDescent="0.3">
      <c r="A40" s="552" t="s">
        <v>774</v>
      </c>
      <c r="B40" s="1629">
        <v>3</v>
      </c>
      <c r="C40" s="1629">
        <v>3</v>
      </c>
      <c r="D40" s="462">
        <f>IF(B40&gt;0,(C40-B40)/B40,(IF(C40=0,"N/A",100%)))</f>
        <v>0</v>
      </c>
      <c r="E40" s="1629">
        <v>0</v>
      </c>
      <c r="F40" s="462">
        <f>IF(C40&gt;0,(E40-C40)/C40,(IF(E40=0,"N/A",100%)))</f>
        <v>-1</v>
      </c>
      <c r="G40" s="1629">
        <v>0</v>
      </c>
      <c r="H40" s="462" t="str">
        <f>IF(E40&gt;0,(G40-E40)/E40,(IF(G40=0,"N/A",100%)))</f>
        <v>N/A</v>
      </c>
      <c r="I40" s="1629">
        <v>0</v>
      </c>
      <c r="J40" s="1630" t="str">
        <f>IF(G40&gt;0,(I40-G40)/G40,(IF(I40=0,"N/A",100%)))</f>
        <v>N/A</v>
      </c>
      <c r="K40" s="1629">
        <v>0</v>
      </c>
      <c r="L40" s="462" t="str">
        <f>IF(I40&gt;0,(K40-I40)/I40,(IF(K40=0,"N/A",100%)))</f>
        <v>N/A</v>
      </c>
      <c r="M40" s="1629">
        <v>0</v>
      </c>
      <c r="N40" s="462" t="str">
        <f>IF(K40&gt;0,(M40-K40)/K40,(IF(M40=0,"N/A",100%)))</f>
        <v>N/A</v>
      </c>
      <c r="O40" s="1629">
        <v>0</v>
      </c>
      <c r="P40" s="462" t="str">
        <f>IF(M40&gt;0,(O40-M40)/M40,(IF(O40=0,"N/A",100%)))</f>
        <v>N/A</v>
      </c>
      <c r="Q40" s="1629">
        <v>0</v>
      </c>
      <c r="R40" s="462" t="str">
        <f>IF(O40&gt;0,(Q40-O40)/O40,(IF(Q40=0,"N/A",100%)))</f>
        <v>N/A</v>
      </c>
      <c r="S40" s="1629">
        <v>0</v>
      </c>
      <c r="T40" s="1630" t="str">
        <f>IF(Q40&gt;0,(S40-Q40)/Q40,(IF(S40=0,"N/A",100%)))</f>
        <v>N/A</v>
      </c>
      <c r="U40" s="1629">
        <v>0</v>
      </c>
      <c r="V40" s="1630" t="str">
        <f>IF(S40&gt;0,(U40-S40)/S40,(IF(U40=0,"N/A",100%)))</f>
        <v>N/A</v>
      </c>
    </row>
    <row r="41" spans="1:22" ht="18" customHeight="1" x14ac:dyDescent="0.3">
      <c r="A41" s="552" t="s">
        <v>872</v>
      </c>
      <c r="B41" s="1629">
        <v>0</v>
      </c>
      <c r="C41" s="1629">
        <v>0</v>
      </c>
      <c r="D41" s="462" t="str">
        <f>IF(B41&gt;0,(C41-B41)/B41,(IF(C41=0,"N/A",100%)))</f>
        <v>N/A</v>
      </c>
      <c r="E41" s="1629">
        <v>3</v>
      </c>
      <c r="F41" s="462">
        <f>IF(C41&gt;0,(E41-C41)/C41,(IF(E41=0,"N/A",100%)))</f>
        <v>1</v>
      </c>
      <c r="G41" s="1629">
        <v>1</v>
      </c>
      <c r="H41" s="462">
        <f>IF(E41&gt;0,(G41-E41)/E41,(IF(G41=0,"N/A",100%)))</f>
        <v>-0.66666666666666663</v>
      </c>
      <c r="I41" s="1629">
        <v>5</v>
      </c>
      <c r="J41" s="1630">
        <f>IF(G41&gt;0,(I41-G41)/G41,(IF(I41=0,"N/A",100%)))</f>
        <v>4</v>
      </c>
      <c r="K41" s="1629">
        <v>4</v>
      </c>
      <c r="L41" s="462">
        <f>IF(I41&gt;0,(K41-I41)/I41,(IF(K41=0,"N/A",100%)))</f>
        <v>-0.2</v>
      </c>
      <c r="M41" s="1629">
        <v>4</v>
      </c>
      <c r="N41" s="462">
        <f>IF(K41&gt;0,(M41-K41)/K41,(IF(M41=0,"N/A",100%)))</f>
        <v>0</v>
      </c>
      <c r="O41" s="1629">
        <v>6</v>
      </c>
      <c r="P41" s="462">
        <f>IF(M41&gt;0,(O41-M41)/M41,(IF(O41=0,"N/A",100%)))</f>
        <v>0.5</v>
      </c>
      <c r="Q41" s="1629">
        <v>1</v>
      </c>
      <c r="R41" s="462">
        <f>IF(O41&gt;0,(Q41-O41)/O41,(IF(Q41=0,"N/A",100%)))</f>
        <v>-0.83333333333333337</v>
      </c>
      <c r="S41" s="1629">
        <v>0</v>
      </c>
      <c r="T41" s="1630">
        <f>IF(Q41&gt;0,(S41-Q41)/Q41,(IF(S41=0,"N/A",100%)))</f>
        <v>-1</v>
      </c>
      <c r="U41" s="1629">
        <v>2</v>
      </c>
      <c r="V41" s="1630">
        <f>IF(S41&gt;0,(U41-S41)/S41,(IF(U41=0,"N/A",100%)))</f>
        <v>1</v>
      </c>
    </row>
    <row r="42" spans="1:22" ht="18" customHeight="1" x14ac:dyDescent="0.3">
      <c r="A42" s="552" t="s">
        <v>1133</v>
      </c>
      <c r="B42" s="1629">
        <v>1</v>
      </c>
      <c r="C42" s="1629">
        <v>5</v>
      </c>
      <c r="D42" s="462">
        <f>IF(B42&gt;0,(C42-B42)/B42,(IF(C42=0,"N/A",100%)))</f>
        <v>4</v>
      </c>
      <c r="E42" s="1629">
        <v>1</v>
      </c>
      <c r="F42" s="462">
        <f>IF(C42&gt;0,(E42-C42)/C42,(IF(E42=0,"N/A",100%)))</f>
        <v>-0.8</v>
      </c>
      <c r="G42" s="1629">
        <v>2</v>
      </c>
      <c r="H42" s="462">
        <f>IF(E42&gt;0,(G42-E42)/E42,(IF(G42=0,"N/A",100%)))</f>
        <v>1</v>
      </c>
      <c r="I42" s="1629">
        <v>1</v>
      </c>
      <c r="J42" s="1630">
        <f>IF(G42&gt;0,(I42-G42)/G42,(IF(I42=0,"N/A",100%)))</f>
        <v>-0.5</v>
      </c>
      <c r="K42" s="1629">
        <v>2</v>
      </c>
      <c r="L42" s="462">
        <f>IF(I42&gt;0,(K42-I42)/I42,(IF(K42=0,"N/A",100%)))</f>
        <v>1</v>
      </c>
      <c r="M42" s="1629">
        <v>2</v>
      </c>
      <c r="N42" s="462">
        <f>IF(K42&gt;0,(M42-K42)/K42,(IF(M42=0,"N/A",100%)))</f>
        <v>0</v>
      </c>
      <c r="O42" s="1629">
        <v>3</v>
      </c>
      <c r="P42" s="462">
        <f>IF(M42&gt;0,(O42-M42)/M42,(IF(O42=0,"N/A",100%)))</f>
        <v>0.5</v>
      </c>
      <c r="Q42" s="1629">
        <v>0</v>
      </c>
      <c r="R42" s="462">
        <f>IF(O42&gt;0,(Q42-O42)/O42,(IF(Q42=0,"N/A",100%)))</f>
        <v>-1</v>
      </c>
      <c r="S42" s="1629">
        <v>0</v>
      </c>
      <c r="T42" s="1630" t="str">
        <f>IF(Q42&gt;0,(S42-Q42)/Q42,(IF(S42=0,"N/A",100%)))</f>
        <v>N/A</v>
      </c>
      <c r="U42" s="1629">
        <v>1</v>
      </c>
      <c r="V42" s="1630">
        <f>IF(S42&gt;0,(U42-S42)/S42,(IF(U42=0,"N/A",100%)))</f>
        <v>1</v>
      </c>
    </row>
    <row r="43" spans="1:22" ht="18" customHeight="1" x14ac:dyDescent="0.3">
      <c r="A43" s="553" t="s">
        <v>1015</v>
      </c>
      <c r="B43" s="1629">
        <f>SUM(B39:B42)</f>
        <v>10</v>
      </c>
      <c r="C43" s="1629">
        <f>SUM(C39:C42)</f>
        <v>20</v>
      </c>
      <c r="D43" s="462">
        <f>IF(B43&gt;0,(C43-B43)/B43,(IF(C43=0,"N/A",100%)))</f>
        <v>1</v>
      </c>
      <c r="E43" s="1629">
        <f>SUM(E39:E42)</f>
        <v>10</v>
      </c>
      <c r="F43" s="462">
        <f>IF(C43&gt;0,(E43-C43)/C43,(IF(E43=0,"N/A",100%)))</f>
        <v>-0.5</v>
      </c>
      <c r="G43" s="1629">
        <f>SUM(G39:G42)</f>
        <v>7</v>
      </c>
      <c r="H43" s="462">
        <f>IF(E43&gt;0,(G43-E43)/E43,(IF(G43=0,"N/A",100%)))</f>
        <v>-0.3</v>
      </c>
      <c r="I43" s="1629">
        <f>SUM(I39:I42)</f>
        <v>11</v>
      </c>
      <c r="J43" s="1630">
        <f>IF(G43&gt;0,(I43-G43)/G43,(IF(I43=0,"N/A",100%)))</f>
        <v>0.5714285714285714</v>
      </c>
      <c r="K43" s="1629">
        <f>SUM(K39:K42)</f>
        <v>12</v>
      </c>
      <c r="L43" s="462">
        <f>IF(I43&gt;0,(K43-I43)/I43,(IF(K43=0,"N/A",100%)))</f>
        <v>9.0909090909090912E-2</v>
      </c>
      <c r="M43" s="1837">
        <f>SUM(M39:M42)</f>
        <v>12</v>
      </c>
      <c r="N43" s="462">
        <f>IF(K43&gt;0,(M43-K43)/K43,(IF(M43=0,"N/A",100%)))</f>
        <v>0</v>
      </c>
      <c r="O43" s="1837">
        <f>SUM(O39:O42)</f>
        <v>15</v>
      </c>
      <c r="P43" s="462">
        <f>IF(M43&gt;0,(O43-M43)/M43,(IF(O43=0,"N/A",100%)))</f>
        <v>0.25</v>
      </c>
      <c r="Q43" s="1837">
        <f>SUM(Q39:Q42)</f>
        <v>4</v>
      </c>
      <c r="R43" s="462">
        <f>IF(O43&gt;0,(Q43-O43)/O43,(IF(Q43=0,"N/A",100%)))</f>
        <v>-0.73333333333333328</v>
      </c>
      <c r="S43" s="1837">
        <f>SUM(S39:S42)</f>
        <v>6</v>
      </c>
      <c r="T43" s="1630">
        <f>IF(Q43&gt;0,(S43-Q43)/Q43,(IF(S43=0,"N/A",100%)))</f>
        <v>0.5</v>
      </c>
      <c r="U43" s="1837">
        <f>SUM(U39:U42)</f>
        <v>8</v>
      </c>
      <c r="V43" s="1630">
        <f>IF(S43&gt;0,(U43-S43)/S43,(IF(U43=0,"N/A",100%)))</f>
        <v>0.33333333333333331</v>
      </c>
    </row>
    <row r="44" spans="1:22" ht="18" customHeight="1" x14ac:dyDescent="0.3">
      <c r="A44" s="1834" t="s">
        <v>419</v>
      </c>
      <c r="B44" s="1835"/>
      <c r="C44" s="1835"/>
      <c r="D44" s="1547"/>
      <c r="E44" s="1835"/>
      <c r="F44" s="1547"/>
      <c r="G44" s="1835"/>
      <c r="H44" s="1547"/>
      <c r="I44" s="1835"/>
      <c r="J44" s="1836"/>
      <c r="K44" s="1835"/>
      <c r="L44" s="1547"/>
      <c r="M44" s="1835"/>
      <c r="N44" s="1547"/>
      <c r="O44" s="1835"/>
      <c r="P44" s="1547"/>
      <c r="Q44" s="1835"/>
      <c r="R44" s="1547"/>
      <c r="S44" s="1835"/>
      <c r="T44" s="1836"/>
      <c r="U44" s="1835"/>
      <c r="V44" s="1836"/>
    </row>
    <row r="45" spans="1:22" ht="18" customHeight="1" x14ac:dyDescent="0.3">
      <c r="A45" s="552" t="s">
        <v>1129</v>
      </c>
      <c r="B45" s="1629">
        <v>15</v>
      </c>
      <c r="C45" s="1629">
        <v>28</v>
      </c>
      <c r="D45" s="462">
        <f>IF(B45&gt;0,(C45-B45)/B45,(IF(C45=0,"N/A",100%)))</f>
        <v>0.8666666666666667</v>
      </c>
      <c r="E45" s="1629">
        <v>15</v>
      </c>
      <c r="F45" s="462">
        <f>IF(C45&gt;0,(E45-C45)/C45,(IF(E45=0,"N/A",100%)))</f>
        <v>-0.4642857142857143</v>
      </c>
      <c r="G45" s="1629">
        <v>17</v>
      </c>
      <c r="H45" s="462">
        <f>IF(E45&gt;0,(G45-E45)/E45,(IF(G45=0,"N/A",100%)))</f>
        <v>0.13333333333333333</v>
      </c>
      <c r="I45" s="1629">
        <v>23</v>
      </c>
      <c r="J45" s="1630">
        <f>IF(G45&gt;0,(I45-G45)/G45,(IF(I45=0,"N/A",100%)))</f>
        <v>0.35294117647058826</v>
      </c>
      <c r="K45" s="1629">
        <v>10</v>
      </c>
      <c r="L45" s="462">
        <f>IF(I45&gt;0,(K45-I45)/I45,(IF(K45=0,"N/A",100%)))</f>
        <v>-0.56521739130434778</v>
      </c>
      <c r="M45" s="1629">
        <v>22</v>
      </c>
      <c r="N45" s="462">
        <f>IF(K45&gt;0,(M45-K45)/K45,(IF(M45=0,"N/A",100%)))</f>
        <v>1.2</v>
      </c>
      <c r="O45" s="1629">
        <v>19</v>
      </c>
      <c r="P45" s="462">
        <f>IF(M45&gt;0,(O45-M45)/M45,(IF(O45=0,"N/A",100%)))</f>
        <v>-0.13636363636363635</v>
      </c>
      <c r="Q45" s="1629">
        <v>11</v>
      </c>
      <c r="R45" s="462">
        <f>IF(O45&gt;0,(Q45-O45)/O45,(IF(Q45=0,"N/A",100%)))</f>
        <v>-0.42105263157894735</v>
      </c>
      <c r="S45" s="1629">
        <v>18</v>
      </c>
      <c r="T45" s="1630">
        <f>IF(Q45&gt;0,(S45-Q45)/Q45,(IF(S45=0,"N/A",100%)))</f>
        <v>0.63636363636363635</v>
      </c>
      <c r="U45" s="1629">
        <v>19</v>
      </c>
      <c r="V45" s="1630">
        <f>IF(S45&gt;0,(U45-S45)/S45,(IF(U45=0,"N/A",100%)))</f>
        <v>5.5555555555555552E-2</v>
      </c>
    </row>
    <row r="46" spans="1:22" ht="18" customHeight="1" x14ac:dyDescent="0.3">
      <c r="A46" s="552" t="s">
        <v>775</v>
      </c>
      <c r="B46" s="1629">
        <v>0</v>
      </c>
      <c r="C46" s="1629">
        <v>0</v>
      </c>
      <c r="D46" s="462" t="str">
        <f>IF(B46&gt;0,(C46-B46)/B46,(IF(C46=0,"N/A",100%)))</f>
        <v>N/A</v>
      </c>
      <c r="E46" s="1629">
        <v>1</v>
      </c>
      <c r="F46" s="462">
        <f>IF(C46&gt;0,(E46-C46)/C46,(IF(E46=0,"N/A",100%)))</f>
        <v>1</v>
      </c>
      <c r="G46" s="1629">
        <v>0</v>
      </c>
      <c r="H46" s="462">
        <f>IF(E46&gt;0,(G46-E46)/E46,(IF(G46=0,"N/A",100%)))</f>
        <v>-1</v>
      </c>
      <c r="I46" s="1629">
        <v>0</v>
      </c>
      <c r="J46" s="1630" t="str">
        <f>IF(G46&gt;0,(I46-G46)/G46,(IF(I46=0,"N/A",100%)))</f>
        <v>N/A</v>
      </c>
      <c r="K46" s="1629">
        <v>0</v>
      </c>
      <c r="L46" s="462" t="str">
        <f>IF(I46&gt;0,(K46-I46)/I46,(IF(K46=0,"N/A",100%)))</f>
        <v>N/A</v>
      </c>
      <c r="M46" s="1629">
        <v>0</v>
      </c>
      <c r="N46" s="462" t="str">
        <f>IF(K46&gt;0,(M46-K46)/K46,(IF(M46=0,"N/A",100%)))</f>
        <v>N/A</v>
      </c>
      <c r="O46" s="1629">
        <v>0</v>
      </c>
      <c r="P46" s="462" t="str">
        <f>IF(M46&gt;0,(O46-M46)/M46,(IF(O46=0,"N/A",100%)))</f>
        <v>N/A</v>
      </c>
      <c r="Q46" s="1629">
        <v>0</v>
      </c>
      <c r="R46" s="462" t="str">
        <f>IF(O46&gt;0,(Q46-O46)/O46,(IF(Q46=0,"N/A",100%)))</f>
        <v>N/A</v>
      </c>
      <c r="S46" s="1629">
        <v>0</v>
      </c>
      <c r="T46" s="1630" t="str">
        <f>IF(Q46&gt;0,(S46-Q46)/Q46,(IF(S46=0,"N/A",100%)))</f>
        <v>N/A</v>
      </c>
      <c r="U46" s="1629">
        <v>0</v>
      </c>
      <c r="V46" s="1630" t="str">
        <f>IF(S46&gt;0,(U46-S46)/S46,(IF(U46=0,"N/A",100%)))</f>
        <v>N/A</v>
      </c>
    </row>
    <row r="47" spans="1:22" ht="18" customHeight="1" x14ac:dyDescent="0.3">
      <c r="A47" s="553" t="s">
        <v>1015</v>
      </c>
      <c r="B47" s="1629">
        <f>+B46+B45</f>
        <v>15</v>
      </c>
      <c r="C47" s="1629">
        <f>+C46+C45</f>
        <v>28</v>
      </c>
      <c r="D47" s="462">
        <f>IF(B47&gt;0,(C47-B47)/B47,(IF(C47=0,"N/A",100%)))</f>
        <v>0.8666666666666667</v>
      </c>
      <c r="E47" s="1629">
        <f>+E46+E45</f>
        <v>16</v>
      </c>
      <c r="F47" s="462">
        <f>IF(C47&gt;0,(E47-C47)/C47,(IF(E47=0,"N/A",100%)))</f>
        <v>-0.42857142857142855</v>
      </c>
      <c r="G47" s="1629">
        <f>+G46+G45</f>
        <v>17</v>
      </c>
      <c r="H47" s="462">
        <f>IF(E47&gt;0,(G47-E47)/E47,(IF(G47=0,"N/A",100%)))</f>
        <v>6.25E-2</v>
      </c>
      <c r="I47" s="1629">
        <f>+I46+I45</f>
        <v>23</v>
      </c>
      <c r="J47" s="1630">
        <f>IF(G47&gt;0,(I47-G47)/G47,(IF(I47=0,"N/A",100%)))</f>
        <v>0.35294117647058826</v>
      </c>
      <c r="K47" s="1629">
        <f>+K46+K45</f>
        <v>10</v>
      </c>
      <c r="L47" s="462">
        <f>IF(I47&gt;0,(K47-I47)/I47,(IF(K47=0,"N/A",100%)))</f>
        <v>-0.56521739130434778</v>
      </c>
      <c r="M47" s="1837">
        <f>+M46+M45</f>
        <v>22</v>
      </c>
      <c r="N47" s="462">
        <f>IF(K47&gt;0,(M47-K47)/K47,(IF(M47=0,"N/A",100%)))</f>
        <v>1.2</v>
      </c>
      <c r="O47" s="1837">
        <f>+O46+O45</f>
        <v>19</v>
      </c>
      <c r="P47" s="462">
        <f>IF(M47&gt;0,(O47-M47)/M47,(IF(O47=0,"N/A",100%)))</f>
        <v>-0.13636363636363635</v>
      </c>
      <c r="Q47" s="1837">
        <f>+Q46+Q45</f>
        <v>11</v>
      </c>
      <c r="R47" s="462">
        <f>IF(O47&gt;0,(Q47-O47)/O47,(IF(Q47=0,"N/A",100%)))</f>
        <v>-0.42105263157894735</v>
      </c>
      <c r="S47" s="1837">
        <f>+S46+S45</f>
        <v>18</v>
      </c>
      <c r="T47" s="1630">
        <f>IF(Q47&gt;0,(S47-Q47)/Q47,(IF(S47=0,"N/A",100%)))</f>
        <v>0.63636363636363635</v>
      </c>
      <c r="U47" s="1837">
        <f>+U46+U45</f>
        <v>19</v>
      </c>
      <c r="V47" s="1630">
        <f>IF(S47&gt;0,(U47-S47)/S47,(IF(U47=0,"N/A",100%)))</f>
        <v>5.5555555555555552E-2</v>
      </c>
    </row>
    <row r="48" spans="1:22" ht="18" customHeight="1" x14ac:dyDescent="0.3">
      <c r="A48" s="1834" t="s">
        <v>420</v>
      </c>
      <c r="B48" s="1835"/>
      <c r="C48" s="1835"/>
      <c r="D48" s="1547"/>
      <c r="E48" s="1835"/>
      <c r="F48" s="1547"/>
      <c r="G48" s="1835"/>
      <c r="H48" s="1547"/>
      <c r="I48" s="1835"/>
      <c r="J48" s="1836"/>
      <c r="K48" s="1835"/>
      <c r="L48" s="1547"/>
      <c r="M48" s="1835"/>
      <c r="N48" s="1547"/>
      <c r="O48" s="1835"/>
      <c r="P48" s="1547"/>
      <c r="Q48" s="1835"/>
      <c r="R48" s="1547"/>
      <c r="S48" s="1835"/>
      <c r="T48" s="1836"/>
      <c r="U48" s="1835"/>
      <c r="V48" s="1836"/>
    </row>
    <row r="49" spans="1:22" s="1548" customFormat="1" ht="18" customHeight="1" x14ac:dyDescent="0.3">
      <c r="A49" s="552" t="s">
        <v>1058</v>
      </c>
      <c r="B49" s="1838">
        <v>2</v>
      </c>
      <c r="C49" s="1838">
        <v>8</v>
      </c>
      <c r="D49" s="462">
        <f>IF(B49&gt;0,(C49-B49)/B49,(IF(C49=0,"N/A",100%)))</f>
        <v>3</v>
      </c>
      <c r="E49" s="1838">
        <v>0</v>
      </c>
      <c r="F49" s="462">
        <f>IF(C49&gt;0,(E49-C49)/C49,(IF(E49=0,"N/A",100%)))</f>
        <v>-1</v>
      </c>
      <c r="G49" s="1838">
        <v>0</v>
      </c>
      <c r="H49" s="462" t="str">
        <f>IF(E49&gt;0,(G49-E49)/E49,(IF(G49=0,"N/A",100%)))</f>
        <v>N/A</v>
      </c>
      <c r="I49" s="1838">
        <v>0</v>
      </c>
      <c r="J49" s="1630" t="str">
        <f>IF(G49&gt;0,(I49-G49)/G49,(IF(I49=0,"N/A",100%)))</f>
        <v>N/A</v>
      </c>
      <c r="K49" s="1838">
        <v>0</v>
      </c>
      <c r="L49" s="462" t="str">
        <f>IF(I49&gt;0,(K49-I49)/I49,(IF(K49=0,"N/A",100%)))</f>
        <v>N/A</v>
      </c>
      <c r="M49" s="1838">
        <v>0</v>
      </c>
      <c r="N49" s="462" t="str">
        <f>IF(K49&gt;0,(M49-K49)/K49,(IF(M49=0,"N/A",100%)))</f>
        <v>N/A</v>
      </c>
      <c r="O49" s="1838">
        <v>0</v>
      </c>
      <c r="P49" s="462" t="str">
        <f>IF(M49&gt;0,(O49-M49)/M49,(IF(O49=0,"N/A",100%)))</f>
        <v>N/A</v>
      </c>
      <c r="Q49" s="1838">
        <v>0</v>
      </c>
      <c r="R49" s="462" t="str">
        <f>IF(O49&gt;0,(Q49-O49)/O49,(IF(Q49=0,"N/A",100%)))</f>
        <v>N/A</v>
      </c>
      <c r="S49" s="1838">
        <v>0</v>
      </c>
      <c r="T49" s="1630" t="str">
        <f>IF(Q49&gt;0,(S49-Q49)/Q49,(IF(S49=0,"N/A",100%)))</f>
        <v>N/A</v>
      </c>
      <c r="U49" s="1838">
        <v>0</v>
      </c>
      <c r="V49" s="1630" t="str">
        <f>IF(S49&gt;0,(U49-S49)/S49,(IF(U49=0,"N/A",100%)))</f>
        <v>N/A</v>
      </c>
    </row>
    <row r="50" spans="1:22" ht="18" customHeight="1" x14ac:dyDescent="0.3">
      <c r="A50" s="552" t="s">
        <v>694</v>
      </c>
      <c r="B50" s="1629">
        <v>24</v>
      </c>
      <c r="C50" s="1629">
        <v>23</v>
      </c>
      <c r="D50" s="462">
        <f>IF(B50&gt;0,(C50-B50)/B50,(IF(C50=0,"N/A",100%)))</f>
        <v>-4.1666666666666664E-2</v>
      </c>
      <c r="E50" s="1629">
        <v>32</v>
      </c>
      <c r="F50" s="462">
        <f>IF(C50&gt;0,(E50-C50)/C50,(IF(E50=0,"N/A",100%)))</f>
        <v>0.39130434782608697</v>
      </c>
      <c r="G50" s="1629">
        <v>25</v>
      </c>
      <c r="H50" s="462">
        <f>IF(E50&gt;0,(G50-E50)/E50,(IF(G50=0,"N/A",100%)))</f>
        <v>-0.21875</v>
      </c>
      <c r="I50" s="1629">
        <v>24</v>
      </c>
      <c r="J50" s="1630">
        <f>IF(G50&gt;0,(I50-G50)/G50,(IF(I50=0,"N/A",100%)))</f>
        <v>-0.04</v>
      </c>
      <c r="K50" s="1629">
        <v>26</v>
      </c>
      <c r="L50" s="462">
        <f>IF(I50&gt;0,(K50-I50)/I50,(IF(K50=0,"N/A",100%)))</f>
        <v>8.3333333333333329E-2</v>
      </c>
      <c r="M50" s="1629">
        <v>30</v>
      </c>
      <c r="N50" s="462">
        <f>IF(K50&gt;0,(M50-K50)/K50,(IF(M50=0,"N/A",100%)))</f>
        <v>0.15384615384615385</v>
      </c>
      <c r="O50" s="1629">
        <v>34</v>
      </c>
      <c r="P50" s="462">
        <f>IF(M50&gt;0,(O50-M50)/M50,(IF(O50=0,"N/A",100%)))</f>
        <v>0.13333333333333333</v>
      </c>
      <c r="Q50" s="1629">
        <v>20</v>
      </c>
      <c r="R50" s="462">
        <f>IF(O50&gt;0,(Q50-O50)/O50,(IF(Q50=0,"N/A",100%)))</f>
        <v>-0.41176470588235292</v>
      </c>
      <c r="S50" s="1629">
        <v>23</v>
      </c>
      <c r="T50" s="1630">
        <f>IF(Q50&gt;0,(S50-Q50)/Q50,(IF(S50=0,"N/A",100%)))</f>
        <v>0.15</v>
      </c>
      <c r="U50" s="1629">
        <v>24</v>
      </c>
      <c r="V50" s="1630">
        <f>IF(S50&gt;0,(U50-S50)/S50,(IF(U50=0,"N/A",100%)))</f>
        <v>4.3478260869565216E-2</v>
      </c>
    </row>
    <row r="51" spans="1:22" ht="18" customHeight="1" x14ac:dyDescent="0.3">
      <c r="A51" s="552" t="s">
        <v>693</v>
      </c>
      <c r="B51" s="1629">
        <v>7</v>
      </c>
      <c r="C51" s="1629">
        <v>6</v>
      </c>
      <c r="D51" s="462">
        <f>IF(B51&gt;0,(C51-B51)/B51,(IF(C51=0,"N/A",100%)))</f>
        <v>-0.14285714285714285</v>
      </c>
      <c r="E51" s="1629">
        <v>3</v>
      </c>
      <c r="F51" s="462">
        <f>IF(C51&gt;0,(E51-C51)/C51,(IF(E51=0,"N/A",100%)))</f>
        <v>-0.5</v>
      </c>
      <c r="G51" s="1629">
        <v>7</v>
      </c>
      <c r="H51" s="462">
        <f>IF(E51&gt;0,(G51-E51)/E51,(IF(G51=0,"N/A",100%)))</f>
        <v>1.3333333333333333</v>
      </c>
      <c r="I51" s="1629">
        <v>5</v>
      </c>
      <c r="J51" s="1630">
        <f>IF(G51&gt;0,(I51-G51)/G51,(IF(I51=0,"N/A",100%)))</f>
        <v>-0.2857142857142857</v>
      </c>
      <c r="K51" s="1629">
        <v>4</v>
      </c>
      <c r="L51" s="462">
        <f>IF(I51&gt;0,(K51-I51)/I51,(IF(K51=0,"N/A",100%)))</f>
        <v>-0.2</v>
      </c>
      <c r="M51" s="1629">
        <v>2</v>
      </c>
      <c r="N51" s="462">
        <f>IF(K51&gt;0,(M51-K51)/K51,(IF(M51=0,"N/A",100%)))</f>
        <v>-0.5</v>
      </c>
      <c r="O51" s="1629">
        <v>6</v>
      </c>
      <c r="P51" s="462">
        <f>IF(M51&gt;0,(O51-M51)/M51,(IF(O51=0,"N/A",100%)))</f>
        <v>2</v>
      </c>
      <c r="Q51" s="1629">
        <v>3</v>
      </c>
      <c r="R51" s="462">
        <f>IF(O51&gt;0,(Q51-O51)/O51,(IF(Q51=0,"N/A",100%)))</f>
        <v>-0.5</v>
      </c>
      <c r="S51" s="1629">
        <v>3</v>
      </c>
      <c r="T51" s="1630">
        <f>IF(Q51&gt;0,(S51-Q51)/Q51,(IF(S51=0,"N/A",100%)))</f>
        <v>0</v>
      </c>
      <c r="U51" s="1629">
        <v>1</v>
      </c>
      <c r="V51" s="1630">
        <f>IF(S51&gt;0,(U51-S51)/S51,(IF(U51=0,"N/A",100%)))</f>
        <v>-0.66666666666666663</v>
      </c>
    </row>
    <row r="52" spans="1:22" ht="18" customHeight="1" x14ac:dyDescent="0.3">
      <c r="A52" s="553" t="s">
        <v>1015</v>
      </c>
      <c r="B52" s="1629">
        <f>SUM(B49:B51)</f>
        <v>33</v>
      </c>
      <c r="C52" s="1629">
        <f>SUM(C49:C51)</f>
        <v>37</v>
      </c>
      <c r="D52" s="462">
        <f>IF(B52&gt;0,(C52-B52)/B52,(IF(C52=0,"N/A",100%)))</f>
        <v>0.12121212121212122</v>
      </c>
      <c r="E52" s="1629">
        <f>SUM(E49:E51)</f>
        <v>35</v>
      </c>
      <c r="F52" s="462">
        <f>IF(C52&gt;0,(E52-C52)/C52,(IF(E52=0,"N/A",100%)))</f>
        <v>-5.4054054054054057E-2</v>
      </c>
      <c r="G52" s="1629">
        <f>SUM(G49:G51)</f>
        <v>32</v>
      </c>
      <c r="H52" s="462">
        <f>IF(E52&gt;0,(G52-E52)/E52,(IF(G52=0,"N/A",100%)))</f>
        <v>-8.5714285714285715E-2</v>
      </c>
      <c r="I52" s="1629">
        <f>SUM(I49:I51)</f>
        <v>29</v>
      </c>
      <c r="J52" s="1630">
        <f>IF(G52&gt;0,(I52-G52)/G52,(IF(I52=0,"N/A",100%)))</f>
        <v>-9.375E-2</v>
      </c>
      <c r="K52" s="1629">
        <f>SUM(K49:K51)</f>
        <v>30</v>
      </c>
      <c r="L52" s="462">
        <f>IF(I52&gt;0,(K52-I52)/I52,(IF(K52=0,"N/A",100%)))</f>
        <v>3.4482758620689655E-2</v>
      </c>
      <c r="M52" s="1837">
        <f>SUM(M49:M51)</f>
        <v>32</v>
      </c>
      <c r="N52" s="462">
        <f>IF(K52&gt;0,(M52-K52)/K52,(IF(M52=0,"N/A",100%)))</f>
        <v>6.6666666666666666E-2</v>
      </c>
      <c r="O52" s="1837">
        <f>SUM(O49:O51)</f>
        <v>40</v>
      </c>
      <c r="P52" s="462">
        <f>IF(M52&gt;0,(O52-M52)/M52,(IF(O52=0,"N/A",100%)))</f>
        <v>0.25</v>
      </c>
      <c r="Q52" s="1837">
        <f>SUM(Q49:Q51)</f>
        <v>23</v>
      </c>
      <c r="R52" s="462">
        <f>IF(O52&gt;0,(Q52-O52)/O52,(IF(Q52=0,"N/A",100%)))</f>
        <v>-0.42499999999999999</v>
      </c>
      <c r="S52" s="1837">
        <f>SUM(S49:S51)</f>
        <v>26</v>
      </c>
      <c r="T52" s="1630">
        <f>IF(Q52&gt;0,(S52-Q52)/Q52,(IF(S52=0,"N/A",100%)))</f>
        <v>0.13043478260869565</v>
      </c>
      <c r="U52" s="1837">
        <f>SUM(U49:U51)</f>
        <v>25</v>
      </c>
      <c r="V52" s="1630">
        <f>IF(S52&gt;0,(U52-S52)/S52,(IF(U52=0,"N/A",100%)))</f>
        <v>-3.8461538461538464E-2</v>
      </c>
    </row>
    <row r="53" spans="1:22" ht="18" customHeight="1" x14ac:dyDescent="0.3">
      <c r="A53" s="1834" t="s">
        <v>422</v>
      </c>
      <c r="B53" s="1835"/>
      <c r="C53" s="1835"/>
      <c r="D53" s="1547"/>
      <c r="E53" s="1835"/>
      <c r="F53" s="1547"/>
      <c r="G53" s="1835"/>
      <c r="H53" s="1547"/>
      <c r="I53" s="1835"/>
      <c r="J53" s="1836"/>
      <c r="K53" s="1835"/>
      <c r="L53" s="1547"/>
      <c r="M53" s="1835"/>
      <c r="N53" s="1547"/>
      <c r="O53" s="1835"/>
      <c r="P53" s="1547"/>
      <c r="Q53" s="1835"/>
      <c r="R53" s="1547"/>
      <c r="S53" s="1835"/>
      <c r="T53" s="1836"/>
      <c r="U53" s="1835"/>
      <c r="V53" s="1836"/>
    </row>
    <row r="54" spans="1:22" ht="18" customHeight="1" x14ac:dyDescent="0.3">
      <c r="A54" s="552" t="s">
        <v>1125</v>
      </c>
      <c r="B54" s="1629">
        <v>4</v>
      </c>
      <c r="C54" s="1629">
        <v>5</v>
      </c>
      <c r="D54" s="462">
        <f>IF(B54&gt;0,(C54-B54)/B54,(IF(C54=0,"N/A",100%)))</f>
        <v>0.25</v>
      </c>
      <c r="E54" s="1629">
        <v>5</v>
      </c>
      <c r="F54" s="462">
        <f>IF(C54&gt;0,(E54-C54)/C54,(IF(E54=0,"N/A",100%)))</f>
        <v>0</v>
      </c>
      <c r="G54" s="1629">
        <v>7</v>
      </c>
      <c r="H54" s="462">
        <f>IF(E54&gt;0,(G54-E54)/E54,(IF(G54=0,"N/A",100%)))</f>
        <v>0.4</v>
      </c>
      <c r="I54" s="1629">
        <v>9</v>
      </c>
      <c r="J54" s="1630">
        <f>IF(G54&gt;0,(I54-G54)/G54,(IF(I54=0,"N/A",100%)))</f>
        <v>0.2857142857142857</v>
      </c>
      <c r="K54" s="1629">
        <v>7</v>
      </c>
      <c r="L54" s="462">
        <f>IF(I54&gt;0,(K54-I54)/I54,(IF(K54=0,"N/A",100%)))</f>
        <v>-0.22222222222222221</v>
      </c>
      <c r="M54" s="1629">
        <v>8</v>
      </c>
      <c r="N54" s="462">
        <f t="shared" ref="N54:N65" si="20">IF(K54&gt;0,(M54-K54)/K54,(IF(M54=0,"N/A",100%)))</f>
        <v>0.14285714285714285</v>
      </c>
      <c r="O54" s="1629">
        <v>10</v>
      </c>
      <c r="P54" s="462">
        <f>IF(M54&gt;0,(O54-M54)/M54,(IF(O54=0,"N/A",100%)))</f>
        <v>0.25</v>
      </c>
      <c r="Q54" s="1629">
        <v>0</v>
      </c>
      <c r="R54" s="462">
        <f>IF(O54&gt;0,(Q54-O54)/O54,(IF(Q54=0,"N/A",100%)))</f>
        <v>-1</v>
      </c>
      <c r="S54" s="1629">
        <v>0</v>
      </c>
      <c r="T54" s="1630" t="str">
        <f>IF(Q54&gt;0,(S54-Q54)/Q54,(IF(S54=0,"N/A",100%)))</f>
        <v>N/A</v>
      </c>
      <c r="U54" s="1629">
        <v>0</v>
      </c>
      <c r="V54" s="1630" t="str">
        <f>IF(S54&gt;0,(U54-S54)/S54,(IF(U54=0,"N/A",100%)))</f>
        <v>N/A</v>
      </c>
    </row>
    <row r="55" spans="1:22" ht="18" customHeight="1" x14ac:dyDescent="0.3">
      <c r="A55" s="552" t="s">
        <v>1629</v>
      </c>
      <c r="B55" s="1629">
        <v>0</v>
      </c>
      <c r="C55" s="1629">
        <v>0</v>
      </c>
      <c r="D55" s="462" t="str">
        <f t="shared" ref="D55:D63" si="21">IF(B55&gt;0,(C55-B55)/B55,(IF(C55=0,"N/A",100%)))</f>
        <v>N/A</v>
      </c>
      <c r="E55" s="1629">
        <v>0</v>
      </c>
      <c r="F55" s="462" t="str">
        <f t="shared" ref="F55:F63" si="22">IF(C55&gt;0,(E55-C55)/C55,(IF(E55=0,"N/A",100%)))</f>
        <v>N/A</v>
      </c>
      <c r="G55" s="1629">
        <v>0</v>
      </c>
      <c r="H55" s="462" t="str">
        <f t="shared" ref="H55:H63" si="23">IF(E55&gt;0,(G55-E55)/E55,(IF(G55=0,"N/A",100%)))</f>
        <v>N/A</v>
      </c>
      <c r="I55" s="1629">
        <v>0</v>
      </c>
      <c r="J55" s="1630" t="str">
        <f t="shared" ref="J55:J63" si="24">IF(G55&gt;0,(I55-G55)/G55,(IF(I55=0,"N/A",100%)))</f>
        <v>N/A</v>
      </c>
      <c r="K55" s="1629">
        <v>0</v>
      </c>
      <c r="L55" s="462" t="str">
        <f t="shared" ref="L55:L63" si="25">IF(I55&gt;0,(K55-I55)/I55,(IF(K55=0,"N/A",100%)))</f>
        <v>N/A</v>
      </c>
      <c r="M55" s="1629">
        <v>0</v>
      </c>
      <c r="N55" s="462" t="str">
        <f t="shared" si="20"/>
        <v>N/A</v>
      </c>
      <c r="O55" s="1629">
        <v>0</v>
      </c>
      <c r="P55" s="462" t="str">
        <f t="shared" ref="P55:P63" si="26">IF(M55&gt;0,(O55-M55)/M55,(IF(O55=0,"N/A",100%)))</f>
        <v>N/A</v>
      </c>
      <c r="Q55" s="1629">
        <v>0</v>
      </c>
      <c r="R55" s="462" t="str">
        <f t="shared" ref="R55:R63" si="27">IF(O55&gt;0,(Q55-O55)/O55,(IF(Q55=0,"N/A",100%)))</f>
        <v>N/A</v>
      </c>
      <c r="S55" s="1629">
        <v>0</v>
      </c>
      <c r="T55" s="1630" t="str">
        <f t="shared" ref="T55:T63" si="28">IF(Q55&gt;0,(S55-Q55)/Q55,(IF(S55=0,"N/A",100%)))</f>
        <v>N/A</v>
      </c>
      <c r="U55" s="1629">
        <v>0</v>
      </c>
      <c r="V55" s="1630" t="str">
        <f t="shared" ref="V55:V63" si="29">IF(S55&gt;0,(U55-S55)/S55,(IF(U55=0,"N/A",100%)))</f>
        <v>N/A</v>
      </c>
    </row>
    <row r="56" spans="1:22" ht="18" customHeight="1" x14ac:dyDescent="0.3">
      <c r="A56" s="552" t="s">
        <v>1565</v>
      </c>
      <c r="B56" s="1629">
        <v>0</v>
      </c>
      <c r="C56" s="1629">
        <v>0</v>
      </c>
      <c r="D56" s="462" t="str">
        <f t="shared" si="21"/>
        <v>N/A</v>
      </c>
      <c r="E56" s="1629">
        <v>0</v>
      </c>
      <c r="F56" s="462" t="str">
        <f t="shared" si="22"/>
        <v>N/A</v>
      </c>
      <c r="G56" s="1629">
        <v>0</v>
      </c>
      <c r="H56" s="462" t="str">
        <f t="shared" si="23"/>
        <v>N/A</v>
      </c>
      <c r="I56" s="1629">
        <v>0</v>
      </c>
      <c r="J56" s="1630" t="str">
        <f t="shared" si="24"/>
        <v>N/A</v>
      </c>
      <c r="K56" s="1629">
        <v>0</v>
      </c>
      <c r="L56" s="462" t="str">
        <f t="shared" si="25"/>
        <v>N/A</v>
      </c>
      <c r="M56" s="1629">
        <v>0</v>
      </c>
      <c r="N56" s="462" t="str">
        <f t="shared" si="20"/>
        <v>N/A</v>
      </c>
      <c r="O56" s="1629">
        <v>0</v>
      </c>
      <c r="P56" s="462" t="str">
        <f t="shared" si="26"/>
        <v>N/A</v>
      </c>
      <c r="Q56" s="1629">
        <v>3</v>
      </c>
      <c r="R56" s="462">
        <f t="shared" si="27"/>
        <v>1</v>
      </c>
      <c r="S56" s="1629">
        <v>2</v>
      </c>
      <c r="T56" s="1630">
        <f t="shared" si="28"/>
        <v>-0.33333333333333331</v>
      </c>
      <c r="U56" s="1629">
        <v>2</v>
      </c>
      <c r="V56" s="1630">
        <f t="shared" si="29"/>
        <v>0</v>
      </c>
    </row>
    <row r="57" spans="1:22" ht="18" customHeight="1" x14ac:dyDescent="0.3">
      <c r="A57" s="552" t="s">
        <v>1573</v>
      </c>
      <c r="B57" s="1629">
        <v>0</v>
      </c>
      <c r="C57" s="1629">
        <v>0</v>
      </c>
      <c r="D57" s="462" t="str">
        <f t="shared" si="21"/>
        <v>N/A</v>
      </c>
      <c r="E57" s="1629">
        <v>0</v>
      </c>
      <c r="F57" s="462" t="str">
        <f t="shared" si="22"/>
        <v>N/A</v>
      </c>
      <c r="G57" s="1629">
        <v>0</v>
      </c>
      <c r="H57" s="462" t="str">
        <f t="shared" si="23"/>
        <v>N/A</v>
      </c>
      <c r="I57" s="1629">
        <v>0</v>
      </c>
      <c r="J57" s="1630" t="str">
        <f t="shared" si="24"/>
        <v>N/A</v>
      </c>
      <c r="K57" s="1629">
        <v>0</v>
      </c>
      <c r="L57" s="462" t="str">
        <f t="shared" si="25"/>
        <v>N/A</v>
      </c>
      <c r="M57" s="1629">
        <v>0</v>
      </c>
      <c r="N57" s="462" t="str">
        <f t="shared" si="20"/>
        <v>N/A</v>
      </c>
      <c r="O57" s="1629">
        <v>0</v>
      </c>
      <c r="P57" s="462" t="str">
        <f t="shared" si="26"/>
        <v>N/A</v>
      </c>
      <c r="Q57" s="1629">
        <v>1</v>
      </c>
      <c r="R57" s="462">
        <f t="shared" si="27"/>
        <v>1</v>
      </c>
      <c r="S57" s="1629">
        <v>0</v>
      </c>
      <c r="T57" s="1630">
        <f t="shared" si="28"/>
        <v>-1</v>
      </c>
      <c r="U57" s="1629">
        <v>0</v>
      </c>
      <c r="V57" s="1630" t="str">
        <f t="shared" si="29"/>
        <v>N/A</v>
      </c>
    </row>
    <row r="58" spans="1:22" ht="18" customHeight="1" x14ac:dyDescent="0.3">
      <c r="A58" s="552" t="s">
        <v>1574</v>
      </c>
      <c r="B58" s="1629">
        <v>0</v>
      </c>
      <c r="C58" s="1629">
        <v>0</v>
      </c>
      <c r="D58" s="462" t="str">
        <f t="shared" si="21"/>
        <v>N/A</v>
      </c>
      <c r="E58" s="1629">
        <v>0</v>
      </c>
      <c r="F58" s="462" t="str">
        <f t="shared" si="22"/>
        <v>N/A</v>
      </c>
      <c r="G58" s="1629">
        <v>0</v>
      </c>
      <c r="H58" s="462" t="str">
        <f t="shared" si="23"/>
        <v>N/A</v>
      </c>
      <c r="I58" s="1629">
        <v>0</v>
      </c>
      <c r="J58" s="1630" t="str">
        <f t="shared" si="24"/>
        <v>N/A</v>
      </c>
      <c r="K58" s="1629">
        <v>0</v>
      </c>
      <c r="L58" s="462" t="str">
        <f t="shared" si="25"/>
        <v>N/A</v>
      </c>
      <c r="M58" s="1629">
        <v>0</v>
      </c>
      <c r="N58" s="462" t="str">
        <f t="shared" si="20"/>
        <v>N/A</v>
      </c>
      <c r="O58" s="1629">
        <v>0</v>
      </c>
      <c r="P58" s="462" t="str">
        <f t="shared" si="26"/>
        <v>N/A</v>
      </c>
      <c r="Q58" s="1629">
        <v>0</v>
      </c>
      <c r="R58" s="462" t="str">
        <f t="shared" si="27"/>
        <v>N/A</v>
      </c>
      <c r="S58" s="1629">
        <v>1</v>
      </c>
      <c r="T58" s="1630">
        <f t="shared" si="28"/>
        <v>1</v>
      </c>
      <c r="U58" s="1629">
        <v>0</v>
      </c>
      <c r="V58" s="1630">
        <f t="shared" si="29"/>
        <v>-1</v>
      </c>
    </row>
    <row r="59" spans="1:22" ht="18" customHeight="1" x14ac:dyDescent="0.3">
      <c r="A59" s="552" t="s">
        <v>1126</v>
      </c>
      <c r="B59" s="1629">
        <v>7</v>
      </c>
      <c r="C59" s="1629">
        <v>5</v>
      </c>
      <c r="D59" s="462">
        <f t="shared" si="21"/>
        <v>-0.2857142857142857</v>
      </c>
      <c r="E59" s="1629">
        <v>9</v>
      </c>
      <c r="F59" s="462">
        <f t="shared" si="22"/>
        <v>0.8</v>
      </c>
      <c r="G59" s="1629">
        <v>0</v>
      </c>
      <c r="H59" s="462">
        <f t="shared" si="23"/>
        <v>-1</v>
      </c>
      <c r="I59" s="1629">
        <v>0</v>
      </c>
      <c r="J59" s="1630" t="str">
        <f t="shared" si="24"/>
        <v>N/A</v>
      </c>
      <c r="K59" s="1629">
        <v>0</v>
      </c>
      <c r="L59" s="462" t="str">
        <f t="shared" si="25"/>
        <v>N/A</v>
      </c>
      <c r="M59" s="1629">
        <v>0</v>
      </c>
      <c r="N59" s="462" t="str">
        <f t="shared" si="20"/>
        <v>N/A</v>
      </c>
      <c r="O59" s="1629">
        <v>0</v>
      </c>
      <c r="P59" s="462" t="str">
        <f t="shared" si="26"/>
        <v>N/A</v>
      </c>
      <c r="Q59" s="1629">
        <v>0</v>
      </c>
      <c r="R59" s="462" t="str">
        <f t="shared" si="27"/>
        <v>N/A</v>
      </c>
      <c r="S59" s="1629">
        <v>0</v>
      </c>
      <c r="T59" s="1630" t="str">
        <f t="shared" si="28"/>
        <v>N/A</v>
      </c>
      <c r="U59" s="1629">
        <v>0</v>
      </c>
      <c r="V59" s="1630" t="str">
        <f t="shared" si="29"/>
        <v>N/A</v>
      </c>
    </row>
    <row r="60" spans="1:22" ht="18" customHeight="1" x14ac:dyDescent="0.3">
      <c r="A60" s="552" t="s">
        <v>1562</v>
      </c>
      <c r="B60" s="1629">
        <v>0</v>
      </c>
      <c r="C60" s="1629">
        <v>0</v>
      </c>
      <c r="D60" s="462" t="str">
        <f t="shared" si="21"/>
        <v>N/A</v>
      </c>
      <c r="E60" s="1629">
        <v>0</v>
      </c>
      <c r="F60" s="462" t="str">
        <f t="shared" si="22"/>
        <v>N/A</v>
      </c>
      <c r="G60" s="1629">
        <v>0</v>
      </c>
      <c r="H60" s="462" t="str">
        <f t="shared" si="23"/>
        <v>N/A</v>
      </c>
      <c r="I60" s="1629">
        <v>0</v>
      </c>
      <c r="J60" s="1630" t="str">
        <f t="shared" si="24"/>
        <v>N/A</v>
      </c>
      <c r="K60" s="1629">
        <v>0</v>
      </c>
      <c r="L60" s="462" t="str">
        <f t="shared" si="25"/>
        <v>N/A</v>
      </c>
      <c r="M60" s="1629">
        <v>0</v>
      </c>
      <c r="N60" s="462" t="str">
        <f t="shared" si="20"/>
        <v>N/A</v>
      </c>
      <c r="O60" s="1629">
        <v>0</v>
      </c>
      <c r="P60" s="462" t="str">
        <f t="shared" si="26"/>
        <v>N/A</v>
      </c>
      <c r="Q60" s="1629">
        <v>1</v>
      </c>
      <c r="R60" s="462">
        <f t="shared" si="27"/>
        <v>1</v>
      </c>
      <c r="S60" s="1629">
        <v>1</v>
      </c>
      <c r="T60" s="1630">
        <f t="shared" si="28"/>
        <v>0</v>
      </c>
      <c r="U60" s="1629">
        <v>1</v>
      </c>
      <c r="V60" s="1630">
        <f t="shared" si="29"/>
        <v>0</v>
      </c>
    </row>
    <row r="61" spans="1:22" ht="18" customHeight="1" x14ac:dyDescent="0.3">
      <c r="A61" s="552" t="s">
        <v>1563</v>
      </c>
      <c r="B61" s="1629">
        <v>0</v>
      </c>
      <c r="C61" s="1629">
        <v>0</v>
      </c>
      <c r="D61" s="462" t="str">
        <f t="shared" si="21"/>
        <v>N/A</v>
      </c>
      <c r="E61" s="1629">
        <v>0</v>
      </c>
      <c r="F61" s="462" t="str">
        <f t="shared" si="22"/>
        <v>N/A</v>
      </c>
      <c r="G61" s="1629">
        <v>0</v>
      </c>
      <c r="H61" s="462" t="str">
        <f t="shared" si="23"/>
        <v>N/A</v>
      </c>
      <c r="I61" s="1629">
        <v>0</v>
      </c>
      <c r="J61" s="1630" t="str">
        <f t="shared" si="24"/>
        <v>N/A</v>
      </c>
      <c r="K61" s="1629">
        <v>0</v>
      </c>
      <c r="L61" s="462" t="str">
        <f t="shared" si="25"/>
        <v>N/A</v>
      </c>
      <c r="M61" s="1629">
        <v>0</v>
      </c>
      <c r="N61" s="462" t="str">
        <f t="shared" si="20"/>
        <v>N/A</v>
      </c>
      <c r="O61" s="1629">
        <v>0</v>
      </c>
      <c r="P61" s="462" t="str">
        <f t="shared" si="26"/>
        <v>N/A</v>
      </c>
      <c r="Q61" s="1629">
        <v>3</v>
      </c>
      <c r="R61" s="462">
        <f t="shared" si="27"/>
        <v>1</v>
      </c>
      <c r="S61" s="1629">
        <v>5</v>
      </c>
      <c r="T61" s="1630">
        <f t="shared" si="28"/>
        <v>0.66666666666666663</v>
      </c>
      <c r="U61" s="1629">
        <v>2</v>
      </c>
      <c r="V61" s="1630">
        <f t="shared" si="29"/>
        <v>-0.6</v>
      </c>
    </row>
    <row r="62" spans="1:22" ht="18" customHeight="1" x14ac:dyDescent="0.3">
      <c r="A62" s="552" t="s">
        <v>1564</v>
      </c>
      <c r="B62" s="1629">
        <v>0</v>
      </c>
      <c r="C62" s="1629">
        <v>0</v>
      </c>
      <c r="D62" s="462" t="str">
        <f t="shared" si="21"/>
        <v>N/A</v>
      </c>
      <c r="E62" s="1629">
        <v>0</v>
      </c>
      <c r="F62" s="462" t="str">
        <f t="shared" si="22"/>
        <v>N/A</v>
      </c>
      <c r="G62" s="1629">
        <v>0</v>
      </c>
      <c r="H62" s="462" t="str">
        <f t="shared" si="23"/>
        <v>N/A</v>
      </c>
      <c r="I62" s="1629">
        <v>0</v>
      </c>
      <c r="J62" s="1630" t="str">
        <f t="shared" si="24"/>
        <v>N/A</v>
      </c>
      <c r="K62" s="1629">
        <v>0</v>
      </c>
      <c r="L62" s="462" t="str">
        <f t="shared" si="25"/>
        <v>N/A</v>
      </c>
      <c r="M62" s="1629">
        <v>0</v>
      </c>
      <c r="N62" s="462" t="str">
        <f t="shared" si="20"/>
        <v>N/A</v>
      </c>
      <c r="O62" s="1629">
        <v>0</v>
      </c>
      <c r="P62" s="462" t="str">
        <f t="shared" si="26"/>
        <v>N/A</v>
      </c>
      <c r="Q62" s="1629">
        <v>1</v>
      </c>
      <c r="R62" s="462">
        <f t="shared" si="27"/>
        <v>1</v>
      </c>
      <c r="S62" s="1629">
        <v>0</v>
      </c>
      <c r="T62" s="1630">
        <f t="shared" si="28"/>
        <v>-1</v>
      </c>
      <c r="U62" s="1629">
        <v>1</v>
      </c>
      <c r="V62" s="1630">
        <f t="shared" si="29"/>
        <v>1</v>
      </c>
    </row>
    <row r="63" spans="1:22" ht="18" customHeight="1" x14ac:dyDescent="0.3">
      <c r="A63" s="552" t="s">
        <v>1630</v>
      </c>
      <c r="B63" s="1629">
        <v>0</v>
      </c>
      <c r="C63" s="1629">
        <v>0</v>
      </c>
      <c r="D63" s="462" t="str">
        <f t="shared" si="21"/>
        <v>N/A</v>
      </c>
      <c r="E63" s="1629">
        <v>0</v>
      </c>
      <c r="F63" s="462" t="str">
        <f t="shared" si="22"/>
        <v>N/A</v>
      </c>
      <c r="G63" s="1629">
        <v>0</v>
      </c>
      <c r="H63" s="462" t="str">
        <f t="shared" si="23"/>
        <v>N/A</v>
      </c>
      <c r="I63" s="1629">
        <v>0</v>
      </c>
      <c r="J63" s="1630" t="str">
        <f t="shared" si="24"/>
        <v>N/A</v>
      </c>
      <c r="K63" s="1629">
        <v>0</v>
      </c>
      <c r="L63" s="462" t="str">
        <f t="shared" si="25"/>
        <v>N/A</v>
      </c>
      <c r="M63" s="1629">
        <v>0</v>
      </c>
      <c r="N63" s="462" t="str">
        <f t="shared" si="20"/>
        <v>N/A</v>
      </c>
      <c r="O63" s="1629">
        <v>0</v>
      </c>
      <c r="P63" s="462" t="str">
        <f t="shared" si="26"/>
        <v>N/A</v>
      </c>
      <c r="Q63" s="1629">
        <v>0</v>
      </c>
      <c r="R63" s="462" t="str">
        <f t="shared" si="27"/>
        <v>N/A</v>
      </c>
      <c r="S63" s="1629">
        <v>0</v>
      </c>
      <c r="T63" s="1630" t="str">
        <f t="shared" si="28"/>
        <v>N/A</v>
      </c>
      <c r="U63" s="1629">
        <v>0</v>
      </c>
      <c r="V63" s="1630" t="str">
        <f t="shared" si="29"/>
        <v>N/A</v>
      </c>
    </row>
    <row r="64" spans="1:22" ht="18" customHeight="1" x14ac:dyDescent="0.3">
      <c r="A64" s="553" t="s">
        <v>1015</v>
      </c>
      <c r="B64" s="1629">
        <f>SUM(B54:B63)</f>
        <v>11</v>
      </c>
      <c r="C64" s="1629">
        <f>SUM(C54:C63)</f>
        <v>10</v>
      </c>
      <c r="D64" s="462">
        <f>IF(B64&gt;0,(C64-B64)/B64,(IF(C64=0,"N/A",100%)))</f>
        <v>-9.0909090909090912E-2</v>
      </c>
      <c r="E64" s="1629">
        <f>SUM(E54:E63)</f>
        <v>14</v>
      </c>
      <c r="F64" s="462">
        <f>IF(C64&gt;0,(E64-C64)/C64,(IF(E64=0,"N/A",100%)))</f>
        <v>0.4</v>
      </c>
      <c r="G64" s="1629">
        <f>SUM(G54:G63)</f>
        <v>7</v>
      </c>
      <c r="H64" s="462">
        <f>IF(E64&gt;0,(G64-E64)/E64,(IF(G64=0,"N/A",100%)))</f>
        <v>-0.5</v>
      </c>
      <c r="I64" s="1629">
        <f>SUM(I54:I63)</f>
        <v>9</v>
      </c>
      <c r="J64" s="1630">
        <f>IF(G64&gt;0,(I64-G64)/G64,(IF(I64=0,"N/A",100%)))</f>
        <v>0.2857142857142857</v>
      </c>
      <c r="K64" s="1629">
        <f>SUM(K54:K63)</f>
        <v>7</v>
      </c>
      <c r="L64" s="462">
        <f>IF(I64&gt;0,(K64-I64)/I64,(IF(K64=0,"N/A",100%)))</f>
        <v>-0.22222222222222221</v>
      </c>
      <c r="M64" s="1629">
        <f>SUM(M54:M63)</f>
        <v>8</v>
      </c>
      <c r="N64" s="462">
        <f t="shared" si="20"/>
        <v>0.14285714285714285</v>
      </c>
      <c r="O64" s="1629">
        <f>SUM(O54:O63)</f>
        <v>10</v>
      </c>
      <c r="P64" s="462">
        <f>IF(M64&gt;0,(O64-M64)/M64,(IF(O64=0,"N/A",100%)))</f>
        <v>0.25</v>
      </c>
      <c r="Q64" s="1629">
        <f>SUM(Q54:Q63)</f>
        <v>9</v>
      </c>
      <c r="R64" s="462">
        <f>IF(O64&gt;0,(Q64-O64)/O64,(IF(Q64=0,"N/A",100%)))</f>
        <v>-0.1</v>
      </c>
      <c r="S64" s="1629">
        <f>SUM(S54:S63)</f>
        <v>9</v>
      </c>
      <c r="T64" s="1630">
        <f>IF(Q64&gt;0,(S64-Q64)/Q64,(IF(S64=0,"N/A",100%)))</f>
        <v>0</v>
      </c>
      <c r="U64" s="1629">
        <f>SUM(U54:U63)</f>
        <v>6</v>
      </c>
      <c r="V64" s="1630">
        <f>IF(S64&gt;0,(U64-S64)/S64,(IF(U64=0,"N/A",100%)))</f>
        <v>-0.33333333333333331</v>
      </c>
    </row>
    <row r="65" spans="1:22" ht="18" customHeight="1" thickBot="1" x14ac:dyDescent="0.35">
      <c r="A65" s="856" t="s">
        <v>423</v>
      </c>
      <c r="B65" s="857">
        <f>+B64+B52+B47+B43+B37</f>
        <v>103</v>
      </c>
      <c r="C65" s="857">
        <f>+C64+C52+C47+C43+C37</f>
        <v>115</v>
      </c>
      <c r="D65" s="1549">
        <f>IF(B65&gt;0,(C65-B65)/B65,(IF(C65=0,"N/A",100%)))</f>
        <v>0.11650485436893204</v>
      </c>
      <c r="E65" s="857">
        <f>+E64+E52+E47+E43+E37</f>
        <v>83</v>
      </c>
      <c r="F65" s="1549">
        <f>IF(C65&gt;0,(E65-C65)/C65,(IF(E65=0,"N/A",100%)))</f>
        <v>-0.27826086956521739</v>
      </c>
      <c r="G65" s="857">
        <f>+G64+G52+G47+G43+G37</f>
        <v>74</v>
      </c>
      <c r="H65" s="1155">
        <f>IF(E65&gt;0,(G65-E65)/E65,(IF(G65=0,"N/A",100%)))</f>
        <v>-0.10843373493975904</v>
      </c>
      <c r="I65" s="857">
        <f>+I64+I52+I47+I43+I37</f>
        <v>83</v>
      </c>
      <c r="J65" s="1155">
        <f>IF(G65&gt;0,(I65-G65)/G65,(IF(I65=0,"N/A",100%)))</f>
        <v>0.12162162162162163</v>
      </c>
      <c r="K65" s="857">
        <f>+K64+K52+K47+K43+K37</f>
        <v>78</v>
      </c>
      <c r="L65" s="1155">
        <f>IF(I65&gt;0,(K65-I65)/I65,(IF(K65=0,"N/A",100%)))</f>
        <v>-6.0240963855421686E-2</v>
      </c>
      <c r="M65" s="857">
        <f>+M64+M52+M47+M43+M37</f>
        <v>88</v>
      </c>
      <c r="N65" s="1155">
        <f t="shared" si="20"/>
        <v>0.12820512820512819</v>
      </c>
      <c r="O65" s="857">
        <f>+O64+O52+O47+O43+O37</f>
        <v>95</v>
      </c>
      <c r="P65" s="1155">
        <f>IF(M65&gt;0,(O65-M65)/M65,(IF(O65=0,"N/A",100%)))</f>
        <v>7.9545454545454544E-2</v>
      </c>
      <c r="Q65" s="857">
        <f>+Q64+Q52+Q47+Q43+Q37</f>
        <v>50</v>
      </c>
      <c r="R65" s="1155">
        <f>IF(O65&gt;0,(Q65-O65)/O65,(IF(Q65=0,"N/A",100%)))</f>
        <v>-0.47368421052631576</v>
      </c>
      <c r="S65" s="857">
        <f>+S64+S52+S47+S43+S37</f>
        <v>64</v>
      </c>
      <c r="T65" s="1155">
        <f>IF(Q65&gt;0,(S65-Q65)/Q65,(IF(S65=0,"N/A",100%)))</f>
        <v>0.28000000000000003</v>
      </c>
      <c r="U65" s="857">
        <f>+U64+U52+U47+U43+U37</f>
        <v>65</v>
      </c>
      <c r="V65" s="1155">
        <f>IF(S65&gt;0,(U65-S65)/S65,(IF(U65=0,"N/A",100%)))</f>
        <v>1.5625E-2</v>
      </c>
    </row>
    <row r="66" spans="1:22" ht="20.25" customHeight="1" thickBot="1" x14ac:dyDescent="0.35">
      <c r="A66" s="2161" t="s">
        <v>424</v>
      </c>
      <c r="B66" s="2162"/>
      <c r="C66" s="2162"/>
      <c r="D66" s="2162"/>
      <c r="E66" s="2162"/>
      <c r="F66" s="2162"/>
      <c r="G66" s="2162"/>
      <c r="H66" s="2162"/>
      <c r="I66" s="2162"/>
      <c r="J66" s="2162"/>
      <c r="K66" s="2162"/>
      <c r="L66" s="2162"/>
      <c r="M66" s="2162"/>
      <c r="N66" s="2162"/>
      <c r="O66" s="2162"/>
      <c r="P66" s="2162"/>
      <c r="Q66" s="2162"/>
      <c r="R66" s="2162"/>
      <c r="S66" s="2162"/>
      <c r="T66" s="2162"/>
      <c r="U66" s="2162"/>
      <c r="V66" s="2163"/>
    </row>
    <row r="67" spans="1:22" ht="20.25" customHeight="1" x14ac:dyDescent="0.3">
      <c r="A67" s="549" t="s">
        <v>410</v>
      </c>
      <c r="B67" s="1832">
        <v>2002</v>
      </c>
      <c r="C67" s="1832">
        <f>+B67+1</f>
        <v>2003</v>
      </c>
      <c r="D67" s="667" t="s">
        <v>1100</v>
      </c>
      <c r="E67" s="1832">
        <v>2008</v>
      </c>
      <c r="F67" s="667" t="s">
        <v>1100</v>
      </c>
      <c r="G67" s="1832">
        <f>E67+1</f>
        <v>2009</v>
      </c>
      <c r="H67" s="667" t="s">
        <v>1100</v>
      </c>
      <c r="I67" s="1832">
        <f>G67+1</f>
        <v>2010</v>
      </c>
      <c r="J67" s="1833" t="s">
        <v>1100</v>
      </c>
      <c r="K67" s="1832">
        <f>I67+1</f>
        <v>2011</v>
      </c>
      <c r="L67" s="667" t="s">
        <v>1100</v>
      </c>
      <c r="M67" s="1832">
        <f>K67+1</f>
        <v>2012</v>
      </c>
      <c r="N67" s="667" t="s">
        <v>1100</v>
      </c>
      <c r="O67" s="1832">
        <f>M67+1</f>
        <v>2013</v>
      </c>
      <c r="P67" s="667" t="s">
        <v>1100</v>
      </c>
      <c r="Q67" s="1832">
        <f>O67+1</f>
        <v>2014</v>
      </c>
      <c r="R67" s="667" t="s">
        <v>1100</v>
      </c>
      <c r="S67" s="1832">
        <f>Q67+1</f>
        <v>2015</v>
      </c>
      <c r="T67" s="1833" t="s">
        <v>1100</v>
      </c>
      <c r="U67" s="1832">
        <f>S67+1</f>
        <v>2016</v>
      </c>
      <c r="V67" s="1833" t="s">
        <v>1100</v>
      </c>
    </row>
    <row r="68" spans="1:22" ht="18" customHeight="1" x14ac:dyDescent="0.3">
      <c r="A68" s="1834" t="s">
        <v>1024</v>
      </c>
      <c r="B68" s="1835"/>
      <c r="C68" s="1835"/>
      <c r="D68" s="1547"/>
      <c r="E68" s="1835"/>
      <c r="F68" s="1547"/>
      <c r="G68" s="1835"/>
      <c r="H68" s="1547"/>
      <c r="I68" s="1835"/>
      <c r="J68" s="1836"/>
      <c r="K68" s="1835"/>
      <c r="L68" s="1547"/>
      <c r="M68" s="1835"/>
      <c r="N68" s="1547"/>
      <c r="O68" s="1835"/>
      <c r="P68" s="1547"/>
      <c r="Q68" s="1835"/>
      <c r="R68" s="1547"/>
      <c r="S68" s="1835"/>
      <c r="T68" s="1836"/>
      <c r="U68" s="1835"/>
      <c r="V68" s="1836"/>
    </row>
    <row r="69" spans="1:22" ht="18" customHeight="1" x14ac:dyDescent="0.3">
      <c r="A69" s="552" t="s">
        <v>1165</v>
      </c>
      <c r="B69" s="1629">
        <v>23</v>
      </c>
      <c r="C69" s="1629">
        <v>18</v>
      </c>
      <c r="D69" s="462">
        <f t="shared" ref="D69:D83" si="30">IF(B69&gt;0,(C69-B69)/B69,(IF(C69=0,"N/A",100%)))</f>
        <v>-0.21739130434782608</v>
      </c>
      <c r="E69" s="1629">
        <v>20</v>
      </c>
      <c r="F69" s="462">
        <f t="shared" ref="F69:F83" si="31">IF(C69&gt;0,(E69-C69)/C69,(IF(E69=0,"N/A",100%)))</f>
        <v>0.1111111111111111</v>
      </c>
      <c r="G69" s="1629">
        <v>22</v>
      </c>
      <c r="H69" s="462">
        <f t="shared" ref="H69:H83" si="32">IF(E69&gt;0,(G69-E69)/E69,(IF(G69=0,"N/A",100%)))</f>
        <v>0.1</v>
      </c>
      <c r="I69" s="1837">
        <v>17</v>
      </c>
      <c r="J69" s="1630">
        <f t="shared" ref="J69:J83" si="33">IF(G69&gt;0,(I69-G69)/G69,(IF(I69=0,"N/A",100%)))</f>
        <v>-0.22727272727272727</v>
      </c>
      <c r="K69" s="1629">
        <v>19</v>
      </c>
      <c r="L69" s="462">
        <f t="shared" ref="L69:L83" si="34">IF(I69&gt;0,(K69-I69)/I69,(IF(K69=0,"N/A",100%)))</f>
        <v>0.11764705882352941</v>
      </c>
      <c r="M69" s="1837">
        <v>11</v>
      </c>
      <c r="N69" s="462">
        <f t="shared" ref="N69:N83" si="35">IF(K69&gt;0,(M69-K69)/K69,(IF(M69=0,"N/A",100%)))</f>
        <v>-0.42105263157894735</v>
      </c>
      <c r="O69" s="1837">
        <v>13</v>
      </c>
      <c r="P69" s="462">
        <f t="shared" ref="P69:P83" si="36">IF(M69&gt;0,(O69-M69)/M69,(IF(O69=0,"N/A",100%)))</f>
        <v>0.18181818181818182</v>
      </c>
      <c r="Q69" s="1837">
        <v>9</v>
      </c>
      <c r="R69" s="462">
        <f t="shared" ref="R69:R83" si="37">IF(O69&gt;0,(Q69-O69)/O69,(IF(Q69=0,"N/A",100%)))</f>
        <v>-0.30769230769230771</v>
      </c>
      <c r="S69" s="1837">
        <v>4</v>
      </c>
      <c r="T69" s="1630">
        <f t="shared" ref="T69:T83" si="38">IF(Q69&gt;0,(S69-Q69)/Q69,(IF(S69=0,"N/A",100%)))</f>
        <v>-0.55555555555555558</v>
      </c>
      <c r="U69" s="1837">
        <v>0</v>
      </c>
      <c r="V69" s="1630">
        <f t="shared" ref="V69:V83" si="39">IF(S69&gt;0,(U69-S69)/S69,(IF(U69=0,"N/A",100%)))</f>
        <v>-1</v>
      </c>
    </row>
    <row r="70" spans="1:22" ht="18" customHeight="1" x14ac:dyDescent="0.3">
      <c r="A70" s="552" t="s">
        <v>1166</v>
      </c>
      <c r="B70" s="1629">
        <v>25</v>
      </c>
      <c r="C70" s="1629">
        <v>37</v>
      </c>
      <c r="D70" s="462">
        <f t="shared" si="30"/>
        <v>0.48</v>
      </c>
      <c r="E70" s="1629">
        <v>20</v>
      </c>
      <c r="F70" s="462">
        <f t="shared" si="31"/>
        <v>-0.45945945945945948</v>
      </c>
      <c r="G70" s="1629">
        <v>23</v>
      </c>
      <c r="H70" s="462">
        <f t="shared" si="32"/>
        <v>0.15</v>
      </c>
      <c r="I70" s="1837">
        <v>20</v>
      </c>
      <c r="J70" s="1630">
        <f t="shared" si="33"/>
        <v>-0.13043478260869565</v>
      </c>
      <c r="K70" s="1629">
        <v>23</v>
      </c>
      <c r="L70" s="462">
        <f t="shared" si="34"/>
        <v>0.15</v>
      </c>
      <c r="M70" s="1837">
        <v>29</v>
      </c>
      <c r="N70" s="462">
        <f t="shared" si="35"/>
        <v>0.2608695652173913</v>
      </c>
      <c r="O70" s="1837">
        <v>22</v>
      </c>
      <c r="P70" s="462">
        <f t="shared" si="36"/>
        <v>-0.2413793103448276</v>
      </c>
      <c r="Q70" s="1837">
        <v>20</v>
      </c>
      <c r="R70" s="462">
        <f t="shared" si="37"/>
        <v>-9.0909090909090912E-2</v>
      </c>
      <c r="S70" s="1837">
        <v>25</v>
      </c>
      <c r="T70" s="1630">
        <f t="shared" si="38"/>
        <v>0.25</v>
      </c>
      <c r="U70" s="1837">
        <v>20</v>
      </c>
      <c r="V70" s="1630">
        <f t="shared" si="39"/>
        <v>-0.2</v>
      </c>
    </row>
    <row r="71" spans="1:22" ht="18" customHeight="1" x14ac:dyDescent="0.3">
      <c r="A71" s="552" t="s">
        <v>523</v>
      </c>
      <c r="B71" s="1629">
        <v>1</v>
      </c>
      <c r="C71" s="1629">
        <v>4</v>
      </c>
      <c r="D71" s="462">
        <f t="shared" si="30"/>
        <v>3</v>
      </c>
      <c r="E71" s="1629">
        <v>1</v>
      </c>
      <c r="F71" s="462">
        <f t="shared" si="31"/>
        <v>-0.75</v>
      </c>
      <c r="G71" s="1629">
        <v>3</v>
      </c>
      <c r="H71" s="462">
        <f t="shared" si="32"/>
        <v>2</v>
      </c>
      <c r="I71" s="1837">
        <v>2</v>
      </c>
      <c r="J71" s="1630">
        <f t="shared" si="33"/>
        <v>-0.33333333333333331</v>
      </c>
      <c r="K71" s="1629">
        <v>1</v>
      </c>
      <c r="L71" s="462">
        <f t="shared" si="34"/>
        <v>-0.5</v>
      </c>
      <c r="M71" s="1837">
        <v>1</v>
      </c>
      <c r="N71" s="462">
        <f t="shared" si="35"/>
        <v>0</v>
      </c>
      <c r="O71" s="1837">
        <v>2</v>
      </c>
      <c r="P71" s="462">
        <f t="shared" si="36"/>
        <v>1</v>
      </c>
      <c r="Q71" s="1837">
        <v>5</v>
      </c>
      <c r="R71" s="462">
        <f t="shared" si="37"/>
        <v>1.5</v>
      </c>
      <c r="S71" s="1837">
        <v>3</v>
      </c>
      <c r="T71" s="1630">
        <f t="shared" si="38"/>
        <v>-0.4</v>
      </c>
      <c r="U71" s="1837">
        <v>5</v>
      </c>
      <c r="V71" s="1630">
        <f t="shared" si="39"/>
        <v>0.66666666666666663</v>
      </c>
    </row>
    <row r="72" spans="1:22" ht="18" customHeight="1" x14ac:dyDescent="0.3">
      <c r="A72" s="552" t="s">
        <v>1167</v>
      </c>
      <c r="B72" s="1629">
        <v>73</v>
      </c>
      <c r="C72" s="1629">
        <v>60</v>
      </c>
      <c r="D72" s="462">
        <f t="shared" si="30"/>
        <v>-0.17808219178082191</v>
      </c>
      <c r="E72" s="1629">
        <v>28</v>
      </c>
      <c r="F72" s="462">
        <f t="shared" si="31"/>
        <v>-0.53333333333333333</v>
      </c>
      <c r="G72" s="1629">
        <v>29</v>
      </c>
      <c r="H72" s="462">
        <f t="shared" si="32"/>
        <v>3.5714285714285712E-2</v>
      </c>
      <c r="I72" s="1837">
        <v>32</v>
      </c>
      <c r="J72" s="1630">
        <f t="shared" si="33"/>
        <v>0.10344827586206896</v>
      </c>
      <c r="K72" s="1629">
        <v>22</v>
      </c>
      <c r="L72" s="462">
        <f t="shared" si="34"/>
        <v>-0.3125</v>
      </c>
      <c r="M72" s="1837">
        <v>16</v>
      </c>
      <c r="N72" s="462">
        <f t="shared" si="35"/>
        <v>-0.27272727272727271</v>
      </c>
      <c r="O72" s="1837">
        <v>19</v>
      </c>
      <c r="P72" s="462">
        <f t="shared" si="36"/>
        <v>0.1875</v>
      </c>
      <c r="Q72" s="1837">
        <v>12</v>
      </c>
      <c r="R72" s="462">
        <f t="shared" si="37"/>
        <v>-0.36842105263157893</v>
      </c>
      <c r="S72" s="1837">
        <v>14</v>
      </c>
      <c r="T72" s="1630">
        <f t="shared" si="38"/>
        <v>0.16666666666666666</v>
      </c>
      <c r="U72" s="1837">
        <v>10</v>
      </c>
      <c r="V72" s="1630">
        <f t="shared" si="39"/>
        <v>-0.2857142857142857</v>
      </c>
    </row>
    <row r="73" spans="1:22" ht="18" customHeight="1" x14ac:dyDescent="0.3">
      <c r="A73" s="552" t="s">
        <v>1168</v>
      </c>
      <c r="B73" s="1629">
        <v>70</v>
      </c>
      <c r="C73" s="1629">
        <v>83</v>
      </c>
      <c r="D73" s="462">
        <f t="shared" si="30"/>
        <v>0.18571428571428572</v>
      </c>
      <c r="E73" s="1629">
        <v>18</v>
      </c>
      <c r="F73" s="462">
        <f t="shared" si="31"/>
        <v>-0.7831325301204819</v>
      </c>
      <c r="G73" s="1629">
        <v>3</v>
      </c>
      <c r="H73" s="462">
        <f t="shared" si="32"/>
        <v>-0.83333333333333337</v>
      </c>
      <c r="I73" s="1837">
        <v>1</v>
      </c>
      <c r="J73" s="1630">
        <f t="shared" si="33"/>
        <v>-0.66666666666666663</v>
      </c>
      <c r="K73" s="1629">
        <v>3</v>
      </c>
      <c r="L73" s="462">
        <f t="shared" si="34"/>
        <v>2</v>
      </c>
      <c r="M73" s="1837">
        <v>3</v>
      </c>
      <c r="N73" s="462">
        <f t="shared" si="35"/>
        <v>0</v>
      </c>
      <c r="O73" s="1837">
        <v>0</v>
      </c>
      <c r="P73" s="462">
        <f t="shared" si="36"/>
        <v>-1</v>
      </c>
      <c r="Q73" s="1837">
        <v>0</v>
      </c>
      <c r="R73" s="462" t="str">
        <f t="shared" si="37"/>
        <v>N/A</v>
      </c>
      <c r="S73" s="1837">
        <v>0</v>
      </c>
      <c r="T73" s="1630" t="str">
        <f t="shared" si="38"/>
        <v>N/A</v>
      </c>
      <c r="U73" s="1837">
        <v>0</v>
      </c>
      <c r="V73" s="1630" t="str">
        <f t="shared" si="39"/>
        <v>N/A</v>
      </c>
    </row>
    <row r="74" spans="1:22" ht="18" customHeight="1" x14ac:dyDescent="0.3">
      <c r="A74" s="552" t="s">
        <v>497</v>
      </c>
      <c r="B74" s="1629">
        <v>0</v>
      </c>
      <c r="C74" s="1629">
        <v>0</v>
      </c>
      <c r="D74" s="462" t="str">
        <f t="shared" si="30"/>
        <v>N/A</v>
      </c>
      <c r="E74" s="1629">
        <v>1</v>
      </c>
      <c r="F74" s="462">
        <f t="shared" si="31"/>
        <v>1</v>
      </c>
      <c r="G74" s="1629">
        <v>0</v>
      </c>
      <c r="H74" s="462">
        <f t="shared" si="32"/>
        <v>-1</v>
      </c>
      <c r="I74" s="1837">
        <v>0</v>
      </c>
      <c r="J74" s="1630" t="str">
        <f t="shared" si="33"/>
        <v>N/A</v>
      </c>
      <c r="K74" s="1629">
        <v>0</v>
      </c>
      <c r="L74" s="462" t="str">
        <f t="shared" si="34"/>
        <v>N/A</v>
      </c>
      <c r="M74" s="1837">
        <v>0</v>
      </c>
      <c r="N74" s="462" t="str">
        <f t="shared" si="35"/>
        <v>N/A</v>
      </c>
      <c r="O74" s="1837">
        <v>0</v>
      </c>
      <c r="P74" s="462" t="str">
        <f t="shared" si="36"/>
        <v>N/A</v>
      </c>
      <c r="Q74" s="1837">
        <v>0</v>
      </c>
      <c r="R74" s="462" t="str">
        <f t="shared" si="37"/>
        <v>N/A</v>
      </c>
      <c r="S74" s="1837">
        <v>0</v>
      </c>
      <c r="T74" s="1630" t="str">
        <f t="shared" si="38"/>
        <v>N/A</v>
      </c>
      <c r="U74" s="1837">
        <v>0</v>
      </c>
      <c r="V74" s="1630" t="str">
        <f t="shared" si="39"/>
        <v>N/A</v>
      </c>
    </row>
    <row r="75" spans="1:22" ht="18" customHeight="1" x14ac:dyDescent="0.3">
      <c r="A75" s="552" t="s">
        <v>1503</v>
      </c>
      <c r="B75" s="1629"/>
      <c r="C75" s="1629"/>
      <c r="D75" s="462"/>
      <c r="E75" s="1629">
        <v>0</v>
      </c>
      <c r="F75" s="462" t="str">
        <f t="shared" si="31"/>
        <v>N/A</v>
      </c>
      <c r="G75" s="1629">
        <v>0</v>
      </c>
      <c r="H75" s="462" t="str">
        <f t="shared" si="32"/>
        <v>N/A</v>
      </c>
      <c r="I75" s="1837">
        <v>0</v>
      </c>
      <c r="J75" s="1630" t="str">
        <f t="shared" si="33"/>
        <v>N/A</v>
      </c>
      <c r="K75" s="1629">
        <v>0</v>
      </c>
      <c r="L75" s="462" t="str">
        <f t="shared" si="34"/>
        <v>N/A</v>
      </c>
      <c r="M75" s="1837">
        <v>11</v>
      </c>
      <c r="N75" s="462">
        <f t="shared" si="35"/>
        <v>1</v>
      </c>
      <c r="O75" s="1837">
        <v>0</v>
      </c>
      <c r="P75" s="462">
        <f t="shared" si="36"/>
        <v>-1</v>
      </c>
      <c r="Q75" s="1837">
        <v>0</v>
      </c>
      <c r="R75" s="462" t="str">
        <f t="shared" si="37"/>
        <v>N/A</v>
      </c>
      <c r="S75" s="1837">
        <v>0</v>
      </c>
      <c r="T75" s="1630" t="str">
        <f t="shared" si="38"/>
        <v>N/A</v>
      </c>
      <c r="U75" s="1837">
        <v>0</v>
      </c>
      <c r="V75" s="1630" t="str">
        <f t="shared" si="39"/>
        <v>N/A</v>
      </c>
    </row>
    <row r="76" spans="1:22" ht="18" customHeight="1" x14ac:dyDescent="0.3">
      <c r="A76" s="552" t="s">
        <v>1527</v>
      </c>
      <c r="B76" s="1629">
        <v>0</v>
      </c>
      <c r="C76" s="1629">
        <v>0</v>
      </c>
      <c r="D76" s="462" t="str">
        <f t="shared" si="30"/>
        <v>N/A</v>
      </c>
      <c r="E76" s="1629">
        <v>6</v>
      </c>
      <c r="F76" s="462">
        <f t="shared" si="31"/>
        <v>1</v>
      </c>
      <c r="G76" s="1629">
        <v>13</v>
      </c>
      <c r="H76" s="462">
        <f t="shared" si="32"/>
        <v>1.1666666666666667</v>
      </c>
      <c r="I76" s="1837">
        <v>10</v>
      </c>
      <c r="J76" s="1630">
        <f t="shared" si="33"/>
        <v>-0.23076923076923078</v>
      </c>
      <c r="K76" s="1629">
        <v>8</v>
      </c>
      <c r="L76" s="462">
        <f t="shared" si="34"/>
        <v>-0.2</v>
      </c>
      <c r="M76" s="1837">
        <v>22</v>
      </c>
      <c r="N76" s="462">
        <f t="shared" si="35"/>
        <v>1.75</v>
      </c>
      <c r="O76" s="1837">
        <v>26</v>
      </c>
      <c r="P76" s="462">
        <f t="shared" si="36"/>
        <v>0.18181818181818182</v>
      </c>
      <c r="Q76" s="1837">
        <v>23</v>
      </c>
      <c r="R76" s="462">
        <f t="shared" si="37"/>
        <v>-0.11538461538461539</v>
      </c>
      <c r="S76" s="1837">
        <v>10</v>
      </c>
      <c r="T76" s="1630">
        <f t="shared" si="38"/>
        <v>-0.56521739130434778</v>
      </c>
      <c r="U76" s="1837">
        <v>14</v>
      </c>
      <c r="V76" s="1630">
        <f t="shared" si="39"/>
        <v>0.4</v>
      </c>
    </row>
    <row r="77" spans="1:22" ht="18" customHeight="1" x14ac:dyDescent="0.3">
      <c r="A77" s="552" t="s">
        <v>1169</v>
      </c>
      <c r="B77" s="1629">
        <v>6</v>
      </c>
      <c r="C77" s="1629">
        <v>20</v>
      </c>
      <c r="D77" s="462">
        <f t="shared" si="30"/>
        <v>2.3333333333333335</v>
      </c>
      <c r="E77" s="1629">
        <v>22</v>
      </c>
      <c r="F77" s="462">
        <f t="shared" si="31"/>
        <v>0.1</v>
      </c>
      <c r="G77" s="1629">
        <v>11</v>
      </c>
      <c r="H77" s="462">
        <f t="shared" si="32"/>
        <v>-0.5</v>
      </c>
      <c r="I77" s="1837">
        <v>13</v>
      </c>
      <c r="J77" s="1630">
        <f t="shared" si="33"/>
        <v>0.18181818181818182</v>
      </c>
      <c r="K77" s="1629">
        <v>18</v>
      </c>
      <c r="L77" s="462">
        <f t="shared" si="34"/>
        <v>0.38461538461538464</v>
      </c>
      <c r="M77" s="1837">
        <v>19</v>
      </c>
      <c r="N77" s="462">
        <f t="shared" si="35"/>
        <v>5.5555555555555552E-2</v>
      </c>
      <c r="O77" s="1837">
        <v>18</v>
      </c>
      <c r="P77" s="462">
        <f t="shared" si="36"/>
        <v>-5.2631578947368418E-2</v>
      </c>
      <c r="Q77" s="1837">
        <v>17</v>
      </c>
      <c r="R77" s="462">
        <f t="shared" si="37"/>
        <v>-5.5555555555555552E-2</v>
      </c>
      <c r="S77" s="1837">
        <v>15</v>
      </c>
      <c r="T77" s="1630">
        <f t="shared" si="38"/>
        <v>-0.11764705882352941</v>
      </c>
      <c r="U77" s="1837">
        <v>20</v>
      </c>
      <c r="V77" s="1630">
        <f t="shared" si="39"/>
        <v>0.33333333333333331</v>
      </c>
    </row>
    <row r="78" spans="1:22" ht="18" customHeight="1" x14ac:dyDescent="0.3">
      <c r="A78" s="552" t="s">
        <v>1576</v>
      </c>
      <c r="B78" s="1629">
        <v>0</v>
      </c>
      <c r="C78" s="1629">
        <v>0</v>
      </c>
      <c r="D78" s="462" t="str">
        <f t="shared" si="30"/>
        <v>N/A</v>
      </c>
      <c r="E78" s="1629">
        <v>0</v>
      </c>
      <c r="F78" s="462" t="str">
        <f t="shared" si="31"/>
        <v>N/A</v>
      </c>
      <c r="G78" s="1629">
        <v>0</v>
      </c>
      <c r="H78" s="462" t="str">
        <f t="shared" si="32"/>
        <v>N/A</v>
      </c>
      <c r="I78" s="1837">
        <v>0</v>
      </c>
      <c r="J78" s="1630" t="str">
        <f t="shared" si="33"/>
        <v>N/A</v>
      </c>
      <c r="K78" s="1629">
        <v>0</v>
      </c>
      <c r="L78" s="462" t="str">
        <f t="shared" si="34"/>
        <v>N/A</v>
      </c>
      <c r="M78" s="1837">
        <v>0</v>
      </c>
      <c r="N78" s="462" t="str">
        <f t="shared" si="35"/>
        <v>N/A</v>
      </c>
      <c r="O78" s="1837">
        <v>0</v>
      </c>
      <c r="P78" s="462" t="str">
        <f t="shared" si="36"/>
        <v>N/A</v>
      </c>
      <c r="Q78" s="1837">
        <v>0</v>
      </c>
      <c r="R78" s="462" t="str">
        <f t="shared" si="37"/>
        <v>N/A</v>
      </c>
      <c r="S78" s="1837">
        <v>0</v>
      </c>
      <c r="T78" s="1630" t="str">
        <f t="shared" si="38"/>
        <v>N/A</v>
      </c>
      <c r="U78" s="1837">
        <v>0</v>
      </c>
      <c r="V78" s="1630" t="str">
        <f t="shared" si="39"/>
        <v>N/A</v>
      </c>
    </row>
    <row r="79" spans="1:22" ht="18" customHeight="1" x14ac:dyDescent="0.3">
      <c r="A79" s="552" t="s">
        <v>1577</v>
      </c>
      <c r="B79" s="1629">
        <v>0</v>
      </c>
      <c r="C79" s="1629">
        <v>0</v>
      </c>
      <c r="D79" s="462" t="str">
        <f t="shared" si="30"/>
        <v>N/A</v>
      </c>
      <c r="E79" s="1629">
        <v>0</v>
      </c>
      <c r="F79" s="462" t="str">
        <f t="shared" si="31"/>
        <v>N/A</v>
      </c>
      <c r="G79" s="1629">
        <v>0</v>
      </c>
      <c r="H79" s="462" t="str">
        <f t="shared" si="32"/>
        <v>N/A</v>
      </c>
      <c r="I79" s="1837">
        <v>0</v>
      </c>
      <c r="J79" s="1630" t="str">
        <f t="shared" si="33"/>
        <v>N/A</v>
      </c>
      <c r="K79" s="1629">
        <v>0</v>
      </c>
      <c r="L79" s="462" t="str">
        <f t="shared" si="34"/>
        <v>N/A</v>
      </c>
      <c r="M79" s="1837">
        <v>0</v>
      </c>
      <c r="N79" s="462" t="str">
        <f t="shared" si="35"/>
        <v>N/A</v>
      </c>
      <c r="O79" s="1837">
        <v>4</v>
      </c>
      <c r="P79" s="462">
        <f t="shared" si="36"/>
        <v>1</v>
      </c>
      <c r="Q79" s="1837">
        <v>7</v>
      </c>
      <c r="R79" s="462">
        <f t="shared" si="37"/>
        <v>0.75</v>
      </c>
      <c r="S79" s="1837">
        <v>7</v>
      </c>
      <c r="T79" s="1630">
        <f t="shared" si="38"/>
        <v>0</v>
      </c>
      <c r="U79" s="1837">
        <v>9</v>
      </c>
      <c r="V79" s="1630">
        <f t="shared" si="39"/>
        <v>0.2857142857142857</v>
      </c>
    </row>
    <row r="80" spans="1:22" ht="18" customHeight="1" x14ac:dyDescent="0.3">
      <c r="A80" s="552" t="s">
        <v>1598</v>
      </c>
      <c r="B80" s="1629">
        <v>0</v>
      </c>
      <c r="C80" s="1629">
        <v>0</v>
      </c>
      <c r="D80" s="462" t="str">
        <f t="shared" si="30"/>
        <v>N/A</v>
      </c>
      <c r="E80" s="1629">
        <v>0</v>
      </c>
      <c r="F80" s="462" t="str">
        <f t="shared" si="31"/>
        <v>N/A</v>
      </c>
      <c r="G80" s="1629">
        <v>0</v>
      </c>
      <c r="H80" s="462" t="str">
        <f t="shared" si="32"/>
        <v>N/A</v>
      </c>
      <c r="I80" s="1837">
        <v>0</v>
      </c>
      <c r="J80" s="1630" t="str">
        <f t="shared" si="33"/>
        <v>N/A</v>
      </c>
      <c r="K80" s="1629">
        <v>0</v>
      </c>
      <c r="L80" s="462" t="str">
        <f t="shared" si="34"/>
        <v>N/A</v>
      </c>
      <c r="M80" s="1837">
        <v>0</v>
      </c>
      <c r="N80" s="462" t="str">
        <f t="shared" si="35"/>
        <v>N/A</v>
      </c>
      <c r="O80" s="1837">
        <v>2</v>
      </c>
      <c r="P80" s="462">
        <f t="shared" si="36"/>
        <v>1</v>
      </c>
      <c r="Q80" s="1837">
        <v>2</v>
      </c>
      <c r="R80" s="462">
        <f t="shared" si="37"/>
        <v>0</v>
      </c>
      <c r="S80" s="1837">
        <v>0</v>
      </c>
      <c r="T80" s="1630">
        <f t="shared" si="38"/>
        <v>-1</v>
      </c>
      <c r="U80" s="1837">
        <v>0</v>
      </c>
      <c r="V80" s="1630" t="str">
        <f t="shared" si="39"/>
        <v>N/A</v>
      </c>
    </row>
    <row r="81" spans="1:22" ht="18" customHeight="1" x14ac:dyDescent="0.3">
      <c r="A81" s="552" t="s">
        <v>1578</v>
      </c>
      <c r="B81" s="1629">
        <v>0</v>
      </c>
      <c r="C81" s="1629">
        <v>0</v>
      </c>
      <c r="D81" s="462" t="str">
        <f t="shared" si="30"/>
        <v>N/A</v>
      </c>
      <c r="E81" s="1629">
        <v>0</v>
      </c>
      <c r="F81" s="462" t="str">
        <f t="shared" si="31"/>
        <v>N/A</v>
      </c>
      <c r="G81" s="1629">
        <v>0</v>
      </c>
      <c r="H81" s="462" t="str">
        <f t="shared" si="32"/>
        <v>N/A</v>
      </c>
      <c r="I81" s="1837">
        <v>0</v>
      </c>
      <c r="J81" s="1630" t="str">
        <f t="shared" si="33"/>
        <v>N/A</v>
      </c>
      <c r="K81" s="1629">
        <v>0</v>
      </c>
      <c r="L81" s="462" t="str">
        <f t="shared" si="34"/>
        <v>N/A</v>
      </c>
      <c r="M81" s="1837">
        <v>0</v>
      </c>
      <c r="N81" s="462" t="str">
        <f t="shared" si="35"/>
        <v>N/A</v>
      </c>
      <c r="O81" s="1837">
        <v>5</v>
      </c>
      <c r="P81" s="462">
        <f t="shared" si="36"/>
        <v>1</v>
      </c>
      <c r="Q81" s="1837">
        <v>7</v>
      </c>
      <c r="R81" s="462">
        <f t="shared" si="37"/>
        <v>0.4</v>
      </c>
      <c r="S81" s="1837">
        <v>5</v>
      </c>
      <c r="T81" s="1630">
        <f t="shared" si="38"/>
        <v>-0.2857142857142857</v>
      </c>
      <c r="U81" s="1837">
        <v>8</v>
      </c>
      <c r="V81" s="1630">
        <f t="shared" si="39"/>
        <v>0.6</v>
      </c>
    </row>
    <row r="82" spans="1:22" ht="18" customHeight="1" x14ac:dyDescent="0.3">
      <c r="A82" s="552" t="s">
        <v>1170</v>
      </c>
      <c r="B82" s="1629">
        <v>289</v>
      </c>
      <c r="C82" s="1629">
        <v>209</v>
      </c>
      <c r="D82" s="462">
        <f t="shared" si="30"/>
        <v>-0.27681660899653981</v>
      </c>
      <c r="E82" s="1629">
        <v>91</v>
      </c>
      <c r="F82" s="462">
        <f t="shared" si="31"/>
        <v>-0.56459330143540665</v>
      </c>
      <c r="G82" s="1629">
        <v>120</v>
      </c>
      <c r="H82" s="462">
        <f t="shared" si="32"/>
        <v>0.31868131868131866</v>
      </c>
      <c r="I82" s="1837">
        <v>174</v>
      </c>
      <c r="J82" s="1630">
        <f t="shared" si="33"/>
        <v>0.45</v>
      </c>
      <c r="K82" s="1629">
        <v>190</v>
      </c>
      <c r="L82" s="462">
        <f t="shared" si="34"/>
        <v>9.1954022988505746E-2</v>
      </c>
      <c r="M82" s="1837">
        <v>196</v>
      </c>
      <c r="N82" s="462">
        <f t="shared" si="35"/>
        <v>3.1578947368421054E-2</v>
      </c>
      <c r="O82" s="1837">
        <v>135</v>
      </c>
      <c r="P82" s="462">
        <f t="shared" si="36"/>
        <v>-0.31122448979591838</v>
      </c>
      <c r="Q82" s="1837">
        <v>72</v>
      </c>
      <c r="R82" s="462">
        <f t="shared" si="37"/>
        <v>-0.46666666666666667</v>
      </c>
      <c r="S82" s="1837">
        <v>70</v>
      </c>
      <c r="T82" s="1630">
        <f t="shared" si="38"/>
        <v>-2.7777777777777776E-2</v>
      </c>
      <c r="U82" s="1837">
        <v>34</v>
      </c>
      <c r="V82" s="1630">
        <f t="shared" si="39"/>
        <v>-0.51428571428571423</v>
      </c>
    </row>
    <row r="83" spans="1:22" ht="18" customHeight="1" x14ac:dyDescent="0.3">
      <c r="A83" s="553" t="s">
        <v>1015</v>
      </c>
      <c r="B83" s="1629">
        <f>SUM(B69:B82)</f>
        <v>487</v>
      </c>
      <c r="C83" s="1629">
        <f>SUM(C69:C82)</f>
        <v>431</v>
      </c>
      <c r="D83" s="462">
        <f t="shared" si="30"/>
        <v>-0.11498973305954825</v>
      </c>
      <c r="E83" s="1629">
        <f>SUM(E69:E82)</f>
        <v>207</v>
      </c>
      <c r="F83" s="462">
        <f t="shared" si="31"/>
        <v>-0.51972157772621808</v>
      </c>
      <c r="G83" s="1629">
        <f>SUM(G69:G82)</f>
        <v>224</v>
      </c>
      <c r="H83" s="462">
        <f t="shared" si="32"/>
        <v>8.2125603864734303E-2</v>
      </c>
      <c r="I83" s="1629">
        <f>SUM(I69:I82)</f>
        <v>269</v>
      </c>
      <c r="J83" s="1630">
        <f t="shared" si="33"/>
        <v>0.20089285714285715</v>
      </c>
      <c r="K83" s="1629">
        <f>SUM(K69:K82)</f>
        <v>284</v>
      </c>
      <c r="L83" s="462">
        <f t="shared" si="34"/>
        <v>5.5762081784386616E-2</v>
      </c>
      <c r="M83" s="1839">
        <f>SUM(M69:M82)</f>
        <v>308</v>
      </c>
      <c r="N83" s="462">
        <f t="shared" si="35"/>
        <v>8.4507042253521125E-2</v>
      </c>
      <c r="O83" s="1839">
        <f>SUM(O69:O82)</f>
        <v>246</v>
      </c>
      <c r="P83" s="462">
        <f t="shared" si="36"/>
        <v>-0.20129870129870131</v>
      </c>
      <c r="Q83" s="1839">
        <f>SUM(Q69:Q82)</f>
        <v>174</v>
      </c>
      <c r="R83" s="462">
        <f t="shared" si="37"/>
        <v>-0.29268292682926828</v>
      </c>
      <c r="S83" s="1839">
        <f>SUM(S69:S82)</f>
        <v>153</v>
      </c>
      <c r="T83" s="1630">
        <f t="shared" si="38"/>
        <v>-0.1206896551724138</v>
      </c>
      <c r="U83" s="1839">
        <f>SUM(U69:U82)</f>
        <v>120</v>
      </c>
      <c r="V83" s="1630">
        <f t="shared" si="39"/>
        <v>-0.21568627450980393</v>
      </c>
    </row>
    <row r="84" spans="1:22" ht="18" customHeight="1" x14ac:dyDescent="0.3">
      <c r="A84" s="1834" t="s">
        <v>425</v>
      </c>
      <c r="B84" s="1835"/>
      <c r="C84" s="1835"/>
      <c r="D84" s="1547"/>
      <c r="E84" s="1835"/>
      <c r="F84" s="1547"/>
      <c r="G84" s="1835"/>
      <c r="H84" s="1547"/>
      <c r="I84" s="1835"/>
      <c r="J84" s="1836"/>
      <c r="K84" s="1835"/>
      <c r="L84" s="1547"/>
      <c r="M84" s="1835"/>
      <c r="N84" s="1547"/>
      <c r="O84" s="1835"/>
      <c r="P84" s="1547"/>
      <c r="Q84" s="1835"/>
      <c r="R84" s="1547"/>
      <c r="S84" s="1835"/>
      <c r="T84" s="1836"/>
      <c r="U84" s="1835"/>
      <c r="V84" s="1836"/>
    </row>
    <row r="85" spans="1:22" ht="18" customHeight="1" x14ac:dyDescent="0.3">
      <c r="A85" s="552" t="s">
        <v>611</v>
      </c>
      <c r="B85" s="1629">
        <v>1</v>
      </c>
      <c r="C85" s="1629">
        <v>1</v>
      </c>
      <c r="D85" s="462">
        <f t="shared" ref="D85:D92" si="40">IF(B85&gt;0,(C85-B85)/B85,(IF(C85=0,"N/A",100%)))</f>
        <v>0</v>
      </c>
      <c r="E85" s="1629">
        <v>9</v>
      </c>
      <c r="F85" s="462">
        <f t="shared" ref="F85:F92" si="41">IF(C85&gt;0,(E85-C85)/C85,(IF(E85=0,"N/A",100%)))</f>
        <v>8</v>
      </c>
      <c r="G85" s="1629">
        <v>3</v>
      </c>
      <c r="H85" s="462">
        <f t="shared" ref="H85:H92" si="42">IF(E85&gt;0,(G85-E85)/E85,(IF(G85=0,"N/A",100%)))</f>
        <v>-0.66666666666666663</v>
      </c>
      <c r="I85" s="1629">
        <v>4</v>
      </c>
      <c r="J85" s="1630">
        <f t="shared" ref="J85:J92" si="43">IF(G85&gt;0,(I85-G85)/G85,(IF(I85=0,"N/A",100%)))</f>
        <v>0.33333333333333331</v>
      </c>
      <c r="K85" s="1629">
        <v>9</v>
      </c>
      <c r="L85" s="462">
        <f t="shared" ref="L85:L92" si="44">IF(I85&gt;0,(K85-I85)/I85,(IF(K85=0,"N/A",100%)))</f>
        <v>1.25</v>
      </c>
      <c r="M85" s="1629">
        <v>7</v>
      </c>
      <c r="N85" s="462">
        <f t="shared" ref="N85:N92" si="45">IF(K85&gt;0,(M85-K85)/K85,(IF(M85=0,"N/A",100%)))</f>
        <v>-0.22222222222222221</v>
      </c>
      <c r="O85" s="1629">
        <v>5</v>
      </c>
      <c r="P85" s="462">
        <f t="shared" ref="P85:P92" si="46">IF(M85&gt;0,(O85-M85)/M85,(IF(O85=0,"N/A",100%)))</f>
        <v>-0.2857142857142857</v>
      </c>
      <c r="Q85" s="1629">
        <v>1</v>
      </c>
      <c r="R85" s="462">
        <f t="shared" ref="R85:R92" si="47">IF(O85&gt;0,(Q85-O85)/O85,(IF(Q85=0,"N/A",100%)))</f>
        <v>-0.8</v>
      </c>
      <c r="S85" s="1629">
        <v>1</v>
      </c>
      <c r="T85" s="1630">
        <f t="shared" ref="T85:T92" si="48">IF(Q85&gt;0,(S85-Q85)/Q85,(IF(S85=0,"N/A",100%)))</f>
        <v>0</v>
      </c>
      <c r="U85" s="1629">
        <v>0</v>
      </c>
      <c r="V85" s="1630">
        <f t="shared" ref="V85:V92" si="49">IF(S85&gt;0,(U85-S85)/S85,(IF(U85=0,"N/A",100%)))</f>
        <v>-1</v>
      </c>
    </row>
    <row r="86" spans="1:22" ht="18" customHeight="1" x14ac:dyDescent="0.3">
      <c r="A86" s="552" t="s">
        <v>1196</v>
      </c>
      <c r="B86" s="1629">
        <v>10</v>
      </c>
      <c r="C86" s="1629">
        <v>19</v>
      </c>
      <c r="D86" s="462">
        <f t="shared" si="40"/>
        <v>0.9</v>
      </c>
      <c r="E86" s="1629">
        <v>36</v>
      </c>
      <c r="F86" s="462">
        <f t="shared" si="41"/>
        <v>0.89473684210526316</v>
      </c>
      <c r="G86" s="1629">
        <v>30</v>
      </c>
      <c r="H86" s="462">
        <f t="shared" si="42"/>
        <v>-0.16666666666666666</v>
      </c>
      <c r="I86" s="1629">
        <v>44</v>
      </c>
      <c r="J86" s="1630">
        <f t="shared" si="43"/>
        <v>0.46666666666666667</v>
      </c>
      <c r="K86" s="1629">
        <v>42</v>
      </c>
      <c r="L86" s="462">
        <f t="shared" si="44"/>
        <v>-4.5454545454545456E-2</v>
      </c>
      <c r="M86" s="1629">
        <v>42</v>
      </c>
      <c r="N86" s="462">
        <f t="shared" si="45"/>
        <v>0</v>
      </c>
      <c r="O86" s="1629">
        <v>57</v>
      </c>
      <c r="P86" s="462">
        <f t="shared" si="46"/>
        <v>0.35714285714285715</v>
      </c>
      <c r="Q86" s="1629">
        <v>59</v>
      </c>
      <c r="R86" s="462">
        <f t="shared" si="47"/>
        <v>3.5087719298245612E-2</v>
      </c>
      <c r="S86" s="1629">
        <v>70</v>
      </c>
      <c r="T86" s="1630">
        <f t="shared" si="48"/>
        <v>0.1864406779661017</v>
      </c>
      <c r="U86" s="1629">
        <v>48</v>
      </c>
      <c r="V86" s="1630">
        <f t="shared" si="49"/>
        <v>-0.31428571428571428</v>
      </c>
    </row>
    <row r="87" spans="1:22" ht="18" customHeight="1" x14ac:dyDescent="0.3">
      <c r="A87" s="552" t="s">
        <v>1197</v>
      </c>
      <c r="B87" s="1629">
        <v>2</v>
      </c>
      <c r="C87" s="1629">
        <v>0</v>
      </c>
      <c r="D87" s="462">
        <f t="shared" si="40"/>
        <v>-1</v>
      </c>
      <c r="E87" s="1629">
        <v>0</v>
      </c>
      <c r="F87" s="462" t="str">
        <f t="shared" si="41"/>
        <v>N/A</v>
      </c>
      <c r="G87" s="1629">
        <v>0</v>
      </c>
      <c r="H87" s="462" t="str">
        <f t="shared" si="42"/>
        <v>N/A</v>
      </c>
      <c r="I87" s="1629">
        <v>0</v>
      </c>
      <c r="J87" s="1630" t="str">
        <f t="shared" si="43"/>
        <v>N/A</v>
      </c>
      <c r="K87" s="1629">
        <v>0</v>
      </c>
      <c r="L87" s="462" t="str">
        <f t="shared" si="44"/>
        <v>N/A</v>
      </c>
      <c r="M87" s="1629">
        <v>0</v>
      </c>
      <c r="N87" s="462" t="str">
        <f t="shared" si="45"/>
        <v>N/A</v>
      </c>
      <c r="O87" s="1629">
        <v>0</v>
      </c>
      <c r="P87" s="462" t="str">
        <f t="shared" si="46"/>
        <v>N/A</v>
      </c>
      <c r="Q87" s="1629">
        <v>0</v>
      </c>
      <c r="R87" s="462" t="str">
        <f t="shared" si="47"/>
        <v>N/A</v>
      </c>
      <c r="S87" s="1629">
        <v>0</v>
      </c>
      <c r="T87" s="1630" t="str">
        <f t="shared" si="48"/>
        <v>N/A</v>
      </c>
      <c r="U87" s="1629">
        <v>0</v>
      </c>
      <c r="V87" s="1630" t="str">
        <f t="shared" si="49"/>
        <v>N/A</v>
      </c>
    </row>
    <row r="88" spans="1:22" ht="18" customHeight="1" x14ac:dyDescent="0.3">
      <c r="A88" s="552" t="s">
        <v>1147</v>
      </c>
      <c r="B88" s="1629">
        <v>3</v>
      </c>
      <c r="C88" s="1629">
        <v>0</v>
      </c>
      <c r="D88" s="462">
        <f t="shared" si="40"/>
        <v>-1</v>
      </c>
      <c r="E88" s="1629">
        <v>0</v>
      </c>
      <c r="F88" s="462" t="str">
        <f t="shared" si="41"/>
        <v>N/A</v>
      </c>
      <c r="G88" s="1629">
        <v>0</v>
      </c>
      <c r="H88" s="462" t="str">
        <f t="shared" si="42"/>
        <v>N/A</v>
      </c>
      <c r="I88" s="1629">
        <v>0</v>
      </c>
      <c r="J88" s="1630" t="str">
        <f t="shared" si="43"/>
        <v>N/A</v>
      </c>
      <c r="K88" s="1629">
        <v>0</v>
      </c>
      <c r="L88" s="462" t="str">
        <f t="shared" si="44"/>
        <v>N/A</v>
      </c>
      <c r="M88" s="1629">
        <v>0</v>
      </c>
      <c r="N88" s="462" t="str">
        <f t="shared" si="45"/>
        <v>N/A</v>
      </c>
      <c r="O88" s="1629">
        <v>0</v>
      </c>
      <c r="P88" s="462" t="str">
        <f t="shared" si="46"/>
        <v>N/A</v>
      </c>
      <c r="Q88" s="1629">
        <v>0</v>
      </c>
      <c r="R88" s="462" t="str">
        <f t="shared" si="47"/>
        <v>N/A</v>
      </c>
      <c r="S88" s="1629">
        <v>0</v>
      </c>
      <c r="T88" s="1630" t="str">
        <f t="shared" si="48"/>
        <v>N/A</v>
      </c>
      <c r="U88" s="1629">
        <v>0</v>
      </c>
      <c r="V88" s="1630" t="str">
        <f t="shared" si="49"/>
        <v>N/A</v>
      </c>
    </row>
    <row r="89" spans="1:22" ht="18" customHeight="1" x14ac:dyDescent="0.3">
      <c r="A89" s="552" t="s">
        <v>1148</v>
      </c>
      <c r="B89" s="1629">
        <v>16</v>
      </c>
      <c r="C89" s="1629">
        <v>0</v>
      </c>
      <c r="D89" s="462">
        <f t="shared" si="40"/>
        <v>-1</v>
      </c>
      <c r="E89" s="1629">
        <v>0</v>
      </c>
      <c r="F89" s="462" t="str">
        <f t="shared" si="41"/>
        <v>N/A</v>
      </c>
      <c r="G89" s="1629">
        <v>0</v>
      </c>
      <c r="H89" s="462" t="str">
        <f t="shared" si="42"/>
        <v>N/A</v>
      </c>
      <c r="I89" s="1629">
        <v>0</v>
      </c>
      <c r="J89" s="1630" t="str">
        <f t="shared" si="43"/>
        <v>N/A</v>
      </c>
      <c r="K89" s="1629">
        <v>0</v>
      </c>
      <c r="L89" s="462" t="str">
        <f t="shared" si="44"/>
        <v>N/A</v>
      </c>
      <c r="M89" s="1629">
        <v>0</v>
      </c>
      <c r="N89" s="462" t="str">
        <f t="shared" si="45"/>
        <v>N/A</v>
      </c>
      <c r="O89" s="1629">
        <v>0</v>
      </c>
      <c r="P89" s="462" t="str">
        <f t="shared" si="46"/>
        <v>N/A</v>
      </c>
      <c r="Q89" s="1629">
        <v>0</v>
      </c>
      <c r="R89" s="462" t="str">
        <f t="shared" si="47"/>
        <v>N/A</v>
      </c>
      <c r="S89" s="1629">
        <v>0</v>
      </c>
      <c r="T89" s="1630" t="str">
        <f t="shared" si="48"/>
        <v>N/A</v>
      </c>
      <c r="U89" s="1629">
        <v>0</v>
      </c>
      <c r="V89" s="1630" t="str">
        <f t="shared" si="49"/>
        <v>N/A</v>
      </c>
    </row>
    <row r="90" spans="1:22" ht="18" customHeight="1" x14ac:dyDescent="0.3">
      <c r="A90" s="552" t="s">
        <v>1150</v>
      </c>
      <c r="B90" s="1629">
        <v>17</v>
      </c>
      <c r="C90" s="1629">
        <v>10</v>
      </c>
      <c r="D90" s="462">
        <f t="shared" si="40"/>
        <v>-0.41176470588235292</v>
      </c>
      <c r="E90" s="1629">
        <v>10</v>
      </c>
      <c r="F90" s="462">
        <f t="shared" si="41"/>
        <v>0</v>
      </c>
      <c r="G90" s="1629">
        <v>9</v>
      </c>
      <c r="H90" s="462">
        <f t="shared" si="42"/>
        <v>-0.1</v>
      </c>
      <c r="I90" s="1629">
        <v>19</v>
      </c>
      <c r="J90" s="1630">
        <f t="shared" si="43"/>
        <v>1.1111111111111112</v>
      </c>
      <c r="K90" s="1629">
        <v>10</v>
      </c>
      <c r="L90" s="462">
        <f t="shared" si="44"/>
        <v>-0.47368421052631576</v>
      </c>
      <c r="M90" s="1629">
        <v>14</v>
      </c>
      <c r="N90" s="462">
        <f t="shared" si="45"/>
        <v>0.4</v>
      </c>
      <c r="O90" s="1629">
        <v>10</v>
      </c>
      <c r="P90" s="462">
        <f t="shared" si="46"/>
        <v>-0.2857142857142857</v>
      </c>
      <c r="Q90" s="1629">
        <v>6</v>
      </c>
      <c r="R90" s="462">
        <f t="shared" si="47"/>
        <v>-0.4</v>
      </c>
      <c r="S90" s="1629">
        <v>14</v>
      </c>
      <c r="T90" s="1630">
        <f t="shared" si="48"/>
        <v>1.3333333333333333</v>
      </c>
      <c r="U90" s="1629">
        <v>8</v>
      </c>
      <c r="V90" s="1630">
        <f t="shared" si="49"/>
        <v>-0.42857142857142855</v>
      </c>
    </row>
    <row r="91" spans="1:22" ht="18" customHeight="1" x14ac:dyDescent="0.3">
      <c r="A91" s="552" t="s">
        <v>25</v>
      </c>
      <c r="B91" s="1629">
        <v>0</v>
      </c>
      <c r="C91" s="1629">
        <v>1</v>
      </c>
      <c r="D91" s="462">
        <f t="shared" si="40"/>
        <v>1</v>
      </c>
      <c r="E91" s="1629">
        <v>0</v>
      </c>
      <c r="F91" s="462">
        <f t="shared" si="41"/>
        <v>-1</v>
      </c>
      <c r="G91" s="1629">
        <v>0</v>
      </c>
      <c r="H91" s="462" t="str">
        <f t="shared" si="42"/>
        <v>N/A</v>
      </c>
      <c r="I91" s="1629">
        <v>0</v>
      </c>
      <c r="J91" s="1630" t="str">
        <f t="shared" si="43"/>
        <v>N/A</v>
      </c>
      <c r="K91" s="1629">
        <v>0</v>
      </c>
      <c r="L91" s="462" t="str">
        <f t="shared" si="44"/>
        <v>N/A</v>
      </c>
      <c r="M91" s="1629">
        <v>0</v>
      </c>
      <c r="N91" s="462" t="str">
        <f t="shared" si="45"/>
        <v>N/A</v>
      </c>
      <c r="O91" s="1629">
        <v>0</v>
      </c>
      <c r="P91" s="462" t="str">
        <f t="shared" si="46"/>
        <v>N/A</v>
      </c>
      <c r="Q91" s="1629">
        <v>0</v>
      </c>
      <c r="R91" s="462" t="str">
        <f t="shared" si="47"/>
        <v>N/A</v>
      </c>
      <c r="S91" s="1629">
        <v>0</v>
      </c>
      <c r="T91" s="1630" t="str">
        <f t="shared" si="48"/>
        <v>N/A</v>
      </c>
      <c r="U91" s="1629">
        <v>0</v>
      </c>
      <c r="V91" s="1630" t="str">
        <f t="shared" si="49"/>
        <v>N/A</v>
      </c>
    </row>
    <row r="92" spans="1:22" ht="18" customHeight="1" x14ac:dyDescent="0.3">
      <c r="A92" s="553" t="s">
        <v>1015</v>
      </c>
      <c r="B92" s="1629">
        <f>SUM(B85:B91)</f>
        <v>49</v>
      </c>
      <c r="C92" s="1629">
        <f>SUM(C85:C91)</f>
        <v>31</v>
      </c>
      <c r="D92" s="462">
        <f t="shared" si="40"/>
        <v>-0.36734693877551022</v>
      </c>
      <c r="E92" s="1629">
        <f>SUM(E85:E91)</f>
        <v>55</v>
      </c>
      <c r="F92" s="462">
        <f t="shared" si="41"/>
        <v>0.77419354838709675</v>
      </c>
      <c r="G92" s="1629">
        <f>SUM(G85:G91)</f>
        <v>42</v>
      </c>
      <c r="H92" s="462">
        <f t="shared" si="42"/>
        <v>-0.23636363636363636</v>
      </c>
      <c r="I92" s="1629">
        <f>SUM(I85:I91)</f>
        <v>67</v>
      </c>
      <c r="J92" s="1630">
        <f t="shared" si="43"/>
        <v>0.59523809523809523</v>
      </c>
      <c r="K92" s="1629">
        <f>SUM(K85:K91)</f>
        <v>61</v>
      </c>
      <c r="L92" s="462">
        <f t="shared" si="44"/>
        <v>-8.9552238805970144E-2</v>
      </c>
      <c r="M92" s="1840">
        <f>SUM(M85:M91)</f>
        <v>63</v>
      </c>
      <c r="N92" s="462">
        <f t="shared" si="45"/>
        <v>3.2786885245901641E-2</v>
      </c>
      <c r="O92" s="1840">
        <f>SUM(O85:O91)</f>
        <v>72</v>
      </c>
      <c r="P92" s="462">
        <f t="shared" si="46"/>
        <v>0.14285714285714285</v>
      </c>
      <c r="Q92" s="1840">
        <f>SUM(Q85:Q91)</f>
        <v>66</v>
      </c>
      <c r="R92" s="462">
        <f t="shared" si="47"/>
        <v>-8.3333333333333329E-2</v>
      </c>
      <c r="S92" s="1840">
        <f>SUM(S85:S91)</f>
        <v>85</v>
      </c>
      <c r="T92" s="1630">
        <f t="shared" si="48"/>
        <v>0.2878787878787879</v>
      </c>
      <c r="U92" s="1840">
        <f>SUM(U85:U91)</f>
        <v>56</v>
      </c>
      <c r="V92" s="1630">
        <f t="shared" si="49"/>
        <v>-0.3411764705882353</v>
      </c>
    </row>
    <row r="93" spans="1:22" ht="18" customHeight="1" x14ac:dyDescent="0.3">
      <c r="A93" s="1834" t="s">
        <v>426</v>
      </c>
      <c r="B93" s="1835"/>
      <c r="C93" s="1835"/>
      <c r="D93" s="1547"/>
      <c r="E93" s="1835"/>
      <c r="F93" s="1547"/>
      <c r="G93" s="1835"/>
      <c r="H93" s="1547"/>
      <c r="I93" s="1835"/>
      <c r="J93" s="1836"/>
      <c r="K93" s="1835"/>
      <c r="L93" s="1547"/>
      <c r="M93" s="1835"/>
      <c r="N93" s="1547"/>
      <c r="O93" s="1835"/>
      <c r="P93" s="1547"/>
      <c r="Q93" s="1835"/>
      <c r="R93" s="1547"/>
      <c r="S93" s="1835"/>
      <c r="T93" s="1836"/>
      <c r="U93" s="1835"/>
      <c r="V93" s="1836"/>
    </row>
    <row r="94" spans="1:22" ht="18" customHeight="1" x14ac:dyDescent="0.3">
      <c r="A94" s="552" t="s">
        <v>1101</v>
      </c>
      <c r="B94" s="1629">
        <v>14</v>
      </c>
      <c r="C94" s="1629">
        <v>20</v>
      </c>
      <c r="D94" s="462">
        <f t="shared" ref="D94:D100" si="50">IF(B94&gt;0,(C94-B94)/B94,(IF(C94=0,"N/A",100%)))</f>
        <v>0.42857142857142855</v>
      </c>
      <c r="E94" s="1629">
        <v>10</v>
      </c>
      <c r="F94" s="462">
        <f t="shared" ref="F94:F100" si="51">IF(C94&gt;0,(E94-C94)/C94,(IF(E94=0,"N/A",100%)))</f>
        <v>-0.5</v>
      </c>
      <c r="G94" s="1629">
        <v>14</v>
      </c>
      <c r="H94" s="462">
        <f t="shared" ref="H94:H100" si="52">IF(E94&gt;0,(G94-E94)/E94,(IF(G94=0,"N/A",100%)))</f>
        <v>0.4</v>
      </c>
      <c r="I94" s="1629">
        <v>16</v>
      </c>
      <c r="J94" s="1630">
        <f t="shared" ref="J94:J100" si="53">IF(G94&gt;0,(I94-G94)/G94,(IF(I94=0,"N/A",100%)))</f>
        <v>0.14285714285714285</v>
      </c>
      <c r="K94" s="1629">
        <v>12</v>
      </c>
      <c r="L94" s="462">
        <f t="shared" ref="L94:L100" si="54">IF(I94&gt;0,(K94-I94)/I94,(IF(K94=0,"N/A",100%)))</f>
        <v>-0.25</v>
      </c>
      <c r="M94" s="1629">
        <v>34</v>
      </c>
      <c r="N94" s="462">
        <f t="shared" ref="N94:N100" si="55">IF(K94&gt;0,(M94-K94)/K94,(IF(M94=0,"N/A",100%)))</f>
        <v>1.8333333333333333</v>
      </c>
      <c r="O94" s="1629">
        <v>29</v>
      </c>
      <c r="P94" s="462">
        <f t="shared" ref="P94:P100" si="56">IF(M94&gt;0,(O94-M94)/M94,(IF(O94=0,"N/A",100%)))</f>
        <v>-0.14705882352941177</v>
      </c>
      <c r="Q94" s="1629">
        <v>30</v>
      </c>
      <c r="R94" s="462">
        <f t="shared" ref="R94:R100" si="57">IF(O94&gt;0,(Q94-O94)/O94,(IF(Q94=0,"N/A",100%)))</f>
        <v>3.4482758620689655E-2</v>
      </c>
      <c r="S94" s="1629">
        <v>28</v>
      </c>
      <c r="T94" s="1630">
        <f t="shared" ref="T94:T100" si="58">IF(Q94&gt;0,(S94-Q94)/Q94,(IF(S94=0,"N/A",100%)))</f>
        <v>-6.6666666666666666E-2</v>
      </c>
      <c r="U94" s="1629">
        <v>32</v>
      </c>
      <c r="V94" s="1630">
        <f t="shared" ref="V94:V100" si="59">IF(S94&gt;0,(U94-S94)/S94,(IF(U94=0,"N/A",100%)))</f>
        <v>0.14285714285714285</v>
      </c>
    </row>
    <row r="95" spans="1:22" ht="18" customHeight="1" x14ac:dyDescent="0.3">
      <c r="A95" s="552" t="s">
        <v>1134</v>
      </c>
      <c r="B95" s="1629">
        <v>0</v>
      </c>
      <c r="C95" s="1629">
        <v>0</v>
      </c>
      <c r="D95" s="462" t="str">
        <f t="shared" si="50"/>
        <v>N/A</v>
      </c>
      <c r="E95" s="1629">
        <v>1</v>
      </c>
      <c r="F95" s="462">
        <f t="shared" si="51"/>
        <v>1</v>
      </c>
      <c r="G95" s="1629">
        <v>2</v>
      </c>
      <c r="H95" s="462">
        <f t="shared" si="52"/>
        <v>1</v>
      </c>
      <c r="I95" s="1629">
        <v>0</v>
      </c>
      <c r="J95" s="1630">
        <f t="shared" si="53"/>
        <v>-1</v>
      </c>
      <c r="K95" s="1629">
        <v>3</v>
      </c>
      <c r="L95" s="462">
        <f t="shared" si="54"/>
        <v>1</v>
      </c>
      <c r="M95" s="1629">
        <v>1</v>
      </c>
      <c r="N95" s="462">
        <f t="shared" si="55"/>
        <v>-0.66666666666666663</v>
      </c>
      <c r="O95" s="1629">
        <v>0</v>
      </c>
      <c r="P95" s="462">
        <f t="shared" si="56"/>
        <v>-1</v>
      </c>
      <c r="Q95" s="1629">
        <v>0</v>
      </c>
      <c r="R95" s="462" t="str">
        <f t="shared" si="57"/>
        <v>N/A</v>
      </c>
      <c r="S95" s="1629">
        <v>0</v>
      </c>
      <c r="T95" s="1630" t="str">
        <f t="shared" si="58"/>
        <v>N/A</v>
      </c>
      <c r="U95" s="1629">
        <v>0</v>
      </c>
      <c r="V95" s="1630" t="str">
        <f t="shared" si="59"/>
        <v>N/A</v>
      </c>
    </row>
    <row r="96" spans="1:22" ht="18" customHeight="1" x14ac:dyDescent="0.3">
      <c r="A96" s="552" t="s">
        <v>1102</v>
      </c>
      <c r="B96" s="1629">
        <v>2</v>
      </c>
      <c r="C96" s="1629">
        <v>1</v>
      </c>
      <c r="D96" s="462">
        <f t="shared" si="50"/>
        <v>-0.5</v>
      </c>
      <c r="E96" s="1629">
        <v>1</v>
      </c>
      <c r="F96" s="462">
        <f t="shared" si="51"/>
        <v>0</v>
      </c>
      <c r="G96" s="1629">
        <v>3</v>
      </c>
      <c r="H96" s="462">
        <f t="shared" si="52"/>
        <v>2</v>
      </c>
      <c r="I96" s="1629">
        <v>0</v>
      </c>
      <c r="J96" s="1630">
        <f t="shared" si="53"/>
        <v>-1</v>
      </c>
      <c r="K96" s="1629"/>
      <c r="L96" s="462" t="str">
        <f t="shared" si="54"/>
        <v>N/A</v>
      </c>
      <c r="M96" s="1629">
        <v>0</v>
      </c>
      <c r="N96" s="462" t="str">
        <f t="shared" si="55"/>
        <v>N/A</v>
      </c>
      <c r="O96" s="1629">
        <v>0</v>
      </c>
      <c r="P96" s="462" t="str">
        <f t="shared" si="56"/>
        <v>N/A</v>
      </c>
      <c r="Q96" s="1629">
        <v>0</v>
      </c>
      <c r="R96" s="462" t="str">
        <f t="shared" si="57"/>
        <v>N/A</v>
      </c>
      <c r="S96" s="1629">
        <v>0</v>
      </c>
      <c r="T96" s="1630" t="str">
        <f t="shared" si="58"/>
        <v>N/A</v>
      </c>
      <c r="U96" s="1629">
        <v>0</v>
      </c>
      <c r="V96" s="1630" t="str">
        <f t="shared" si="59"/>
        <v>N/A</v>
      </c>
    </row>
    <row r="97" spans="1:22" ht="18" customHeight="1" x14ac:dyDescent="0.3">
      <c r="A97" s="552" t="s">
        <v>1103</v>
      </c>
      <c r="B97" s="1629">
        <v>16</v>
      </c>
      <c r="C97" s="1629">
        <v>27</v>
      </c>
      <c r="D97" s="462">
        <f t="shared" si="50"/>
        <v>0.6875</v>
      </c>
      <c r="E97" s="1629">
        <v>8</v>
      </c>
      <c r="F97" s="462">
        <f t="shared" si="51"/>
        <v>-0.70370370370370372</v>
      </c>
      <c r="G97" s="1629">
        <v>12</v>
      </c>
      <c r="H97" s="462">
        <f t="shared" si="52"/>
        <v>0.5</v>
      </c>
      <c r="I97" s="1629">
        <v>16</v>
      </c>
      <c r="J97" s="1630">
        <f t="shared" si="53"/>
        <v>0.33333333333333331</v>
      </c>
      <c r="K97" s="1629">
        <v>17</v>
      </c>
      <c r="L97" s="462">
        <f t="shared" si="54"/>
        <v>6.25E-2</v>
      </c>
      <c r="M97" s="1629">
        <v>6</v>
      </c>
      <c r="N97" s="462">
        <f t="shared" si="55"/>
        <v>-0.6470588235294118</v>
      </c>
      <c r="O97" s="1629">
        <v>1</v>
      </c>
      <c r="P97" s="462">
        <f t="shared" si="56"/>
        <v>-0.83333333333333337</v>
      </c>
      <c r="Q97" s="1629">
        <v>1</v>
      </c>
      <c r="R97" s="462">
        <f t="shared" si="57"/>
        <v>0</v>
      </c>
      <c r="S97" s="1629">
        <v>0</v>
      </c>
      <c r="T97" s="1630">
        <f t="shared" si="58"/>
        <v>-1</v>
      </c>
      <c r="U97" s="1629">
        <v>0</v>
      </c>
      <c r="V97" s="1630" t="str">
        <f t="shared" si="59"/>
        <v>N/A</v>
      </c>
    </row>
    <row r="98" spans="1:22" ht="18" customHeight="1" x14ac:dyDescent="0.3">
      <c r="A98" s="552" t="s">
        <v>1104</v>
      </c>
      <c r="B98" s="1629">
        <v>12</v>
      </c>
      <c r="C98" s="1629">
        <v>12</v>
      </c>
      <c r="D98" s="462">
        <f t="shared" si="50"/>
        <v>0</v>
      </c>
      <c r="E98" s="1629">
        <v>3</v>
      </c>
      <c r="F98" s="462">
        <f t="shared" si="51"/>
        <v>-0.75</v>
      </c>
      <c r="G98" s="1629">
        <v>4</v>
      </c>
      <c r="H98" s="462">
        <f t="shared" si="52"/>
        <v>0.33333333333333331</v>
      </c>
      <c r="I98" s="1629">
        <v>0</v>
      </c>
      <c r="J98" s="1630">
        <f t="shared" si="53"/>
        <v>-1</v>
      </c>
      <c r="K98" s="1629"/>
      <c r="L98" s="462" t="str">
        <f t="shared" si="54"/>
        <v>N/A</v>
      </c>
      <c r="M98" s="1629">
        <v>0</v>
      </c>
      <c r="N98" s="462" t="str">
        <f t="shared" si="55"/>
        <v>N/A</v>
      </c>
      <c r="O98" s="1629">
        <v>0</v>
      </c>
      <c r="P98" s="462" t="str">
        <f t="shared" si="56"/>
        <v>N/A</v>
      </c>
      <c r="Q98" s="1629">
        <v>0</v>
      </c>
      <c r="R98" s="462" t="str">
        <f t="shared" si="57"/>
        <v>N/A</v>
      </c>
      <c r="S98" s="1629">
        <v>0</v>
      </c>
      <c r="T98" s="1630" t="str">
        <f t="shared" si="58"/>
        <v>N/A</v>
      </c>
      <c r="U98" s="1629">
        <v>0</v>
      </c>
      <c r="V98" s="1630" t="str">
        <f t="shared" si="59"/>
        <v>N/A</v>
      </c>
    </row>
    <row r="99" spans="1:22" ht="18" customHeight="1" x14ac:dyDescent="0.3">
      <c r="A99" s="553" t="s">
        <v>1015</v>
      </c>
      <c r="B99" s="1629">
        <f>SUM(B94:B98)</f>
        <v>44</v>
      </c>
      <c r="C99" s="1629">
        <f>SUM(C94:C98)</f>
        <v>60</v>
      </c>
      <c r="D99" s="462">
        <f t="shared" si="50"/>
        <v>0.36363636363636365</v>
      </c>
      <c r="E99" s="1629">
        <f>SUM(E94:E98)</f>
        <v>23</v>
      </c>
      <c r="F99" s="462">
        <f t="shared" si="51"/>
        <v>-0.6166666666666667</v>
      </c>
      <c r="G99" s="1629">
        <f>SUM(G94:G98)</f>
        <v>35</v>
      </c>
      <c r="H99" s="462">
        <f t="shared" si="52"/>
        <v>0.52173913043478259</v>
      </c>
      <c r="I99" s="1629">
        <f>SUM(I94:I98)</f>
        <v>32</v>
      </c>
      <c r="J99" s="1630">
        <f>IF(G99&gt;0,(K99-G99)/G99,(IF(K99=0,"N/A",100%)))</f>
        <v>-8.5714285714285715E-2</v>
      </c>
      <c r="K99" s="1629">
        <f>SUM(K94:K98)</f>
        <v>32</v>
      </c>
      <c r="L99" s="462">
        <f t="shared" si="54"/>
        <v>0</v>
      </c>
      <c r="M99" s="1837">
        <f>SUM(M94:M98)</f>
        <v>41</v>
      </c>
      <c r="N99" s="462">
        <f t="shared" si="55"/>
        <v>0.28125</v>
      </c>
      <c r="O99" s="1837">
        <f>SUM(O94:O98)</f>
        <v>30</v>
      </c>
      <c r="P99" s="462">
        <f t="shared" si="56"/>
        <v>-0.26829268292682928</v>
      </c>
      <c r="Q99" s="1837">
        <f>SUM(Q94:Q98)</f>
        <v>31</v>
      </c>
      <c r="R99" s="462">
        <f t="shared" si="57"/>
        <v>3.3333333333333333E-2</v>
      </c>
      <c r="S99" s="1837">
        <f>SUM(S94:S98)</f>
        <v>28</v>
      </c>
      <c r="T99" s="1630">
        <f t="shared" si="58"/>
        <v>-9.6774193548387094E-2</v>
      </c>
      <c r="U99" s="1837">
        <f>SUM(U94:U98)</f>
        <v>32</v>
      </c>
      <c r="V99" s="1630">
        <f t="shared" si="59"/>
        <v>0.14285714285714285</v>
      </c>
    </row>
    <row r="100" spans="1:22" ht="18" customHeight="1" thickBot="1" x14ac:dyDescent="0.35">
      <c r="A100" s="556" t="s">
        <v>427</v>
      </c>
      <c r="B100" s="545">
        <f>+B99+B92+B83</f>
        <v>580</v>
      </c>
      <c r="C100" s="545">
        <f>+C99+C92+C83</f>
        <v>522</v>
      </c>
      <c r="D100" s="1154">
        <f t="shared" si="50"/>
        <v>-0.1</v>
      </c>
      <c r="E100" s="545">
        <f>+E99+E92+E83</f>
        <v>285</v>
      </c>
      <c r="F100" s="1154">
        <f t="shared" si="51"/>
        <v>-0.45402298850574713</v>
      </c>
      <c r="G100" s="545">
        <f>+G99+G92+G83</f>
        <v>301</v>
      </c>
      <c r="H100" s="1154">
        <f t="shared" si="52"/>
        <v>5.6140350877192984E-2</v>
      </c>
      <c r="I100" s="545">
        <f>+I99+I92+I83</f>
        <v>368</v>
      </c>
      <c r="J100" s="705">
        <f t="shared" si="53"/>
        <v>0.22259136212624583</v>
      </c>
      <c r="K100" s="545">
        <f>+K99+K92+K83</f>
        <v>377</v>
      </c>
      <c r="L100" s="1154">
        <f t="shared" si="54"/>
        <v>2.4456521739130436E-2</v>
      </c>
      <c r="M100" s="545">
        <f>+M99+M92+M83</f>
        <v>412</v>
      </c>
      <c r="N100" s="1154">
        <f t="shared" si="55"/>
        <v>9.2838196286472149E-2</v>
      </c>
      <c r="O100" s="545">
        <f>+O99+O92+O83</f>
        <v>348</v>
      </c>
      <c r="P100" s="1154">
        <f t="shared" si="56"/>
        <v>-0.1553398058252427</v>
      </c>
      <c r="Q100" s="545">
        <f>+Q99+Q92+Q83</f>
        <v>271</v>
      </c>
      <c r="R100" s="1154">
        <f t="shared" si="57"/>
        <v>-0.22126436781609196</v>
      </c>
      <c r="S100" s="545">
        <f>+S99+S92+S83</f>
        <v>266</v>
      </c>
      <c r="T100" s="705">
        <f t="shared" si="58"/>
        <v>-1.8450184501845018E-2</v>
      </c>
      <c r="U100" s="545">
        <f>+U99+U92+U83</f>
        <v>208</v>
      </c>
      <c r="V100" s="705">
        <f t="shared" si="59"/>
        <v>-0.21804511278195488</v>
      </c>
    </row>
    <row r="101" spans="1:22" ht="20.25" customHeight="1" thickBot="1" x14ac:dyDescent="0.35">
      <c r="A101" s="2161" t="s">
        <v>428</v>
      </c>
      <c r="B101" s="2162"/>
      <c r="C101" s="2162"/>
      <c r="D101" s="2162"/>
      <c r="E101" s="2162"/>
      <c r="F101" s="2162"/>
      <c r="G101" s="2162"/>
      <c r="H101" s="2162"/>
      <c r="I101" s="2162"/>
      <c r="J101" s="2162"/>
      <c r="K101" s="2162"/>
      <c r="L101" s="2162"/>
      <c r="M101" s="2162"/>
      <c r="N101" s="2162"/>
      <c r="O101" s="2162"/>
      <c r="P101" s="2162"/>
      <c r="Q101" s="2162"/>
      <c r="R101" s="2162"/>
      <c r="S101" s="2162"/>
      <c r="T101" s="2162"/>
      <c r="U101" s="2162"/>
      <c r="V101" s="2163"/>
    </row>
    <row r="102" spans="1:22" ht="20.25" customHeight="1" x14ac:dyDescent="0.3">
      <c r="A102" s="549" t="s">
        <v>410</v>
      </c>
      <c r="B102" s="1832">
        <v>2002</v>
      </c>
      <c r="C102" s="1832">
        <f>+B102+1</f>
        <v>2003</v>
      </c>
      <c r="D102" s="667" t="s">
        <v>1100</v>
      </c>
      <c r="E102" s="1832">
        <v>2008</v>
      </c>
      <c r="F102" s="667" t="s">
        <v>1100</v>
      </c>
      <c r="G102" s="1832">
        <f>E102+1</f>
        <v>2009</v>
      </c>
      <c r="H102" s="667" t="s">
        <v>1100</v>
      </c>
      <c r="I102" s="1832">
        <f>G102+1</f>
        <v>2010</v>
      </c>
      <c r="J102" s="1833" t="s">
        <v>1100</v>
      </c>
      <c r="K102" s="1832">
        <f>I102+1</f>
        <v>2011</v>
      </c>
      <c r="L102" s="667" t="s">
        <v>1100</v>
      </c>
      <c r="M102" s="1832">
        <f>K102+1</f>
        <v>2012</v>
      </c>
      <c r="N102" s="667" t="s">
        <v>1100</v>
      </c>
      <c r="O102" s="1832">
        <f>M102+1</f>
        <v>2013</v>
      </c>
      <c r="P102" s="667" t="s">
        <v>1100</v>
      </c>
      <c r="Q102" s="1832">
        <f>O102+1</f>
        <v>2014</v>
      </c>
      <c r="R102" s="667" t="s">
        <v>1100</v>
      </c>
      <c r="S102" s="1832">
        <f>Q102+1</f>
        <v>2015</v>
      </c>
      <c r="T102" s="1833" t="s">
        <v>1100</v>
      </c>
      <c r="U102" s="1832">
        <f>S102+1</f>
        <v>2016</v>
      </c>
      <c r="V102" s="1833" t="s">
        <v>1100</v>
      </c>
    </row>
    <row r="103" spans="1:22" ht="18" customHeight="1" x14ac:dyDescent="0.3">
      <c r="A103" s="1841" t="s">
        <v>1638</v>
      </c>
      <c r="B103" s="1551"/>
      <c r="C103" s="1552"/>
      <c r="D103" s="1553"/>
      <c r="E103" s="1552"/>
      <c r="F103" s="1553"/>
      <c r="G103" s="1552"/>
      <c r="H103" s="1553"/>
      <c r="I103" s="1552"/>
      <c r="J103" s="1553"/>
      <c r="K103" s="1552"/>
      <c r="L103" s="1553"/>
      <c r="M103" s="1552"/>
      <c r="N103" s="1553"/>
      <c r="O103" s="1552"/>
      <c r="P103" s="1553"/>
      <c r="Q103" s="1552"/>
      <c r="R103" s="1553"/>
      <c r="S103" s="1552"/>
      <c r="T103" s="1553"/>
      <c r="U103" s="1552"/>
      <c r="V103" s="1553"/>
    </row>
    <row r="104" spans="1:22" ht="18" customHeight="1" x14ac:dyDescent="0.3">
      <c r="A104" s="552" t="s">
        <v>1151</v>
      </c>
      <c r="B104" s="1629">
        <v>24</v>
      </c>
      <c r="C104" s="1629">
        <v>37</v>
      </c>
      <c r="D104" s="462">
        <f t="shared" ref="D104:D112" si="60">IF(B104&gt;0,(C104-B104)/B104,(IF(C104=0,"N/A",100%)))</f>
        <v>0.54166666666666663</v>
      </c>
      <c r="E104" s="1629">
        <v>21</v>
      </c>
      <c r="F104" s="462">
        <f t="shared" ref="F104:F112" si="61">IF(C104&gt;0,(E104-C104)/C104,(IF(E104=0,"N/A",100%)))</f>
        <v>-0.43243243243243246</v>
      </c>
      <c r="G104" s="1629">
        <v>19</v>
      </c>
      <c r="H104" s="462">
        <f t="shared" ref="H104:H112" si="62">IF(E104&gt;0,(G104-E104)/E104,(IF(G104=0,"N/A",100%)))</f>
        <v>-9.5238095238095233E-2</v>
      </c>
      <c r="I104" s="1629">
        <v>24</v>
      </c>
      <c r="J104" s="1630">
        <f t="shared" ref="J104:J112" si="63">IF(G104&gt;0,(I104-G104)/G104,(IF(I104=0,"N/A",100%)))</f>
        <v>0.26315789473684209</v>
      </c>
      <c r="K104" s="1629">
        <v>16</v>
      </c>
      <c r="L104" s="462">
        <f t="shared" ref="L104:L112" si="64">IF(I104&gt;0,(K104-I104)/I104,(IF(K104=0,"N/A",100%)))</f>
        <v>-0.33333333333333331</v>
      </c>
      <c r="M104" s="1629">
        <v>19</v>
      </c>
      <c r="N104" s="462">
        <f t="shared" ref="N104:N112" si="65">IF(K104&gt;0,(M104-K104)/K104,(IF(M104=0,"N/A",100%)))</f>
        <v>0.1875</v>
      </c>
      <c r="O104" s="1629">
        <v>24</v>
      </c>
      <c r="P104" s="462">
        <f t="shared" ref="P104:P112" si="66">IF(M104&gt;0,(O104-M104)/M104,(IF(O104=0,"N/A",100%)))</f>
        <v>0.26315789473684209</v>
      </c>
      <c r="Q104" s="1629">
        <v>21</v>
      </c>
      <c r="R104" s="462">
        <f t="shared" ref="R104:R112" si="67">IF(O104&gt;0,(Q104-O104)/O104,(IF(Q104=0,"N/A",100%)))</f>
        <v>-0.125</v>
      </c>
      <c r="S104" s="1629">
        <v>25</v>
      </c>
      <c r="T104" s="1630">
        <f t="shared" ref="T104:T112" si="68">IF(Q104&gt;0,(S104-Q104)/Q104,(IF(S104=0,"N/A",100%)))</f>
        <v>0.19047619047619047</v>
      </c>
      <c r="U104" s="1629">
        <v>22</v>
      </c>
      <c r="V104" s="1630">
        <f t="shared" ref="V104:V112" si="69">IF(S104&gt;0,(U104-S104)/S104,(IF(U104=0,"N/A",100%)))</f>
        <v>-0.12</v>
      </c>
    </row>
    <row r="105" spans="1:22" ht="18" customHeight="1" x14ac:dyDescent="0.3">
      <c r="A105" s="552" t="s">
        <v>1156</v>
      </c>
      <c r="B105" s="1629">
        <v>18</v>
      </c>
      <c r="C105" s="1629">
        <v>27</v>
      </c>
      <c r="D105" s="462">
        <f t="shared" si="60"/>
        <v>0.5</v>
      </c>
      <c r="E105" s="1629">
        <v>11</v>
      </c>
      <c r="F105" s="462">
        <f t="shared" si="61"/>
        <v>-0.59259259259259256</v>
      </c>
      <c r="G105" s="1629">
        <v>2</v>
      </c>
      <c r="H105" s="462">
        <f t="shared" si="62"/>
        <v>-0.81818181818181823</v>
      </c>
      <c r="I105" s="1629">
        <v>5</v>
      </c>
      <c r="J105" s="1630">
        <f t="shared" si="63"/>
        <v>1.5</v>
      </c>
      <c r="K105" s="1629">
        <v>9</v>
      </c>
      <c r="L105" s="462">
        <f t="shared" si="64"/>
        <v>0.8</v>
      </c>
      <c r="M105" s="1629">
        <v>6</v>
      </c>
      <c r="N105" s="462">
        <f t="shared" si="65"/>
        <v>-0.33333333333333331</v>
      </c>
      <c r="O105" s="1629">
        <v>11</v>
      </c>
      <c r="P105" s="462">
        <f t="shared" si="66"/>
        <v>0.83333333333333337</v>
      </c>
      <c r="Q105" s="1629">
        <v>6</v>
      </c>
      <c r="R105" s="462">
        <f t="shared" si="67"/>
        <v>-0.45454545454545453</v>
      </c>
      <c r="S105" s="1629">
        <v>10</v>
      </c>
      <c r="T105" s="1630">
        <f t="shared" si="68"/>
        <v>0.66666666666666663</v>
      </c>
      <c r="U105" s="1629">
        <v>6</v>
      </c>
      <c r="V105" s="1630">
        <f t="shared" si="69"/>
        <v>-0.4</v>
      </c>
    </row>
    <row r="106" spans="1:22" ht="18" customHeight="1" x14ac:dyDescent="0.3">
      <c r="A106" s="552" t="s">
        <v>1740</v>
      </c>
      <c r="B106" s="1296"/>
      <c r="C106" s="1296"/>
      <c r="D106" s="462"/>
      <c r="E106" s="1296"/>
      <c r="F106" s="462"/>
      <c r="G106" s="1296"/>
      <c r="H106" s="462"/>
      <c r="I106" s="1296"/>
      <c r="J106" s="1362"/>
      <c r="K106" s="1296"/>
      <c r="L106" s="462"/>
      <c r="M106" s="1296">
        <v>0</v>
      </c>
      <c r="N106" s="462" t="str">
        <f t="shared" si="65"/>
        <v>N/A</v>
      </c>
      <c r="O106" s="1296">
        <v>0</v>
      </c>
      <c r="P106" s="462" t="str">
        <f t="shared" si="66"/>
        <v>N/A</v>
      </c>
      <c r="Q106" s="1296">
        <v>0</v>
      </c>
      <c r="R106" s="462" t="str">
        <f t="shared" si="67"/>
        <v>N/A</v>
      </c>
      <c r="S106" s="1296">
        <v>0</v>
      </c>
      <c r="T106" s="462" t="str">
        <f t="shared" si="68"/>
        <v>N/A</v>
      </c>
      <c r="U106" s="1296">
        <v>8</v>
      </c>
      <c r="V106" s="1630">
        <f t="shared" si="69"/>
        <v>1</v>
      </c>
    </row>
    <row r="107" spans="1:22" ht="18" customHeight="1" x14ac:dyDescent="0.3">
      <c r="A107" s="552" t="s">
        <v>1157</v>
      </c>
      <c r="B107" s="1629">
        <v>0</v>
      </c>
      <c r="C107" s="1629">
        <v>0</v>
      </c>
      <c r="D107" s="462" t="str">
        <f t="shared" si="60"/>
        <v>N/A</v>
      </c>
      <c r="E107" s="1629">
        <v>6</v>
      </c>
      <c r="F107" s="462">
        <f t="shared" si="61"/>
        <v>1</v>
      </c>
      <c r="G107" s="1629">
        <v>0</v>
      </c>
      <c r="H107" s="462">
        <f t="shared" si="62"/>
        <v>-1</v>
      </c>
      <c r="I107" s="1629">
        <v>0</v>
      </c>
      <c r="J107" s="1630" t="str">
        <f t="shared" si="63"/>
        <v>N/A</v>
      </c>
      <c r="K107" s="1629">
        <v>0</v>
      </c>
      <c r="L107" s="462" t="str">
        <f t="shared" si="64"/>
        <v>N/A</v>
      </c>
      <c r="M107" s="1629">
        <v>0</v>
      </c>
      <c r="N107" s="462" t="str">
        <f t="shared" si="65"/>
        <v>N/A</v>
      </c>
      <c r="O107" s="1629">
        <v>0</v>
      </c>
      <c r="P107" s="462" t="str">
        <f t="shared" si="66"/>
        <v>N/A</v>
      </c>
      <c r="Q107" s="1629">
        <v>0</v>
      </c>
      <c r="R107" s="462" t="str">
        <f t="shared" si="67"/>
        <v>N/A</v>
      </c>
      <c r="S107" s="1629">
        <v>0</v>
      </c>
      <c r="T107" s="1630" t="str">
        <f t="shared" si="68"/>
        <v>N/A</v>
      </c>
      <c r="U107" s="1629">
        <v>0</v>
      </c>
      <c r="V107" s="1630" t="str">
        <f t="shared" si="69"/>
        <v>N/A</v>
      </c>
    </row>
    <row r="108" spans="1:22" ht="18" customHeight="1" x14ac:dyDescent="0.3">
      <c r="A108" s="552" t="s">
        <v>1158</v>
      </c>
      <c r="B108" s="1629">
        <v>33</v>
      </c>
      <c r="C108" s="1629">
        <v>41</v>
      </c>
      <c r="D108" s="462">
        <f t="shared" si="60"/>
        <v>0.24242424242424243</v>
      </c>
      <c r="E108" s="1629">
        <v>24</v>
      </c>
      <c r="F108" s="462">
        <f t="shared" si="61"/>
        <v>-0.41463414634146339</v>
      </c>
      <c r="G108" s="1629">
        <v>30</v>
      </c>
      <c r="H108" s="462">
        <f t="shared" si="62"/>
        <v>0.25</v>
      </c>
      <c r="I108" s="1629">
        <v>25</v>
      </c>
      <c r="J108" s="1630">
        <f t="shared" si="63"/>
        <v>-0.16666666666666666</v>
      </c>
      <c r="K108" s="1629">
        <v>56</v>
      </c>
      <c r="L108" s="462">
        <f t="shared" si="64"/>
        <v>1.24</v>
      </c>
      <c r="M108" s="1629">
        <v>54</v>
      </c>
      <c r="N108" s="462">
        <f t="shared" si="65"/>
        <v>-3.5714285714285712E-2</v>
      </c>
      <c r="O108" s="1629">
        <v>37</v>
      </c>
      <c r="P108" s="462">
        <f t="shared" si="66"/>
        <v>-0.31481481481481483</v>
      </c>
      <c r="Q108" s="1629">
        <v>43</v>
      </c>
      <c r="R108" s="462">
        <f t="shared" si="67"/>
        <v>0.16216216216216217</v>
      </c>
      <c r="S108" s="1629">
        <v>43</v>
      </c>
      <c r="T108" s="1630">
        <f t="shared" si="68"/>
        <v>0</v>
      </c>
      <c r="U108" s="1629">
        <v>41</v>
      </c>
      <c r="V108" s="1630">
        <f t="shared" si="69"/>
        <v>-4.6511627906976744E-2</v>
      </c>
    </row>
    <row r="109" spans="1:22" ht="18" customHeight="1" x14ac:dyDescent="0.3">
      <c r="A109" s="552" t="s">
        <v>1159</v>
      </c>
      <c r="B109" s="1629">
        <v>105</v>
      </c>
      <c r="C109" s="1629">
        <v>76</v>
      </c>
      <c r="D109" s="462">
        <f t="shared" si="60"/>
        <v>-0.27619047619047621</v>
      </c>
      <c r="E109" s="1629">
        <v>64</v>
      </c>
      <c r="F109" s="462">
        <f t="shared" si="61"/>
        <v>-0.15789473684210525</v>
      </c>
      <c r="G109" s="1629">
        <v>60</v>
      </c>
      <c r="H109" s="462">
        <f t="shared" si="62"/>
        <v>-6.25E-2</v>
      </c>
      <c r="I109" s="1629">
        <v>55</v>
      </c>
      <c r="J109" s="1630">
        <f t="shared" si="63"/>
        <v>-8.3333333333333329E-2</v>
      </c>
      <c r="K109" s="1629">
        <v>51</v>
      </c>
      <c r="L109" s="462">
        <f t="shared" si="64"/>
        <v>-7.2727272727272724E-2</v>
      </c>
      <c r="M109" s="1629">
        <v>49</v>
      </c>
      <c r="N109" s="462">
        <f t="shared" si="65"/>
        <v>-3.9215686274509803E-2</v>
      </c>
      <c r="O109" s="1629">
        <v>43</v>
      </c>
      <c r="P109" s="462">
        <f t="shared" si="66"/>
        <v>-0.12244897959183673</v>
      </c>
      <c r="Q109" s="1629">
        <v>42</v>
      </c>
      <c r="R109" s="462">
        <f t="shared" si="67"/>
        <v>-2.3255813953488372E-2</v>
      </c>
      <c r="S109" s="1629">
        <v>45</v>
      </c>
      <c r="T109" s="1630">
        <f t="shared" si="68"/>
        <v>7.1428571428571425E-2</v>
      </c>
      <c r="U109" s="1629">
        <v>50</v>
      </c>
      <c r="V109" s="1630">
        <f t="shared" si="69"/>
        <v>0.1111111111111111</v>
      </c>
    </row>
    <row r="110" spans="1:22" ht="18" customHeight="1" x14ac:dyDescent="0.3">
      <c r="A110" s="552" t="s">
        <v>1185</v>
      </c>
      <c r="B110" s="1629">
        <v>4</v>
      </c>
      <c r="C110" s="1629">
        <v>1</v>
      </c>
      <c r="D110" s="462">
        <f t="shared" si="60"/>
        <v>-0.75</v>
      </c>
      <c r="E110" s="1629">
        <v>0</v>
      </c>
      <c r="F110" s="462">
        <f t="shared" si="61"/>
        <v>-1</v>
      </c>
      <c r="G110" s="1629">
        <v>0</v>
      </c>
      <c r="H110" s="462" t="str">
        <f t="shared" si="62"/>
        <v>N/A</v>
      </c>
      <c r="I110" s="1629">
        <v>0</v>
      </c>
      <c r="J110" s="1630" t="str">
        <f t="shared" si="63"/>
        <v>N/A</v>
      </c>
      <c r="K110" s="1629">
        <v>0</v>
      </c>
      <c r="L110" s="462" t="str">
        <f t="shared" si="64"/>
        <v>N/A</v>
      </c>
      <c r="M110" s="1629">
        <v>0</v>
      </c>
      <c r="N110" s="462" t="str">
        <f t="shared" si="65"/>
        <v>N/A</v>
      </c>
      <c r="O110" s="1629">
        <v>0</v>
      </c>
      <c r="P110" s="462" t="str">
        <f t="shared" si="66"/>
        <v>N/A</v>
      </c>
      <c r="Q110" s="1629">
        <v>0</v>
      </c>
      <c r="R110" s="462" t="str">
        <f t="shared" si="67"/>
        <v>N/A</v>
      </c>
      <c r="S110" s="1629">
        <v>0</v>
      </c>
      <c r="T110" s="1630" t="str">
        <f t="shared" si="68"/>
        <v>N/A</v>
      </c>
      <c r="U110" s="1629">
        <v>0</v>
      </c>
      <c r="V110" s="1630" t="str">
        <f t="shared" si="69"/>
        <v>N/A</v>
      </c>
    </row>
    <row r="111" spans="1:22" ht="18" customHeight="1" x14ac:dyDescent="0.3">
      <c r="A111" s="552" t="s">
        <v>1139</v>
      </c>
      <c r="B111" s="1629">
        <v>0</v>
      </c>
      <c r="C111" s="1629">
        <v>0</v>
      </c>
      <c r="D111" s="462" t="str">
        <f t="shared" si="60"/>
        <v>N/A</v>
      </c>
      <c r="E111" s="1629">
        <v>0</v>
      </c>
      <c r="F111" s="462" t="str">
        <f t="shared" si="61"/>
        <v>N/A</v>
      </c>
      <c r="G111" s="1629">
        <v>1</v>
      </c>
      <c r="H111" s="462">
        <f t="shared" si="62"/>
        <v>1</v>
      </c>
      <c r="I111" s="1629">
        <v>0</v>
      </c>
      <c r="J111" s="1630">
        <f t="shared" si="63"/>
        <v>-1</v>
      </c>
      <c r="K111" s="1629">
        <v>0</v>
      </c>
      <c r="L111" s="462" t="str">
        <f t="shared" si="64"/>
        <v>N/A</v>
      </c>
      <c r="M111" s="1629">
        <v>0</v>
      </c>
      <c r="N111" s="462" t="str">
        <f t="shared" si="65"/>
        <v>N/A</v>
      </c>
      <c r="O111" s="1629">
        <v>0</v>
      </c>
      <c r="P111" s="462" t="str">
        <f t="shared" si="66"/>
        <v>N/A</v>
      </c>
      <c r="Q111" s="1629">
        <v>0</v>
      </c>
      <c r="R111" s="462" t="str">
        <f t="shared" si="67"/>
        <v>N/A</v>
      </c>
      <c r="S111" s="1629">
        <v>0</v>
      </c>
      <c r="T111" s="1630" t="str">
        <f t="shared" si="68"/>
        <v>N/A</v>
      </c>
      <c r="U111" s="1629">
        <v>0</v>
      </c>
      <c r="V111" s="1630" t="str">
        <f t="shared" si="69"/>
        <v>N/A</v>
      </c>
    </row>
    <row r="112" spans="1:22" ht="18" customHeight="1" x14ac:dyDescent="0.3">
      <c r="A112" s="553" t="s">
        <v>1015</v>
      </c>
      <c r="B112" s="1629">
        <f>SUM(B104:B111)</f>
        <v>184</v>
      </c>
      <c r="C112" s="1629">
        <f>SUM(C104:C111)</f>
        <v>182</v>
      </c>
      <c r="D112" s="462">
        <f t="shared" si="60"/>
        <v>-1.0869565217391304E-2</v>
      </c>
      <c r="E112" s="1629">
        <f>SUM(E104:E111)</f>
        <v>126</v>
      </c>
      <c r="F112" s="462">
        <f t="shared" si="61"/>
        <v>-0.30769230769230771</v>
      </c>
      <c r="G112" s="1629">
        <f>SUM(G104:G111)</f>
        <v>112</v>
      </c>
      <c r="H112" s="462">
        <f t="shared" si="62"/>
        <v>-0.1111111111111111</v>
      </c>
      <c r="I112" s="1629">
        <f>SUM(I104:I111)</f>
        <v>109</v>
      </c>
      <c r="J112" s="1630">
        <f t="shared" si="63"/>
        <v>-2.6785714285714284E-2</v>
      </c>
      <c r="K112" s="1629">
        <f>SUM(K104:K111)</f>
        <v>132</v>
      </c>
      <c r="L112" s="462">
        <f t="shared" si="64"/>
        <v>0.21100917431192662</v>
      </c>
      <c r="M112" s="1840">
        <f>SUM(M104:M111)</f>
        <v>128</v>
      </c>
      <c r="N112" s="462">
        <f t="shared" si="65"/>
        <v>-3.0303030303030304E-2</v>
      </c>
      <c r="O112" s="1840">
        <f>SUM(O104:O111)</f>
        <v>115</v>
      </c>
      <c r="P112" s="462">
        <f t="shared" si="66"/>
        <v>-0.1015625</v>
      </c>
      <c r="Q112" s="1840">
        <f>SUM(Q104:Q111)</f>
        <v>112</v>
      </c>
      <c r="R112" s="462">
        <f t="shared" si="67"/>
        <v>-2.6086956521739129E-2</v>
      </c>
      <c r="S112" s="1840">
        <f>SUM(S104:S111)</f>
        <v>123</v>
      </c>
      <c r="T112" s="1630">
        <f t="shared" si="68"/>
        <v>9.8214285714285712E-2</v>
      </c>
      <c r="U112" s="1840">
        <f>SUM(U104:U111)</f>
        <v>127</v>
      </c>
      <c r="V112" s="1630">
        <f t="shared" si="69"/>
        <v>3.2520325203252036E-2</v>
      </c>
    </row>
    <row r="113" spans="1:22" ht="18" customHeight="1" x14ac:dyDescent="0.3">
      <c r="A113" s="1834" t="s">
        <v>429</v>
      </c>
      <c r="B113" s="1835"/>
      <c r="C113" s="1835"/>
      <c r="D113" s="1547"/>
      <c r="E113" s="1835"/>
      <c r="F113" s="1547"/>
      <c r="G113" s="1835"/>
      <c r="H113" s="1547"/>
      <c r="I113" s="1835"/>
      <c r="J113" s="1836"/>
      <c r="K113" s="1835"/>
      <c r="L113" s="1547"/>
      <c r="M113" s="1835"/>
      <c r="N113" s="1547"/>
      <c r="O113" s="1835"/>
      <c r="P113" s="1547"/>
      <c r="Q113" s="1835"/>
      <c r="R113" s="1547"/>
      <c r="S113" s="1835"/>
      <c r="T113" s="1836"/>
      <c r="U113" s="1835"/>
      <c r="V113" s="1836"/>
    </row>
    <row r="114" spans="1:22" ht="18" customHeight="1" x14ac:dyDescent="0.3">
      <c r="A114" s="1842" t="s">
        <v>757</v>
      </c>
      <c r="B114" s="1838"/>
      <c r="C114" s="1838">
        <v>0</v>
      </c>
      <c r="D114" s="1554"/>
      <c r="E114" s="1838">
        <v>9</v>
      </c>
      <c r="F114" s="462">
        <f t="shared" ref="F114:F127" si="70">IF(C114&gt;0,(E114-C114)/C114,(IF(E114=0,"N/A",100%)))</f>
        <v>1</v>
      </c>
      <c r="G114" s="1838">
        <v>8</v>
      </c>
      <c r="H114" s="462">
        <f t="shared" ref="H114:H127" si="71">IF(E114&gt;0,(G114-E114)/E114,(IF(G114=0,"N/A",100%)))</f>
        <v>-0.1111111111111111</v>
      </c>
      <c r="I114" s="1838">
        <v>4</v>
      </c>
      <c r="J114" s="1630">
        <f t="shared" ref="J114:J127" si="72">IF(G114&gt;0,(I114-G114)/G114,(IF(I114=0,"N/A",100%)))</f>
        <v>-0.5</v>
      </c>
      <c r="K114" s="1838">
        <v>1</v>
      </c>
      <c r="L114" s="462">
        <f t="shared" ref="L114:L127" si="73">IF(I114&gt;0,(K114-I114)/I114,(IF(K114=0,"N/A",100%)))</f>
        <v>-0.75</v>
      </c>
      <c r="M114" s="1837">
        <v>4</v>
      </c>
      <c r="N114" s="462">
        <f t="shared" ref="N114:N127" si="74">IF(K114&gt;0,(M114-K114)/K114,(IF(M114=0,"N/A",100%)))</f>
        <v>3</v>
      </c>
      <c r="O114" s="1837">
        <v>0</v>
      </c>
      <c r="P114" s="462">
        <f t="shared" ref="P114:P127" si="75">IF(M114&gt;0,(O114-M114)/M114,(IF(O114=0,"N/A",100%)))</f>
        <v>-1</v>
      </c>
      <c r="Q114" s="1837">
        <v>0</v>
      </c>
      <c r="R114" s="462" t="str">
        <f t="shared" ref="R114:R127" si="76">IF(O114&gt;0,(Q114-O114)/O114,(IF(Q114=0,"N/A",100%)))</f>
        <v>N/A</v>
      </c>
      <c r="S114" s="1837">
        <v>0</v>
      </c>
      <c r="T114" s="1630" t="str">
        <f t="shared" ref="T114:T127" si="77">IF(Q114&gt;0,(S114-Q114)/Q114,(IF(S114=0,"N/A",100%)))</f>
        <v>N/A</v>
      </c>
      <c r="U114" s="1837">
        <v>0</v>
      </c>
      <c r="V114" s="1630" t="str">
        <f t="shared" ref="V114:V127" si="78">IF(S114&gt;0,(U114-S114)/S114,(IF(U114=0,"N/A",100%)))</f>
        <v>N/A</v>
      </c>
    </row>
    <row r="115" spans="1:22" ht="18" customHeight="1" x14ac:dyDescent="0.3">
      <c r="A115" s="1842" t="s">
        <v>1663</v>
      </c>
      <c r="B115" s="1838"/>
      <c r="C115" s="1838"/>
      <c r="D115" s="1554"/>
      <c r="E115" s="1838"/>
      <c r="F115" s="462"/>
      <c r="G115" s="1838"/>
      <c r="H115" s="462"/>
      <c r="I115" s="1838">
        <v>0</v>
      </c>
      <c r="J115" s="1630" t="str">
        <f t="shared" si="72"/>
        <v>N/A</v>
      </c>
      <c r="K115" s="1838">
        <v>0</v>
      </c>
      <c r="L115" s="462" t="str">
        <f t="shared" si="73"/>
        <v>N/A</v>
      </c>
      <c r="M115" s="1837">
        <v>0</v>
      </c>
      <c r="N115" s="462" t="str">
        <f t="shared" si="74"/>
        <v>N/A</v>
      </c>
      <c r="O115" s="1837">
        <v>0</v>
      </c>
      <c r="P115" s="462" t="str">
        <f t="shared" si="75"/>
        <v>N/A</v>
      </c>
      <c r="Q115" s="1837">
        <v>0</v>
      </c>
      <c r="R115" s="462" t="str">
        <f t="shared" si="76"/>
        <v>N/A</v>
      </c>
      <c r="S115" s="1837">
        <v>10</v>
      </c>
      <c r="T115" s="1630">
        <f t="shared" si="77"/>
        <v>1</v>
      </c>
      <c r="U115" s="1837">
        <v>6</v>
      </c>
      <c r="V115" s="1630">
        <f t="shared" si="78"/>
        <v>-0.4</v>
      </c>
    </row>
    <row r="116" spans="1:22" ht="18" customHeight="1" x14ac:dyDescent="0.3">
      <c r="A116" s="552" t="s">
        <v>1130</v>
      </c>
      <c r="B116" s="1629">
        <v>9</v>
      </c>
      <c r="C116" s="1629">
        <v>10</v>
      </c>
      <c r="D116" s="462">
        <f>IF(B116&gt;0,(C116-B116)/B116,(IF(C116=0,"N/A",100%)))</f>
        <v>0.1111111111111111</v>
      </c>
      <c r="E116" s="1629">
        <v>17</v>
      </c>
      <c r="F116" s="462">
        <f t="shared" si="70"/>
        <v>0.7</v>
      </c>
      <c r="G116" s="1629">
        <v>14</v>
      </c>
      <c r="H116" s="462">
        <f t="shared" si="71"/>
        <v>-0.17647058823529413</v>
      </c>
      <c r="I116" s="1629">
        <v>8</v>
      </c>
      <c r="J116" s="1630">
        <f t="shared" si="72"/>
        <v>-0.42857142857142855</v>
      </c>
      <c r="K116" s="1629">
        <v>8</v>
      </c>
      <c r="L116" s="462">
        <f t="shared" si="73"/>
        <v>0</v>
      </c>
      <c r="M116" s="1837">
        <v>8</v>
      </c>
      <c r="N116" s="462">
        <f t="shared" si="74"/>
        <v>0</v>
      </c>
      <c r="O116" s="1837">
        <v>3</v>
      </c>
      <c r="P116" s="462">
        <f t="shared" si="75"/>
        <v>-0.625</v>
      </c>
      <c r="Q116" s="1837">
        <v>4</v>
      </c>
      <c r="R116" s="462">
        <f t="shared" si="76"/>
        <v>0.33333333333333331</v>
      </c>
      <c r="S116" s="1837">
        <v>4</v>
      </c>
      <c r="T116" s="1630">
        <f t="shared" si="77"/>
        <v>0</v>
      </c>
      <c r="U116" s="1837">
        <v>9</v>
      </c>
      <c r="V116" s="1630">
        <f t="shared" si="78"/>
        <v>1.25</v>
      </c>
    </row>
    <row r="117" spans="1:22" ht="18" customHeight="1" x14ac:dyDescent="0.3">
      <c r="A117" s="552" t="s">
        <v>179</v>
      </c>
      <c r="B117" s="1629">
        <v>1</v>
      </c>
      <c r="C117" s="1629">
        <v>0</v>
      </c>
      <c r="D117" s="462">
        <f>IF(B117&gt;0,(C117-B117)/B117,(IF(C117=0,"N/A",100%)))</f>
        <v>-1</v>
      </c>
      <c r="E117" s="1629">
        <v>4</v>
      </c>
      <c r="F117" s="462">
        <f t="shared" si="70"/>
        <v>1</v>
      </c>
      <c r="G117" s="1629">
        <v>2</v>
      </c>
      <c r="H117" s="462">
        <f t="shared" si="71"/>
        <v>-0.5</v>
      </c>
      <c r="I117" s="1629">
        <v>1</v>
      </c>
      <c r="J117" s="1630">
        <f t="shared" si="72"/>
        <v>-0.5</v>
      </c>
      <c r="K117" s="1629">
        <v>1</v>
      </c>
      <c r="L117" s="462">
        <f t="shared" si="73"/>
        <v>0</v>
      </c>
      <c r="M117" s="1837">
        <v>1</v>
      </c>
      <c r="N117" s="462">
        <f t="shared" si="74"/>
        <v>0</v>
      </c>
      <c r="O117" s="1837">
        <v>0</v>
      </c>
      <c r="P117" s="462">
        <f t="shared" si="75"/>
        <v>-1</v>
      </c>
      <c r="Q117" s="1837">
        <v>0</v>
      </c>
      <c r="R117" s="462" t="str">
        <f t="shared" si="76"/>
        <v>N/A</v>
      </c>
      <c r="S117" s="1837">
        <v>0</v>
      </c>
      <c r="T117" s="1630" t="str">
        <f t="shared" si="77"/>
        <v>N/A</v>
      </c>
      <c r="U117" s="1837">
        <v>0</v>
      </c>
      <c r="V117" s="1630" t="str">
        <f t="shared" si="78"/>
        <v>N/A</v>
      </c>
    </row>
    <row r="118" spans="1:22" ht="18" customHeight="1" x14ac:dyDescent="0.3">
      <c r="A118" s="552" t="s">
        <v>776</v>
      </c>
      <c r="B118" s="1629">
        <v>4</v>
      </c>
      <c r="C118" s="1629">
        <v>3</v>
      </c>
      <c r="D118" s="462">
        <f>IF(B118&gt;0,(C118-B118)/B118,(IF(C118=0,"N/A",100%)))</f>
        <v>-0.25</v>
      </c>
      <c r="E118" s="1629">
        <v>0</v>
      </c>
      <c r="F118" s="462">
        <f t="shared" si="70"/>
        <v>-1</v>
      </c>
      <c r="G118" s="1629">
        <v>1</v>
      </c>
      <c r="H118" s="462">
        <f t="shared" si="71"/>
        <v>1</v>
      </c>
      <c r="I118" s="1629">
        <v>0</v>
      </c>
      <c r="J118" s="1630">
        <f t="shared" si="72"/>
        <v>-1</v>
      </c>
      <c r="K118" s="1629">
        <v>0</v>
      </c>
      <c r="L118" s="462" t="str">
        <f t="shared" si="73"/>
        <v>N/A</v>
      </c>
      <c r="M118" s="1837">
        <v>0</v>
      </c>
      <c r="N118" s="462" t="str">
        <f t="shared" si="74"/>
        <v>N/A</v>
      </c>
      <c r="O118" s="1837">
        <v>0</v>
      </c>
      <c r="P118" s="462" t="str">
        <f t="shared" si="75"/>
        <v>N/A</v>
      </c>
      <c r="Q118" s="1837">
        <v>0</v>
      </c>
      <c r="R118" s="462" t="str">
        <f t="shared" si="76"/>
        <v>N/A</v>
      </c>
      <c r="S118" s="1837">
        <v>0</v>
      </c>
      <c r="T118" s="1630" t="str">
        <f t="shared" si="77"/>
        <v>N/A</v>
      </c>
      <c r="U118" s="1837">
        <v>0</v>
      </c>
      <c r="V118" s="1630" t="str">
        <f t="shared" si="78"/>
        <v>N/A</v>
      </c>
    </row>
    <row r="119" spans="1:22" ht="18" customHeight="1" x14ac:dyDescent="0.3">
      <c r="A119" s="552" t="s">
        <v>1368</v>
      </c>
      <c r="B119" s="1629">
        <v>2</v>
      </c>
      <c r="C119" s="1629">
        <v>5</v>
      </c>
      <c r="D119" s="462">
        <v>0</v>
      </c>
      <c r="E119" s="1629">
        <v>2</v>
      </c>
      <c r="F119" s="462">
        <f t="shared" si="70"/>
        <v>-0.6</v>
      </c>
      <c r="G119" s="1629">
        <v>0</v>
      </c>
      <c r="H119" s="462">
        <f t="shared" si="71"/>
        <v>-1</v>
      </c>
      <c r="I119" s="1629">
        <v>0</v>
      </c>
      <c r="J119" s="1630" t="str">
        <f t="shared" si="72"/>
        <v>N/A</v>
      </c>
      <c r="K119" s="1629">
        <v>0</v>
      </c>
      <c r="L119" s="462" t="str">
        <f t="shared" si="73"/>
        <v>N/A</v>
      </c>
      <c r="M119" s="1837">
        <v>0</v>
      </c>
      <c r="N119" s="462" t="str">
        <f t="shared" si="74"/>
        <v>N/A</v>
      </c>
      <c r="O119" s="1837">
        <v>0</v>
      </c>
      <c r="P119" s="462" t="str">
        <f t="shared" si="75"/>
        <v>N/A</v>
      </c>
      <c r="Q119" s="1837">
        <v>0</v>
      </c>
      <c r="R119" s="462" t="str">
        <f t="shared" si="76"/>
        <v>N/A</v>
      </c>
      <c r="S119" s="1837">
        <v>0</v>
      </c>
      <c r="T119" s="1630" t="str">
        <f t="shared" si="77"/>
        <v>N/A</v>
      </c>
      <c r="U119" s="1837">
        <v>0</v>
      </c>
      <c r="V119" s="1630" t="str">
        <f t="shared" si="78"/>
        <v>N/A</v>
      </c>
    </row>
    <row r="120" spans="1:22" ht="18" customHeight="1" x14ac:dyDescent="0.3">
      <c r="A120" s="552" t="s">
        <v>789</v>
      </c>
      <c r="B120" s="1629">
        <v>4</v>
      </c>
      <c r="C120" s="1629">
        <v>5</v>
      </c>
      <c r="D120" s="462">
        <f t="shared" ref="D120:D127" si="79">IF(B120&gt;0,(C120-B120)/B120,(IF(C120=0,"N/A",100%)))</f>
        <v>0.25</v>
      </c>
      <c r="E120" s="1629">
        <v>3</v>
      </c>
      <c r="F120" s="462">
        <f t="shared" si="70"/>
        <v>-0.4</v>
      </c>
      <c r="G120" s="1629">
        <v>4</v>
      </c>
      <c r="H120" s="462">
        <f t="shared" si="71"/>
        <v>0.33333333333333331</v>
      </c>
      <c r="I120" s="1629">
        <v>4</v>
      </c>
      <c r="J120" s="1630">
        <f t="shared" si="72"/>
        <v>0</v>
      </c>
      <c r="K120" s="1629">
        <v>2</v>
      </c>
      <c r="L120" s="462">
        <f t="shared" si="73"/>
        <v>-0.5</v>
      </c>
      <c r="M120" s="1837">
        <v>0</v>
      </c>
      <c r="N120" s="462">
        <f t="shared" si="74"/>
        <v>-1</v>
      </c>
      <c r="O120" s="1837">
        <v>3</v>
      </c>
      <c r="P120" s="462">
        <f t="shared" si="75"/>
        <v>1</v>
      </c>
      <c r="Q120" s="1837">
        <v>1</v>
      </c>
      <c r="R120" s="462">
        <f t="shared" si="76"/>
        <v>-0.66666666666666663</v>
      </c>
      <c r="S120" s="1837">
        <v>1</v>
      </c>
      <c r="T120" s="1630">
        <f t="shared" si="77"/>
        <v>0</v>
      </c>
      <c r="U120" s="1837">
        <v>0</v>
      </c>
      <c r="V120" s="1630">
        <f t="shared" si="78"/>
        <v>-1</v>
      </c>
    </row>
    <row r="121" spans="1:22" ht="18" customHeight="1" x14ac:dyDescent="0.3">
      <c r="A121" s="552" t="s">
        <v>1356</v>
      </c>
      <c r="B121" s="1629">
        <v>1</v>
      </c>
      <c r="C121" s="1629">
        <v>5</v>
      </c>
      <c r="D121" s="462">
        <f t="shared" si="79"/>
        <v>4</v>
      </c>
      <c r="E121" s="1629">
        <v>2</v>
      </c>
      <c r="F121" s="462">
        <f t="shared" si="70"/>
        <v>-0.6</v>
      </c>
      <c r="G121" s="1629">
        <v>3</v>
      </c>
      <c r="H121" s="462">
        <f t="shared" si="71"/>
        <v>0.5</v>
      </c>
      <c r="I121" s="1629">
        <v>2</v>
      </c>
      <c r="J121" s="1630">
        <f t="shared" si="72"/>
        <v>-0.33333333333333331</v>
      </c>
      <c r="K121" s="1629">
        <v>0</v>
      </c>
      <c r="L121" s="462">
        <f t="shared" si="73"/>
        <v>-1</v>
      </c>
      <c r="M121" s="1837">
        <v>1</v>
      </c>
      <c r="N121" s="462">
        <f t="shared" si="74"/>
        <v>1</v>
      </c>
      <c r="O121" s="1837">
        <v>0</v>
      </c>
      <c r="P121" s="462">
        <f t="shared" si="75"/>
        <v>-1</v>
      </c>
      <c r="Q121" s="1837">
        <v>0</v>
      </c>
      <c r="R121" s="462" t="str">
        <f t="shared" si="76"/>
        <v>N/A</v>
      </c>
      <c r="S121" s="1837">
        <v>0</v>
      </c>
      <c r="T121" s="1630" t="str">
        <f t="shared" si="77"/>
        <v>N/A</v>
      </c>
      <c r="U121" s="1837">
        <v>0</v>
      </c>
      <c r="V121" s="1630" t="str">
        <f t="shared" si="78"/>
        <v>N/A</v>
      </c>
    </row>
    <row r="122" spans="1:22" ht="18" customHeight="1" x14ac:dyDescent="0.3">
      <c r="A122" s="552" t="s">
        <v>1106</v>
      </c>
      <c r="B122" s="1629">
        <v>16</v>
      </c>
      <c r="C122" s="1629">
        <v>26</v>
      </c>
      <c r="D122" s="462">
        <f t="shared" si="79"/>
        <v>0.625</v>
      </c>
      <c r="E122" s="1629">
        <v>21</v>
      </c>
      <c r="F122" s="462">
        <f t="shared" si="70"/>
        <v>-0.19230769230769232</v>
      </c>
      <c r="G122" s="1629">
        <v>11</v>
      </c>
      <c r="H122" s="462">
        <f t="shared" si="71"/>
        <v>-0.47619047619047616</v>
      </c>
      <c r="I122" s="1629">
        <v>16</v>
      </c>
      <c r="J122" s="1630">
        <f t="shared" si="72"/>
        <v>0.45454545454545453</v>
      </c>
      <c r="K122" s="1629">
        <v>10</v>
      </c>
      <c r="L122" s="462">
        <f t="shared" si="73"/>
        <v>-0.375</v>
      </c>
      <c r="M122" s="1837">
        <v>24</v>
      </c>
      <c r="N122" s="462">
        <f t="shared" si="74"/>
        <v>1.4</v>
      </c>
      <c r="O122" s="1837">
        <v>19</v>
      </c>
      <c r="P122" s="462">
        <f t="shared" si="75"/>
        <v>-0.20833333333333334</v>
      </c>
      <c r="Q122" s="1837">
        <v>20</v>
      </c>
      <c r="R122" s="462">
        <f t="shared" si="76"/>
        <v>5.2631578947368418E-2</v>
      </c>
      <c r="S122" s="1837">
        <v>11</v>
      </c>
      <c r="T122" s="1630">
        <f t="shared" si="77"/>
        <v>-0.45</v>
      </c>
      <c r="U122" s="1837">
        <v>12</v>
      </c>
      <c r="V122" s="1630">
        <f t="shared" si="78"/>
        <v>9.0909090909090912E-2</v>
      </c>
    </row>
    <row r="123" spans="1:22" ht="18" customHeight="1" x14ac:dyDescent="0.3">
      <c r="A123" s="552" t="s">
        <v>1107</v>
      </c>
      <c r="B123" s="1629">
        <v>6</v>
      </c>
      <c r="C123" s="1629">
        <v>2</v>
      </c>
      <c r="D123" s="462">
        <f t="shared" si="79"/>
        <v>-0.66666666666666663</v>
      </c>
      <c r="E123" s="1629">
        <v>5</v>
      </c>
      <c r="F123" s="462">
        <f t="shared" si="70"/>
        <v>1.5</v>
      </c>
      <c r="G123" s="1629">
        <v>2</v>
      </c>
      <c r="H123" s="462">
        <f t="shared" si="71"/>
        <v>-0.6</v>
      </c>
      <c r="I123" s="1629">
        <v>2</v>
      </c>
      <c r="J123" s="1630">
        <f t="shared" si="72"/>
        <v>0</v>
      </c>
      <c r="K123" s="1629">
        <v>0</v>
      </c>
      <c r="L123" s="462">
        <f t="shared" si="73"/>
        <v>-1</v>
      </c>
      <c r="M123" s="1837">
        <v>0</v>
      </c>
      <c r="N123" s="462" t="str">
        <f t="shared" si="74"/>
        <v>N/A</v>
      </c>
      <c r="O123" s="1837">
        <v>0</v>
      </c>
      <c r="P123" s="462" t="str">
        <f t="shared" si="75"/>
        <v>N/A</v>
      </c>
      <c r="Q123" s="1837">
        <v>0</v>
      </c>
      <c r="R123" s="462" t="str">
        <f t="shared" si="76"/>
        <v>N/A</v>
      </c>
      <c r="S123" s="1837">
        <v>0</v>
      </c>
      <c r="T123" s="1630" t="str">
        <f t="shared" si="77"/>
        <v>N/A</v>
      </c>
      <c r="U123" s="1837">
        <v>0</v>
      </c>
      <c r="V123" s="1630" t="str">
        <f t="shared" si="78"/>
        <v>N/A</v>
      </c>
    </row>
    <row r="124" spans="1:22" ht="18" customHeight="1" x14ac:dyDescent="0.3">
      <c r="A124" s="552" t="s">
        <v>1108</v>
      </c>
      <c r="B124" s="1629">
        <v>20</v>
      </c>
      <c r="C124" s="1629">
        <v>22</v>
      </c>
      <c r="D124" s="462">
        <f t="shared" si="79"/>
        <v>0.1</v>
      </c>
      <c r="E124" s="1629">
        <v>23</v>
      </c>
      <c r="F124" s="462">
        <f t="shared" si="70"/>
        <v>4.5454545454545456E-2</v>
      </c>
      <c r="G124" s="1629">
        <v>17</v>
      </c>
      <c r="H124" s="462">
        <f t="shared" si="71"/>
        <v>-0.2608695652173913</v>
      </c>
      <c r="I124" s="1629">
        <v>13</v>
      </c>
      <c r="J124" s="1630">
        <f t="shared" si="72"/>
        <v>-0.23529411764705882</v>
      </c>
      <c r="K124" s="1629">
        <v>19</v>
      </c>
      <c r="L124" s="462">
        <f t="shared" si="73"/>
        <v>0.46153846153846156</v>
      </c>
      <c r="M124" s="1837">
        <v>17</v>
      </c>
      <c r="N124" s="462">
        <f t="shared" si="74"/>
        <v>-0.10526315789473684</v>
      </c>
      <c r="O124" s="1837">
        <v>18</v>
      </c>
      <c r="P124" s="462">
        <f t="shared" si="75"/>
        <v>5.8823529411764705E-2</v>
      </c>
      <c r="Q124" s="1837">
        <v>11</v>
      </c>
      <c r="R124" s="462">
        <f t="shared" si="76"/>
        <v>-0.3888888888888889</v>
      </c>
      <c r="S124" s="1837">
        <v>17</v>
      </c>
      <c r="T124" s="1630">
        <f t="shared" si="77"/>
        <v>0.54545454545454541</v>
      </c>
      <c r="U124" s="1837">
        <v>11</v>
      </c>
      <c r="V124" s="1630">
        <f t="shared" si="78"/>
        <v>-0.35294117647058826</v>
      </c>
    </row>
    <row r="125" spans="1:22" ht="18" customHeight="1" x14ac:dyDescent="0.3">
      <c r="A125" s="552" t="s">
        <v>1109</v>
      </c>
      <c r="B125" s="1629">
        <v>6</v>
      </c>
      <c r="C125" s="1629">
        <v>9</v>
      </c>
      <c r="D125" s="462">
        <f t="shared" si="79"/>
        <v>0.5</v>
      </c>
      <c r="E125" s="1629">
        <v>0</v>
      </c>
      <c r="F125" s="462">
        <f t="shared" si="70"/>
        <v>-1</v>
      </c>
      <c r="G125" s="1629">
        <v>3</v>
      </c>
      <c r="H125" s="462">
        <f t="shared" si="71"/>
        <v>1</v>
      </c>
      <c r="I125" s="1629">
        <v>2</v>
      </c>
      <c r="J125" s="1630">
        <f t="shared" si="72"/>
        <v>-0.33333333333333331</v>
      </c>
      <c r="K125" s="1629">
        <v>1</v>
      </c>
      <c r="L125" s="462">
        <f t="shared" si="73"/>
        <v>-0.5</v>
      </c>
      <c r="M125" s="1837">
        <v>1</v>
      </c>
      <c r="N125" s="462">
        <f t="shared" si="74"/>
        <v>0</v>
      </c>
      <c r="O125" s="1837">
        <v>0</v>
      </c>
      <c r="P125" s="462">
        <f t="shared" si="75"/>
        <v>-1</v>
      </c>
      <c r="Q125" s="1837">
        <v>0</v>
      </c>
      <c r="R125" s="462" t="str">
        <f t="shared" si="76"/>
        <v>N/A</v>
      </c>
      <c r="S125" s="1837">
        <v>0</v>
      </c>
      <c r="T125" s="1630" t="str">
        <f t="shared" si="77"/>
        <v>N/A</v>
      </c>
      <c r="U125" s="1837">
        <v>0</v>
      </c>
      <c r="V125" s="1630" t="str">
        <f t="shared" si="78"/>
        <v>N/A</v>
      </c>
    </row>
    <row r="126" spans="1:22" ht="18" customHeight="1" x14ac:dyDescent="0.3">
      <c r="A126" s="553" t="s">
        <v>1015</v>
      </c>
      <c r="B126" s="1629">
        <f>SUM(B116:B125)</f>
        <v>69</v>
      </c>
      <c r="C126" s="1629">
        <f>SUM(C116:C125)</f>
        <v>87</v>
      </c>
      <c r="D126" s="462">
        <f t="shared" si="79"/>
        <v>0.2608695652173913</v>
      </c>
      <c r="E126" s="1629">
        <f>SUM(E114:E125)</f>
        <v>86</v>
      </c>
      <c r="F126" s="462">
        <f t="shared" si="70"/>
        <v>-1.1494252873563218E-2</v>
      </c>
      <c r="G126" s="1629">
        <f>SUM(G114:G125)</f>
        <v>65</v>
      </c>
      <c r="H126" s="462">
        <f t="shared" si="71"/>
        <v>-0.2441860465116279</v>
      </c>
      <c r="I126" s="1629">
        <f>SUM(I114:I125)</f>
        <v>52</v>
      </c>
      <c r="J126" s="1630">
        <f t="shared" si="72"/>
        <v>-0.2</v>
      </c>
      <c r="K126" s="1629">
        <f>SUM(K114:K125)</f>
        <v>42</v>
      </c>
      <c r="L126" s="462">
        <f t="shared" si="73"/>
        <v>-0.19230769230769232</v>
      </c>
      <c r="M126" s="1629">
        <f>SUM(M114:M125)</f>
        <v>56</v>
      </c>
      <c r="N126" s="462">
        <f t="shared" si="74"/>
        <v>0.33333333333333331</v>
      </c>
      <c r="O126" s="1629">
        <f>SUM(O114:O125)</f>
        <v>43</v>
      </c>
      <c r="P126" s="462">
        <f t="shared" si="75"/>
        <v>-0.23214285714285715</v>
      </c>
      <c r="Q126" s="1629">
        <f>SUM(Q114:Q125)</f>
        <v>36</v>
      </c>
      <c r="R126" s="462">
        <f t="shared" si="76"/>
        <v>-0.16279069767441862</v>
      </c>
      <c r="S126" s="1629">
        <f>SUM(S114:S125)</f>
        <v>43</v>
      </c>
      <c r="T126" s="1630">
        <f t="shared" si="77"/>
        <v>0.19444444444444445</v>
      </c>
      <c r="U126" s="1629">
        <f>SUM(U114:U125)</f>
        <v>38</v>
      </c>
      <c r="V126" s="1630">
        <f t="shared" si="78"/>
        <v>-0.11627906976744186</v>
      </c>
    </row>
    <row r="127" spans="1:22" ht="18" customHeight="1" x14ac:dyDescent="0.3">
      <c r="A127" s="556" t="s">
        <v>430</v>
      </c>
      <c r="B127" s="545">
        <f>+B126+B112</f>
        <v>253</v>
      </c>
      <c r="C127" s="545">
        <f>+C126+C112</f>
        <v>269</v>
      </c>
      <c r="D127" s="1154">
        <f t="shared" si="79"/>
        <v>6.3241106719367585E-2</v>
      </c>
      <c r="E127" s="545">
        <f>+E126+E112</f>
        <v>212</v>
      </c>
      <c r="F127" s="1154">
        <f t="shared" si="70"/>
        <v>-0.21189591078066913</v>
      </c>
      <c r="G127" s="545">
        <f>+G126+G112</f>
        <v>177</v>
      </c>
      <c r="H127" s="1154">
        <f t="shared" si="71"/>
        <v>-0.1650943396226415</v>
      </c>
      <c r="I127" s="545">
        <f>+I126+I112</f>
        <v>161</v>
      </c>
      <c r="J127" s="705">
        <f t="shared" si="72"/>
        <v>-9.03954802259887E-2</v>
      </c>
      <c r="K127" s="545">
        <f>+K126+K112</f>
        <v>174</v>
      </c>
      <c r="L127" s="1154">
        <f t="shared" si="73"/>
        <v>8.0745341614906832E-2</v>
      </c>
      <c r="M127" s="545">
        <f>+M126+M112</f>
        <v>184</v>
      </c>
      <c r="N127" s="1154">
        <f t="shared" si="74"/>
        <v>5.7471264367816091E-2</v>
      </c>
      <c r="O127" s="545">
        <f>+O126+O112</f>
        <v>158</v>
      </c>
      <c r="P127" s="1154">
        <f t="shared" si="75"/>
        <v>-0.14130434782608695</v>
      </c>
      <c r="Q127" s="545">
        <f>+Q126+Q112</f>
        <v>148</v>
      </c>
      <c r="R127" s="1154">
        <f t="shared" si="76"/>
        <v>-6.3291139240506333E-2</v>
      </c>
      <c r="S127" s="545">
        <f>+S126+S112</f>
        <v>166</v>
      </c>
      <c r="T127" s="705">
        <f t="shared" si="77"/>
        <v>0.12162162162162163</v>
      </c>
      <c r="U127" s="545">
        <f>+U126+U112</f>
        <v>165</v>
      </c>
      <c r="V127" s="705">
        <f t="shared" si="78"/>
        <v>-6.024096385542169E-3</v>
      </c>
    </row>
    <row r="128" spans="1:22" ht="18" customHeight="1" x14ac:dyDescent="0.3">
      <c r="A128" s="2088" t="s">
        <v>984</v>
      </c>
      <c r="B128" s="1552"/>
      <c r="C128" s="1552"/>
      <c r="D128" s="1553"/>
      <c r="E128" s="1552"/>
      <c r="F128" s="1553"/>
      <c r="G128" s="1552"/>
      <c r="H128" s="1553"/>
      <c r="I128" s="1552"/>
      <c r="J128" s="2089"/>
      <c r="K128" s="1552"/>
      <c r="L128" s="1553"/>
      <c r="M128" s="1552"/>
      <c r="N128" s="1553"/>
      <c r="O128" s="1552"/>
      <c r="P128" s="1553"/>
      <c r="Q128" s="1552"/>
      <c r="R128" s="1553"/>
      <c r="S128" s="1552"/>
      <c r="T128" s="2089"/>
      <c r="U128" s="1552"/>
      <c r="V128" s="2090"/>
    </row>
    <row r="129" spans="1:22" ht="18" customHeight="1" x14ac:dyDescent="0.3">
      <c r="A129" s="552" t="s">
        <v>1144</v>
      </c>
      <c r="B129" s="1629">
        <v>46</v>
      </c>
      <c r="C129" s="1629">
        <v>49</v>
      </c>
      <c r="D129" s="462">
        <f t="shared" ref="D129:D139" si="80">IF(B129&gt;0,(C129-B129)/B129,(IF(C129=0,"N/A",100%)))</f>
        <v>6.5217391304347824E-2</v>
      </c>
      <c r="E129" s="1629">
        <f>32+74</f>
        <v>106</v>
      </c>
      <c r="F129" s="462">
        <f t="shared" ref="F129:F139" si="81">IF(C129&gt;0,(E129-C129)/C129,(IF(E129=0,"N/A",100%)))</f>
        <v>1.1632653061224489</v>
      </c>
      <c r="G129" s="1629">
        <v>33</v>
      </c>
      <c r="H129" s="463">
        <f t="shared" ref="H129:H139" si="82">IF(E129&gt;0,(G129-E129)/E129,(IF(G129=0,"N/A",100%)))</f>
        <v>-0.68867924528301883</v>
      </c>
      <c r="I129" s="1837">
        <f>41+237</f>
        <v>278</v>
      </c>
      <c r="J129" s="1630">
        <f t="shared" ref="J129:J139" si="83">IF(G129&gt;0,(I129-G129)/G129,(IF(I129=0,"N/A",100%)))</f>
        <v>7.4242424242424239</v>
      </c>
      <c r="K129" s="1629">
        <f>29+94</f>
        <v>123</v>
      </c>
      <c r="L129" s="462">
        <f t="shared" ref="L129:L139" si="84">IF(I129&gt;0,(K129-I129)/I129,(IF(K129=0,"N/A",100%)))</f>
        <v>-0.55755395683453235</v>
      </c>
      <c r="M129" s="1837">
        <f>147+32</f>
        <v>179</v>
      </c>
      <c r="N129" s="462">
        <f t="shared" ref="N129:N139" si="85">IF(K129&gt;0,(M129-K129)/K129,(IF(M129=0,"N/A",100%)))</f>
        <v>0.45528455284552843</v>
      </c>
      <c r="O129" s="1837">
        <v>39</v>
      </c>
      <c r="P129" s="462">
        <f t="shared" ref="P129:P139" si="86">IF(M129&gt;0,(O129-M129)/M129,(IF(O129=0,"N/A",100%)))</f>
        <v>-0.78212290502793291</v>
      </c>
      <c r="Q129" s="1837">
        <v>6</v>
      </c>
      <c r="R129" s="462">
        <f t="shared" ref="R129:R139" si="87">IF(O129&gt;0,(Q129-O129)/O129,(IF(Q129=0,"N/A",100%)))</f>
        <v>-0.84615384615384615</v>
      </c>
      <c r="S129" s="1837">
        <v>4</v>
      </c>
      <c r="T129" s="1630">
        <f t="shared" ref="T129:T139" si="88">IF(Q129&gt;0,(S129-Q129)/Q129,(IF(S129=0,"N/A",100%)))</f>
        <v>-0.33333333333333331</v>
      </c>
      <c r="U129" s="1837">
        <v>21</v>
      </c>
      <c r="V129" s="1630">
        <f t="shared" ref="V129:V139" si="89">IF(S129&gt;0,(U129-S129)/S129,(IF(U129=0,"N/A",100%)))</f>
        <v>4.25</v>
      </c>
    </row>
    <row r="130" spans="1:22" s="1548" customFormat="1" ht="18" customHeight="1" x14ac:dyDescent="0.3">
      <c r="A130" s="1507" t="s">
        <v>1145</v>
      </c>
      <c r="B130" s="1837">
        <v>4</v>
      </c>
      <c r="C130" s="1837">
        <v>1</v>
      </c>
      <c r="D130" s="768">
        <f t="shared" si="80"/>
        <v>-0.75</v>
      </c>
      <c r="E130" s="1837">
        <v>0</v>
      </c>
      <c r="F130" s="768">
        <f t="shared" si="81"/>
        <v>-1</v>
      </c>
      <c r="G130" s="1837">
        <v>0</v>
      </c>
      <c r="H130" s="768" t="str">
        <f t="shared" si="82"/>
        <v>N/A</v>
      </c>
      <c r="I130" s="1837">
        <v>0</v>
      </c>
      <c r="J130" s="768" t="str">
        <f t="shared" ref="J130:J135" si="90">IF(G130&gt;0,(I130-G130)/G130,(IF(I130=0,"N/A",100%)))</f>
        <v>N/A</v>
      </c>
      <c r="K130" s="1837">
        <v>0</v>
      </c>
      <c r="L130" s="768" t="str">
        <f t="shared" ref="L130:L135" si="91">IF(I130&gt;0,(K130-I130)/I130,(IF(K130=0,"N/A",100%)))</f>
        <v>N/A</v>
      </c>
      <c r="M130" s="1837">
        <v>0</v>
      </c>
      <c r="N130" s="768" t="str">
        <f t="shared" si="85"/>
        <v>N/A</v>
      </c>
      <c r="O130" s="1837">
        <v>0</v>
      </c>
      <c r="P130" s="768" t="str">
        <f t="shared" si="86"/>
        <v>N/A</v>
      </c>
      <c r="Q130" s="1837">
        <v>6</v>
      </c>
      <c r="R130" s="768">
        <f t="shared" si="87"/>
        <v>1</v>
      </c>
      <c r="S130" s="1837">
        <v>5</v>
      </c>
      <c r="T130" s="2091">
        <f t="shared" si="88"/>
        <v>-0.16666666666666666</v>
      </c>
      <c r="U130" s="1837">
        <v>15</v>
      </c>
      <c r="V130" s="2091">
        <f t="shared" si="89"/>
        <v>2</v>
      </c>
    </row>
    <row r="131" spans="1:22" s="1548" customFormat="1" ht="18" hidden="1" customHeight="1" x14ac:dyDescent="0.3">
      <c r="A131" s="1507" t="s">
        <v>1666</v>
      </c>
      <c r="B131" s="1837">
        <v>0</v>
      </c>
      <c r="C131" s="1837">
        <v>0</v>
      </c>
      <c r="D131" s="768" t="str">
        <f t="shared" si="80"/>
        <v>N/A</v>
      </c>
      <c r="E131" s="1837">
        <v>0</v>
      </c>
      <c r="F131" s="768" t="str">
        <f t="shared" si="81"/>
        <v>N/A</v>
      </c>
      <c r="G131" s="1837">
        <v>0</v>
      </c>
      <c r="H131" s="768" t="str">
        <f t="shared" si="82"/>
        <v>N/A</v>
      </c>
      <c r="I131" s="1837">
        <v>0</v>
      </c>
      <c r="J131" s="768" t="str">
        <f t="shared" si="90"/>
        <v>N/A</v>
      </c>
      <c r="K131" s="1837">
        <v>0</v>
      </c>
      <c r="L131" s="768" t="str">
        <f t="shared" si="91"/>
        <v>N/A</v>
      </c>
      <c r="M131" s="1837">
        <v>0</v>
      </c>
      <c r="N131" s="768" t="str">
        <f t="shared" si="85"/>
        <v>N/A</v>
      </c>
      <c r="O131" s="1837">
        <v>0</v>
      </c>
      <c r="P131" s="768" t="str">
        <f t="shared" si="86"/>
        <v>N/A</v>
      </c>
      <c r="Q131" s="1837">
        <v>0</v>
      </c>
      <c r="R131" s="768" t="str">
        <f t="shared" si="87"/>
        <v>N/A</v>
      </c>
      <c r="S131" s="1837">
        <v>0</v>
      </c>
      <c r="T131" s="2091" t="str">
        <f t="shared" si="88"/>
        <v>N/A</v>
      </c>
      <c r="U131" s="1837"/>
      <c r="V131" s="2091" t="str">
        <f t="shared" si="89"/>
        <v>N/A</v>
      </c>
    </row>
    <row r="132" spans="1:22" s="1548" customFormat="1" ht="18" hidden="1" customHeight="1" x14ac:dyDescent="0.3">
      <c r="A132" s="1507" t="s">
        <v>1667</v>
      </c>
      <c r="B132" s="1837">
        <v>0</v>
      </c>
      <c r="C132" s="1837">
        <v>0</v>
      </c>
      <c r="D132" s="768" t="str">
        <f t="shared" si="80"/>
        <v>N/A</v>
      </c>
      <c r="E132" s="1837">
        <v>0</v>
      </c>
      <c r="F132" s="768" t="str">
        <f t="shared" si="81"/>
        <v>N/A</v>
      </c>
      <c r="G132" s="1837">
        <v>0</v>
      </c>
      <c r="H132" s="768" t="str">
        <f t="shared" si="82"/>
        <v>N/A</v>
      </c>
      <c r="I132" s="1837">
        <v>0</v>
      </c>
      <c r="J132" s="768" t="str">
        <f t="shared" si="90"/>
        <v>N/A</v>
      </c>
      <c r="K132" s="1837">
        <v>0</v>
      </c>
      <c r="L132" s="768" t="str">
        <f t="shared" si="91"/>
        <v>N/A</v>
      </c>
      <c r="M132" s="1837">
        <v>0</v>
      </c>
      <c r="N132" s="768" t="str">
        <f t="shared" si="85"/>
        <v>N/A</v>
      </c>
      <c r="O132" s="1837">
        <v>0</v>
      </c>
      <c r="P132" s="768" t="str">
        <f t="shared" si="86"/>
        <v>N/A</v>
      </c>
      <c r="Q132" s="1837">
        <v>0</v>
      </c>
      <c r="R132" s="768" t="str">
        <f t="shared" si="87"/>
        <v>N/A</v>
      </c>
      <c r="S132" s="1837">
        <v>0</v>
      </c>
      <c r="T132" s="2091" t="str">
        <f t="shared" si="88"/>
        <v>N/A</v>
      </c>
      <c r="U132" s="1837"/>
      <c r="V132" s="2091" t="str">
        <f t="shared" si="89"/>
        <v>N/A</v>
      </c>
    </row>
    <row r="133" spans="1:22" s="1548" customFormat="1" ht="18" hidden="1" customHeight="1" x14ac:dyDescent="0.3">
      <c r="A133" s="1507" t="s">
        <v>1668</v>
      </c>
      <c r="B133" s="1837">
        <v>0</v>
      </c>
      <c r="C133" s="1837">
        <v>0</v>
      </c>
      <c r="D133" s="768" t="str">
        <f t="shared" si="80"/>
        <v>N/A</v>
      </c>
      <c r="E133" s="1837">
        <v>0</v>
      </c>
      <c r="F133" s="768" t="str">
        <f t="shared" si="81"/>
        <v>N/A</v>
      </c>
      <c r="G133" s="1837">
        <v>0</v>
      </c>
      <c r="H133" s="768" t="str">
        <f t="shared" si="82"/>
        <v>N/A</v>
      </c>
      <c r="I133" s="1837">
        <v>0</v>
      </c>
      <c r="J133" s="768" t="str">
        <f t="shared" si="90"/>
        <v>N/A</v>
      </c>
      <c r="K133" s="1837">
        <v>0</v>
      </c>
      <c r="L133" s="768" t="str">
        <f t="shared" si="91"/>
        <v>N/A</v>
      </c>
      <c r="M133" s="1837">
        <v>0</v>
      </c>
      <c r="N133" s="768" t="str">
        <f t="shared" si="85"/>
        <v>N/A</v>
      </c>
      <c r="O133" s="1837">
        <v>0</v>
      </c>
      <c r="P133" s="768" t="str">
        <f t="shared" si="86"/>
        <v>N/A</v>
      </c>
      <c r="Q133" s="1837">
        <v>0</v>
      </c>
      <c r="R133" s="768" t="str">
        <f t="shared" si="87"/>
        <v>N/A</v>
      </c>
      <c r="S133" s="1837">
        <v>0</v>
      </c>
      <c r="T133" s="2091" t="str">
        <f t="shared" si="88"/>
        <v>N/A</v>
      </c>
      <c r="U133" s="1837"/>
      <c r="V133" s="2091" t="str">
        <f t="shared" si="89"/>
        <v>N/A</v>
      </c>
    </row>
    <row r="134" spans="1:22" s="1548" customFormat="1" ht="18" hidden="1" customHeight="1" x14ac:dyDescent="0.3">
      <c r="A134" s="1507" t="s">
        <v>1669</v>
      </c>
      <c r="B134" s="1837">
        <v>0</v>
      </c>
      <c r="C134" s="1837">
        <v>0</v>
      </c>
      <c r="D134" s="768" t="str">
        <f t="shared" si="80"/>
        <v>N/A</v>
      </c>
      <c r="E134" s="1837">
        <v>0</v>
      </c>
      <c r="F134" s="768" t="str">
        <f t="shared" si="81"/>
        <v>N/A</v>
      </c>
      <c r="G134" s="1837">
        <v>0</v>
      </c>
      <c r="H134" s="768" t="str">
        <f t="shared" si="82"/>
        <v>N/A</v>
      </c>
      <c r="I134" s="1837">
        <v>0</v>
      </c>
      <c r="J134" s="768" t="str">
        <f t="shared" si="90"/>
        <v>N/A</v>
      </c>
      <c r="K134" s="1837">
        <v>0</v>
      </c>
      <c r="L134" s="768" t="str">
        <f t="shared" si="91"/>
        <v>N/A</v>
      </c>
      <c r="M134" s="1837">
        <v>0</v>
      </c>
      <c r="N134" s="768" t="str">
        <f t="shared" si="85"/>
        <v>N/A</v>
      </c>
      <c r="O134" s="1837">
        <v>0</v>
      </c>
      <c r="P134" s="768" t="str">
        <f t="shared" si="86"/>
        <v>N/A</v>
      </c>
      <c r="Q134" s="1837">
        <v>0</v>
      </c>
      <c r="R134" s="768" t="str">
        <f>IF(O134&gt;0,(Q134-O134)/O134,(IF(Q134=0,"N/A",100%)))</f>
        <v>N/A</v>
      </c>
      <c r="S134" s="1837">
        <v>0</v>
      </c>
      <c r="T134" s="768" t="str">
        <f t="shared" si="88"/>
        <v>N/A</v>
      </c>
      <c r="U134" s="1837"/>
      <c r="V134" s="768" t="str">
        <f t="shared" si="89"/>
        <v>N/A</v>
      </c>
    </row>
    <row r="135" spans="1:22" s="1548" customFormat="1" ht="18" hidden="1" customHeight="1" x14ac:dyDescent="0.3">
      <c r="A135" s="1507" t="s">
        <v>1670</v>
      </c>
      <c r="B135" s="1837">
        <v>0</v>
      </c>
      <c r="C135" s="1837">
        <v>0</v>
      </c>
      <c r="D135" s="768" t="str">
        <f t="shared" si="80"/>
        <v>N/A</v>
      </c>
      <c r="E135" s="1837">
        <v>0</v>
      </c>
      <c r="F135" s="768" t="str">
        <f t="shared" si="81"/>
        <v>N/A</v>
      </c>
      <c r="G135" s="1837">
        <v>0</v>
      </c>
      <c r="H135" s="768" t="str">
        <f t="shared" si="82"/>
        <v>N/A</v>
      </c>
      <c r="I135" s="1837">
        <v>0</v>
      </c>
      <c r="J135" s="768" t="str">
        <f t="shared" si="90"/>
        <v>N/A</v>
      </c>
      <c r="K135" s="1837">
        <v>0</v>
      </c>
      <c r="L135" s="768" t="str">
        <f t="shared" si="91"/>
        <v>N/A</v>
      </c>
      <c r="M135" s="1837">
        <v>0</v>
      </c>
      <c r="N135" s="768" t="str">
        <f t="shared" si="85"/>
        <v>N/A</v>
      </c>
      <c r="O135" s="1837">
        <v>0</v>
      </c>
      <c r="P135" s="768" t="str">
        <f t="shared" si="86"/>
        <v>N/A</v>
      </c>
      <c r="Q135" s="1837">
        <v>0</v>
      </c>
      <c r="R135" s="768" t="str">
        <f>IF(O135&gt;0,(Q135-O135)/O135,(IF(Q135=0,"N/A",100%)))</f>
        <v>N/A</v>
      </c>
      <c r="S135" s="1837">
        <v>0</v>
      </c>
      <c r="T135" s="768" t="str">
        <f t="shared" si="88"/>
        <v>N/A</v>
      </c>
      <c r="U135" s="1837"/>
      <c r="V135" s="768" t="str">
        <f t="shared" si="89"/>
        <v>N/A</v>
      </c>
    </row>
    <row r="136" spans="1:22" ht="18" customHeight="1" x14ac:dyDescent="0.3">
      <c r="A136" s="552" t="s">
        <v>1146</v>
      </c>
      <c r="B136" s="1629">
        <v>1</v>
      </c>
      <c r="C136" s="1629">
        <v>0</v>
      </c>
      <c r="D136" s="462">
        <f t="shared" si="80"/>
        <v>-1</v>
      </c>
      <c r="E136" s="1629">
        <v>0</v>
      </c>
      <c r="F136" s="462" t="str">
        <f t="shared" si="81"/>
        <v>N/A</v>
      </c>
      <c r="G136" s="1629">
        <v>0</v>
      </c>
      <c r="H136" s="462" t="str">
        <f t="shared" si="82"/>
        <v>N/A</v>
      </c>
      <c r="I136" s="1837">
        <v>0</v>
      </c>
      <c r="J136" s="1630" t="str">
        <f t="shared" si="83"/>
        <v>N/A</v>
      </c>
      <c r="K136" s="1629">
        <v>0</v>
      </c>
      <c r="L136" s="462" t="str">
        <f t="shared" si="84"/>
        <v>N/A</v>
      </c>
      <c r="M136" s="1629">
        <v>0</v>
      </c>
      <c r="N136" s="462" t="str">
        <f t="shared" si="85"/>
        <v>N/A</v>
      </c>
      <c r="O136" s="1629">
        <v>0</v>
      </c>
      <c r="P136" s="462" t="str">
        <f t="shared" si="86"/>
        <v>N/A</v>
      </c>
      <c r="Q136" s="1629">
        <v>0</v>
      </c>
      <c r="R136" s="462" t="str">
        <f t="shared" si="87"/>
        <v>N/A</v>
      </c>
      <c r="S136" s="1629">
        <v>0</v>
      </c>
      <c r="T136" s="1630" t="str">
        <f t="shared" si="88"/>
        <v>N/A</v>
      </c>
      <c r="U136" s="1629">
        <v>0</v>
      </c>
      <c r="V136" s="1630" t="str">
        <f t="shared" si="89"/>
        <v>N/A</v>
      </c>
    </row>
    <row r="137" spans="1:22" ht="18" customHeight="1" x14ac:dyDescent="0.3">
      <c r="A137" s="552" t="s">
        <v>1778</v>
      </c>
      <c r="B137" s="1629">
        <v>79</v>
      </c>
      <c r="C137" s="1629">
        <v>95</v>
      </c>
      <c r="D137" s="462">
        <f t="shared" si="80"/>
        <v>0.20253164556962025</v>
      </c>
      <c r="E137" s="1629">
        <v>10</v>
      </c>
      <c r="F137" s="462">
        <f t="shared" si="81"/>
        <v>-0.89473684210526316</v>
      </c>
      <c r="G137" s="1629">
        <v>234</v>
      </c>
      <c r="H137" s="462">
        <f t="shared" si="82"/>
        <v>22.4</v>
      </c>
      <c r="I137" s="1837">
        <v>10</v>
      </c>
      <c r="J137" s="1630">
        <f t="shared" si="83"/>
        <v>-0.95726495726495731</v>
      </c>
      <c r="K137" s="1629">
        <v>118</v>
      </c>
      <c r="L137" s="462">
        <f t="shared" si="84"/>
        <v>10.8</v>
      </c>
      <c r="M137" s="1629">
        <v>15</v>
      </c>
      <c r="N137" s="462">
        <f t="shared" si="85"/>
        <v>-0.8728813559322034</v>
      </c>
      <c r="O137" s="1629">
        <v>143</v>
      </c>
      <c r="P137" s="462">
        <f t="shared" si="86"/>
        <v>8.5333333333333332</v>
      </c>
      <c r="Q137" s="1629">
        <v>84</v>
      </c>
      <c r="R137" s="462">
        <f t="shared" si="87"/>
        <v>-0.41258741258741261</v>
      </c>
      <c r="S137" s="1629">
        <v>99</v>
      </c>
      <c r="T137" s="1630">
        <f t="shared" si="88"/>
        <v>0.17857142857142858</v>
      </c>
      <c r="U137" s="1629">
        <v>93</v>
      </c>
      <c r="V137" s="1630">
        <f t="shared" si="89"/>
        <v>-6.0606060606060608E-2</v>
      </c>
    </row>
    <row r="138" spans="1:22" ht="18" customHeight="1" x14ac:dyDescent="0.3">
      <c r="A138" s="553" t="s">
        <v>1015</v>
      </c>
      <c r="B138" s="1843">
        <f>SUM(B129:B137)</f>
        <v>130</v>
      </c>
      <c r="C138" s="1844">
        <f>SUM(C129:C137)</f>
        <v>145</v>
      </c>
      <c r="D138" s="462">
        <f t="shared" si="80"/>
        <v>0.11538461538461539</v>
      </c>
      <c r="E138" s="1844">
        <f>SUM(E129:E137)</f>
        <v>116</v>
      </c>
      <c r="F138" s="462">
        <f t="shared" si="81"/>
        <v>-0.2</v>
      </c>
      <c r="G138" s="1844">
        <f>SUM(G129:G137)</f>
        <v>267</v>
      </c>
      <c r="H138" s="462">
        <f t="shared" si="82"/>
        <v>1.3017241379310345</v>
      </c>
      <c r="I138" s="1844">
        <f>SUM(I129:I137)</f>
        <v>288</v>
      </c>
      <c r="J138" s="1630">
        <f t="shared" si="83"/>
        <v>7.8651685393258425E-2</v>
      </c>
      <c r="K138" s="1844">
        <f>SUM(K129:K137)</f>
        <v>241</v>
      </c>
      <c r="L138" s="462">
        <f t="shared" si="84"/>
        <v>-0.16319444444444445</v>
      </c>
      <c r="M138" s="1844">
        <f>SUM(M129:M137)</f>
        <v>194</v>
      </c>
      <c r="N138" s="462">
        <f t="shared" si="85"/>
        <v>-0.19502074688796681</v>
      </c>
      <c r="O138" s="1844">
        <f>SUM(O129:O137)</f>
        <v>182</v>
      </c>
      <c r="P138" s="462">
        <f t="shared" si="86"/>
        <v>-6.1855670103092786E-2</v>
      </c>
      <c r="Q138" s="1844">
        <f>SUM(Q129:Q137)</f>
        <v>96</v>
      </c>
      <c r="R138" s="462">
        <f t="shared" si="87"/>
        <v>-0.47252747252747251</v>
      </c>
      <c r="S138" s="1844">
        <f>SUM(S129:S137)</f>
        <v>108</v>
      </c>
      <c r="T138" s="1630">
        <f t="shared" si="88"/>
        <v>0.125</v>
      </c>
      <c r="U138" s="1844">
        <f>SUM(U129:U137)</f>
        <v>129</v>
      </c>
      <c r="V138" s="1630">
        <f t="shared" si="89"/>
        <v>0.19444444444444445</v>
      </c>
    </row>
    <row r="139" spans="1:22" ht="18" customHeight="1" thickBot="1" x14ac:dyDescent="0.35">
      <c r="A139" s="1845" t="s">
        <v>1003</v>
      </c>
      <c r="B139" s="1846">
        <f>+B138+B127+B100+B65+B31</f>
        <v>1200</v>
      </c>
      <c r="C139" s="1846">
        <f>+C138+C127+C100+C65+C31</f>
        <v>1197</v>
      </c>
      <c r="D139" s="1847">
        <f t="shared" si="80"/>
        <v>-2.5000000000000001E-3</v>
      </c>
      <c r="E139" s="1846">
        <f>+E138+E127+E100+E65+E31</f>
        <v>822</v>
      </c>
      <c r="F139" s="1847">
        <f t="shared" si="81"/>
        <v>-0.31328320802005011</v>
      </c>
      <c r="G139" s="1846">
        <f>+G138+G127+G100+G65+G31</f>
        <v>962</v>
      </c>
      <c r="H139" s="1847">
        <f t="shared" si="82"/>
        <v>0.170316301703163</v>
      </c>
      <c r="I139" s="1846">
        <f>+I138+I127+I100+I65+I31</f>
        <v>1014</v>
      </c>
      <c r="J139" s="1848">
        <f t="shared" si="83"/>
        <v>5.4054054054054057E-2</v>
      </c>
      <c r="K139" s="1846">
        <f>+K138+K127+K100+K65+K31</f>
        <v>1014</v>
      </c>
      <c r="L139" s="1847">
        <f t="shared" si="84"/>
        <v>0</v>
      </c>
      <c r="M139" s="1846">
        <f>+M138+M127+M100+M65+M31</f>
        <v>1003</v>
      </c>
      <c r="N139" s="1847">
        <f t="shared" si="85"/>
        <v>-1.0848126232741617E-2</v>
      </c>
      <c r="O139" s="1846">
        <f>+O138+O127+O100+O65+O31</f>
        <v>904</v>
      </c>
      <c r="P139" s="1847">
        <f t="shared" si="86"/>
        <v>-9.8703888334995021E-2</v>
      </c>
      <c r="Q139" s="1846">
        <f>+Q138+Q127+Q100+Q65+Q31</f>
        <v>714</v>
      </c>
      <c r="R139" s="1847">
        <f t="shared" si="87"/>
        <v>-0.21017699115044247</v>
      </c>
      <c r="S139" s="1846">
        <f>+S138+S127+S100+S65+S31</f>
        <v>728</v>
      </c>
      <c r="T139" s="1848">
        <f t="shared" si="88"/>
        <v>1.9607843137254902E-2</v>
      </c>
      <c r="U139" s="1846">
        <f>+U138+U127+U100+U65+U31</f>
        <v>655</v>
      </c>
      <c r="V139" s="1848">
        <f t="shared" si="89"/>
        <v>-0.10027472527472528</v>
      </c>
    </row>
    <row r="140" spans="1:22" ht="18" customHeight="1" x14ac:dyDescent="0.25">
      <c r="A140" s="474" t="s">
        <v>1171</v>
      </c>
      <c r="B140" s="475"/>
      <c r="C140" s="475"/>
      <c r="D140" s="476"/>
      <c r="E140" s="475"/>
      <c r="F140" s="476"/>
      <c r="G140" s="475"/>
      <c r="H140" s="476"/>
    </row>
  </sheetData>
  <mergeCells count="5">
    <mergeCell ref="A32:V32"/>
    <mergeCell ref="A1:V1"/>
    <mergeCell ref="A2:V2"/>
    <mergeCell ref="A66:V66"/>
    <mergeCell ref="A101:V101"/>
  </mergeCells>
  <printOptions horizontalCentered="1" verticalCentered="1"/>
  <pageMargins left="0.2" right="0.2" top="0.51" bottom="0.3" header="0" footer="0.15"/>
  <pageSetup scale="48" orientation="landscape" r:id="rId1"/>
  <headerFooter alignWithMargins="0">
    <oddFooter>&amp;RSource: Office of Institutional Research</oddFooter>
  </headerFooter>
  <rowBreaks count="1" manualBreakCount="1">
    <brk id="65" max="16383"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J19"/>
  <sheetViews>
    <sheetView workbookViewId="0"/>
  </sheetViews>
  <sheetFormatPr defaultRowHeight="13.2" x14ac:dyDescent="0.25"/>
  <cols>
    <col min="1" max="1" width="12.109375" customWidth="1"/>
    <col min="2" max="2" width="6" customWidth="1"/>
    <col min="3" max="3" width="14.6640625" bestFit="1" customWidth="1"/>
  </cols>
  <sheetData>
    <row r="2" spans="3:8" ht="17.399999999999999" x14ac:dyDescent="0.25">
      <c r="C2" s="2195" t="s">
        <v>680</v>
      </c>
      <c r="D2" s="2195"/>
      <c r="E2" s="2195"/>
      <c r="F2" s="2195"/>
      <c r="G2" s="2195"/>
    </row>
    <row r="3" spans="3:8" ht="8.25" customHeight="1" x14ac:dyDescent="0.25">
      <c r="C3" s="439"/>
      <c r="D3" s="439"/>
      <c r="E3" s="439"/>
      <c r="F3" s="439"/>
      <c r="G3" s="439"/>
    </row>
    <row r="4" spans="3:8" x14ac:dyDescent="0.25">
      <c r="C4" s="1850" t="s">
        <v>17</v>
      </c>
      <c r="D4" s="1850" t="s">
        <v>14</v>
      </c>
      <c r="E4" s="1850" t="s">
        <v>15</v>
      </c>
      <c r="F4" s="622" t="s">
        <v>16</v>
      </c>
      <c r="G4" s="1850" t="s">
        <v>888</v>
      </c>
    </row>
    <row r="5" spans="3:8" x14ac:dyDescent="0.25">
      <c r="C5" s="1851" t="s">
        <v>652</v>
      </c>
      <c r="D5" s="1849">
        <v>4</v>
      </c>
      <c r="E5" s="1849">
        <v>6</v>
      </c>
      <c r="F5" s="447">
        <v>4</v>
      </c>
      <c r="G5" s="1853">
        <f t="shared" ref="G5:G10" si="0">+F5+E5+D5</f>
        <v>14</v>
      </c>
    </row>
    <row r="6" spans="3:8" x14ac:dyDescent="0.25">
      <c r="C6" s="1851" t="s">
        <v>1359</v>
      </c>
      <c r="D6" s="1849">
        <v>7</v>
      </c>
      <c r="E6" s="1849">
        <v>10</v>
      </c>
      <c r="F6" s="447">
        <v>12</v>
      </c>
      <c r="G6" s="1853">
        <f t="shared" si="0"/>
        <v>29</v>
      </c>
    </row>
    <row r="7" spans="3:8" x14ac:dyDescent="0.25">
      <c r="C7" s="1851" t="s">
        <v>1105</v>
      </c>
      <c r="D7" s="1849">
        <v>11</v>
      </c>
      <c r="E7" s="1849">
        <v>10</v>
      </c>
      <c r="F7" s="447">
        <v>16</v>
      </c>
      <c r="G7" s="1853">
        <f t="shared" si="0"/>
        <v>37</v>
      </c>
    </row>
    <row r="8" spans="3:8" x14ac:dyDescent="0.25">
      <c r="C8" s="1851" t="s">
        <v>283</v>
      </c>
      <c r="D8" s="1849">
        <v>13</v>
      </c>
      <c r="E8" s="1849">
        <v>14</v>
      </c>
      <c r="F8" s="447">
        <v>22</v>
      </c>
      <c r="G8" s="1853">
        <f t="shared" si="0"/>
        <v>49</v>
      </c>
    </row>
    <row r="9" spans="3:8" x14ac:dyDescent="0.25">
      <c r="C9" s="1851" t="s">
        <v>1314</v>
      </c>
      <c r="D9" s="1849">
        <v>17</v>
      </c>
      <c r="E9" s="1849">
        <v>17</v>
      </c>
      <c r="F9" s="447">
        <v>21</v>
      </c>
      <c r="G9" s="1853">
        <f t="shared" si="0"/>
        <v>55</v>
      </c>
    </row>
    <row r="10" spans="3:8" x14ac:dyDescent="0.25">
      <c r="C10" s="1851" t="s">
        <v>372</v>
      </c>
      <c r="D10" s="1849">
        <v>21</v>
      </c>
      <c r="E10" s="1849">
        <v>18</v>
      </c>
      <c r="F10" s="447">
        <v>27</v>
      </c>
      <c r="G10" s="1853">
        <f t="shared" si="0"/>
        <v>66</v>
      </c>
    </row>
    <row r="11" spans="3:8" x14ac:dyDescent="0.25">
      <c r="C11" s="1851" t="s">
        <v>615</v>
      </c>
      <c r="D11" s="1849">
        <v>23</v>
      </c>
      <c r="E11" s="1849">
        <v>29</v>
      </c>
      <c r="F11" s="447">
        <v>31</v>
      </c>
      <c r="G11" s="1853">
        <f t="shared" ref="G11:G16" si="1">+F11+E11+D11</f>
        <v>83</v>
      </c>
    </row>
    <row r="12" spans="3:8" x14ac:dyDescent="0.25">
      <c r="C12" s="1852" t="s">
        <v>1418</v>
      </c>
      <c r="D12" s="1849">
        <v>30</v>
      </c>
      <c r="E12" s="1849">
        <v>36</v>
      </c>
      <c r="F12" s="447">
        <v>55</v>
      </c>
      <c r="G12" s="1853">
        <f t="shared" si="1"/>
        <v>121</v>
      </c>
      <c r="H12" s="1229"/>
    </row>
    <row r="13" spans="3:8" x14ac:dyDescent="0.25">
      <c r="C13" s="1852" t="s">
        <v>1446</v>
      </c>
      <c r="D13" s="1849">
        <v>35</v>
      </c>
      <c r="E13" s="1849">
        <v>50</v>
      </c>
      <c r="F13" s="447">
        <v>67</v>
      </c>
      <c r="G13" s="1853">
        <f t="shared" si="1"/>
        <v>152</v>
      </c>
      <c r="H13" s="1229"/>
    </row>
    <row r="14" spans="3:8" x14ac:dyDescent="0.25">
      <c r="C14" s="1852" t="s">
        <v>1447</v>
      </c>
      <c r="D14" s="1849">
        <v>40</v>
      </c>
      <c r="E14" s="1849">
        <v>57</v>
      </c>
      <c r="F14" s="447">
        <v>76</v>
      </c>
      <c r="G14" s="1853">
        <f t="shared" si="1"/>
        <v>173</v>
      </c>
      <c r="H14" s="1229"/>
    </row>
    <row r="15" spans="3:8" x14ac:dyDescent="0.25">
      <c r="C15" s="1852" t="s">
        <v>1438</v>
      </c>
      <c r="D15" s="1849">
        <v>45</v>
      </c>
      <c r="E15" s="1849">
        <v>62</v>
      </c>
      <c r="F15" s="447">
        <v>105</v>
      </c>
      <c r="G15" s="1853">
        <f t="shared" si="1"/>
        <v>212</v>
      </c>
      <c r="H15" s="1229"/>
    </row>
    <row r="16" spans="3:8" x14ac:dyDescent="0.25">
      <c r="C16" s="1851" t="s">
        <v>1549</v>
      </c>
      <c r="D16" s="1849">
        <v>43</v>
      </c>
      <c r="E16" s="1849">
        <v>56</v>
      </c>
      <c r="F16" s="447">
        <v>102</v>
      </c>
      <c r="G16" s="1853">
        <f t="shared" si="1"/>
        <v>201</v>
      </c>
      <c r="H16" s="1229"/>
    </row>
    <row r="17" spans="3:10" x14ac:dyDescent="0.25">
      <c r="C17" s="1851" t="s">
        <v>1611</v>
      </c>
      <c r="D17" s="1849">
        <v>58</v>
      </c>
      <c r="E17" s="1849">
        <v>57</v>
      </c>
      <c r="F17" s="447">
        <v>106</v>
      </c>
      <c r="G17" s="1853">
        <f>+F17+E17+D17</f>
        <v>221</v>
      </c>
      <c r="H17" s="1376"/>
      <c r="I17" s="1375"/>
      <c r="J17" s="1229"/>
    </row>
    <row r="18" spans="3:10" x14ac:dyDescent="0.25">
      <c r="C18" s="1851" t="s">
        <v>1639</v>
      </c>
      <c r="D18" s="1849">
        <v>48</v>
      </c>
      <c r="E18" s="1849">
        <v>55</v>
      </c>
      <c r="F18" s="447">
        <v>118</v>
      </c>
      <c r="G18" s="1853">
        <f>+F18+E18+D18</f>
        <v>221</v>
      </c>
    </row>
    <row r="19" spans="3:10" x14ac:dyDescent="0.25">
      <c r="C19" s="1851" t="s">
        <v>1721</v>
      </c>
      <c r="D19" s="1849">
        <v>51</v>
      </c>
      <c r="E19" s="1849">
        <v>57</v>
      </c>
      <c r="F19" s="447">
        <v>108</v>
      </c>
      <c r="G19" s="1853">
        <f>+F19+E19+D19</f>
        <v>216</v>
      </c>
    </row>
  </sheetData>
  <mergeCells count="1">
    <mergeCell ref="C2:G2"/>
  </mergeCells>
  <phoneticPr fontId="16" type="noConversion"/>
  <pageMargins left="0.75" right="0.75" top="1" bottom="1" header="0.5" footer="0.5"/>
  <pageSetup scale="82"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1:S33"/>
  <sheetViews>
    <sheetView workbookViewId="0"/>
  </sheetViews>
  <sheetFormatPr defaultRowHeight="13.2" x14ac:dyDescent="0.25"/>
  <cols>
    <col min="2" max="2" width="9.33203125" customWidth="1"/>
    <col min="3" max="11" width="8.6640625" customWidth="1"/>
  </cols>
  <sheetData>
    <row r="1" spans="2:19" ht="19.2" x14ac:dyDescent="0.25">
      <c r="B1" s="2196" t="s">
        <v>1199</v>
      </c>
      <c r="C1" s="2196"/>
      <c r="D1" s="2196"/>
      <c r="E1" s="2196"/>
      <c r="F1" s="2196"/>
      <c r="G1" s="2196"/>
      <c r="H1" s="2196"/>
      <c r="I1" s="2196"/>
      <c r="J1" s="2196"/>
      <c r="K1" s="2196"/>
      <c r="L1" s="2196"/>
      <c r="M1" s="2196"/>
      <c r="N1" s="2196"/>
      <c r="O1" s="2196"/>
      <c r="P1" s="2196"/>
      <c r="Q1" s="2196"/>
      <c r="R1" s="2196"/>
      <c r="S1" s="2196"/>
    </row>
    <row r="3" spans="2:19" x14ac:dyDescent="0.25">
      <c r="B3" s="2197" t="s">
        <v>1200</v>
      </c>
      <c r="C3" s="2199" t="s">
        <v>1201</v>
      </c>
      <c r="D3" s="2200"/>
      <c r="E3" s="2201"/>
      <c r="F3" s="2199" t="s">
        <v>1202</v>
      </c>
      <c r="G3" s="2200"/>
      <c r="H3" s="2202"/>
      <c r="I3" s="2203" t="s">
        <v>1203</v>
      </c>
      <c r="J3" s="2200"/>
      <c r="K3" s="2202"/>
    </row>
    <row r="4" spans="2:19" ht="39.6" x14ac:dyDescent="0.25">
      <c r="B4" s="2198"/>
      <c r="C4" s="174" t="s">
        <v>986</v>
      </c>
      <c r="D4" s="174" t="s">
        <v>987</v>
      </c>
      <c r="E4" s="175" t="s">
        <v>1204</v>
      </c>
      <c r="F4" s="176" t="s">
        <v>986</v>
      </c>
      <c r="G4" s="174" t="s">
        <v>987</v>
      </c>
      <c r="H4" s="177" t="s">
        <v>1205</v>
      </c>
      <c r="I4" s="174" t="s">
        <v>986</v>
      </c>
      <c r="J4" s="174" t="s">
        <v>987</v>
      </c>
      <c r="K4" s="177" t="s">
        <v>1206</v>
      </c>
    </row>
    <row r="5" spans="2:19" ht="12.75" customHeight="1" x14ac:dyDescent="0.25">
      <c r="B5" s="408"/>
      <c r="C5" s="367"/>
      <c r="D5" s="367"/>
      <c r="E5" s="368"/>
      <c r="F5" s="367"/>
      <c r="G5" s="367"/>
      <c r="H5" s="368"/>
      <c r="I5" s="367"/>
      <c r="J5" s="367"/>
      <c r="K5" s="368"/>
    </row>
    <row r="6" spans="2:19" ht="12.75" customHeight="1" x14ac:dyDescent="0.25">
      <c r="B6" s="410">
        <v>2011</v>
      </c>
      <c r="C6" s="178">
        <v>21.6</v>
      </c>
      <c r="D6" s="178">
        <v>21.4</v>
      </c>
      <c r="E6" s="335">
        <v>21.4</v>
      </c>
      <c r="F6" s="178">
        <v>29.2</v>
      </c>
      <c r="G6" s="178">
        <v>32.5</v>
      </c>
      <c r="H6" s="335">
        <v>32.200000000000003</v>
      </c>
      <c r="I6" s="178">
        <v>21.7</v>
      </c>
      <c r="J6" s="178">
        <v>21.7</v>
      </c>
      <c r="K6" s="335">
        <v>21.7</v>
      </c>
    </row>
    <row r="7" spans="2:19" ht="12.75" customHeight="1" x14ac:dyDescent="0.25">
      <c r="B7" s="408"/>
      <c r="C7" s="367"/>
      <c r="D7" s="367"/>
      <c r="E7" s="368"/>
      <c r="F7" s="367"/>
      <c r="G7" s="367"/>
      <c r="H7" s="368"/>
      <c r="I7" s="367"/>
      <c r="J7" s="367"/>
      <c r="K7" s="368"/>
    </row>
    <row r="8" spans="2:19" ht="12.75" customHeight="1" x14ac:dyDescent="0.25">
      <c r="B8" s="410">
        <v>2012</v>
      </c>
      <c r="C8" s="178">
        <v>21.9</v>
      </c>
      <c r="D8" s="178">
        <v>21.5</v>
      </c>
      <c r="E8" s="335">
        <v>21.6</v>
      </c>
      <c r="F8" s="178">
        <v>33.799999999999997</v>
      </c>
      <c r="G8" s="178">
        <v>35.6</v>
      </c>
      <c r="H8" s="335">
        <v>35.4</v>
      </c>
      <c r="I8" s="178">
        <v>22</v>
      </c>
      <c r="J8" s="178">
        <v>21.9</v>
      </c>
      <c r="K8" s="335">
        <v>22</v>
      </c>
    </row>
    <row r="9" spans="2:19" ht="12.75" customHeight="1" x14ac:dyDescent="0.25">
      <c r="B9" s="408"/>
      <c r="C9" s="367"/>
      <c r="D9" s="367"/>
      <c r="E9" s="368"/>
      <c r="F9" s="367"/>
      <c r="G9" s="367"/>
      <c r="H9" s="368"/>
      <c r="I9" s="367"/>
      <c r="J9" s="367"/>
      <c r="K9" s="368"/>
    </row>
    <row r="10" spans="2:19" ht="12.75" customHeight="1" x14ac:dyDescent="0.25">
      <c r="B10" s="410">
        <v>2013</v>
      </c>
      <c r="C10" s="178">
        <v>21.7</v>
      </c>
      <c r="D10" s="178">
        <v>21.3</v>
      </c>
      <c r="E10" s="335">
        <v>21.4</v>
      </c>
      <c r="F10" s="178">
        <v>36.299999999999997</v>
      </c>
      <c r="G10" s="178">
        <v>34.700000000000003</v>
      </c>
      <c r="H10" s="335">
        <v>34.9</v>
      </c>
      <c r="I10" s="178">
        <v>21.9</v>
      </c>
      <c r="J10" s="178">
        <v>21.8</v>
      </c>
      <c r="K10" s="335">
        <v>21.8</v>
      </c>
    </row>
    <row r="11" spans="2:19" ht="12.75" customHeight="1" x14ac:dyDescent="0.25">
      <c r="B11" s="408"/>
      <c r="C11" s="367"/>
      <c r="D11" s="367"/>
      <c r="E11" s="368"/>
      <c r="F11" s="367"/>
      <c r="G11" s="367"/>
      <c r="H11" s="368"/>
      <c r="I11" s="367"/>
      <c r="J11" s="367"/>
      <c r="K11" s="368"/>
    </row>
    <row r="12" spans="2:19" ht="12.75" customHeight="1" x14ac:dyDescent="0.25">
      <c r="B12" s="410">
        <v>2014</v>
      </c>
      <c r="C12" s="178">
        <v>21.7</v>
      </c>
      <c r="D12" s="178">
        <v>21.5</v>
      </c>
      <c r="E12" s="335">
        <v>21.6</v>
      </c>
      <c r="F12" s="178">
        <v>42.3</v>
      </c>
      <c r="G12" s="178">
        <v>35.299999999999997</v>
      </c>
      <c r="H12" s="335">
        <v>36.700000000000003</v>
      </c>
      <c r="I12" s="178">
        <v>22</v>
      </c>
      <c r="J12" s="178">
        <v>21.9</v>
      </c>
      <c r="K12" s="335">
        <v>22</v>
      </c>
    </row>
    <row r="13" spans="2:19" ht="12.75" customHeight="1" x14ac:dyDescent="0.25">
      <c r="B13" s="408"/>
      <c r="C13" s="367"/>
      <c r="D13" s="367"/>
      <c r="E13" s="368"/>
      <c r="F13" s="367"/>
      <c r="G13" s="367"/>
      <c r="H13" s="368"/>
      <c r="I13" s="367"/>
      <c r="J13" s="367"/>
      <c r="K13" s="368"/>
    </row>
    <row r="14" spans="2:19" ht="12.75" customHeight="1" x14ac:dyDescent="0.25">
      <c r="B14" s="410">
        <v>2015</v>
      </c>
      <c r="C14" s="178">
        <v>21.7</v>
      </c>
      <c r="D14" s="178">
        <v>21.2</v>
      </c>
      <c r="E14" s="335">
        <v>21.3</v>
      </c>
      <c r="F14" s="178">
        <v>38.4</v>
      </c>
      <c r="G14" s="178">
        <v>34.700000000000003</v>
      </c>
      <c r="H14" s="335">
        <v>35.799999999999997</v>
      </c>
      <c r="I14" s="178">
        <v>22</v>
      </c>
      <c r="J14" s="178">
        <v>21.4</v>
      </c>
      <c r="K14" s="335">
        <v>21.6</v>
      </c>
    </row>
    <row r="19" spans="2:11" x14ac:dyDescent="0.25">
      <c r="B19" s="2197" t="s">
        <v>1207</v>
      </c>
      <c r="C19" s="2199" t="s">
        <v>1201</v>
      </c>
      <c r="D19" s="2200"/>
      <c r="E19" s="2201"/>
      <c r="F19" s="2199" t="s">
        <v>1202</v>
      </c>
      <c r="G19" s="2200"/>
      <c r="H19" s="2202"/>
      <c r="I19" s="2203" t="s">
        <v>1203</v>
      </c>
      <c r="J19" s="2200"/>
      <c r="K19" s="2202"/>
    </row>
    <row r="20" spans="2:11" ht="39.6" x14ac:dyDescent="0.25">
      <c r="B20" s="2198"/>
      <c r="C20" s="174" t="s">
        <v>986</v>
      </c>
      <c r="D20" s="174" t="s">
        <v>987</v>
      </c>
      <c r="E20" s="175" t="s">
        <v>1208</v>
      </c>
      <c r="F20" s="176" t="s">
        <v>986</v>
      </c>
      <c r="G20" s="174" t="s">
        <v>987</v>
      </c>
      <c r="H20" s="177" t="s">
        <v>1205</v>
      </c>
      <c r="I20" s="174" t="s">
        <v>986</v>
      </c>
      <c r="J20" s="174" t="s">
        <v>987</v>
      </c>
      <c r="K20" s="177" t="s">
        <v>1206</v>
      </c>
    </row>
    <row r="21" spans="2:11" x14ac:dyDescent="0.25">
      <c r="B21" s="408"/>
      <c r="C21" s="367"/>
      <c r="D21" s="367"/>
      <c r="E21" s="368"/>
      <c r="F21" s="367"/>
      <c r="G21" s="367"/>
      <c r="H21" s="368"/>
      <c r="I21" s="367"/>
      <c r="J21" s="367"/>
      <c r="K21" s="368"/>
    </row>
    <row r="22" spans="2:11" ht="12.75" customHeight="1" x14ac:dyDescent="0.25">
      <c r="B22" s="409">
        <v>2012</v>
      </c>
      <c r="C22" s="180">
        <v>22.2</v>
      </c>
      <c r="D22" s="178">
        <v>21.8</v>
      </c>
      <c r="E22" s="179">
        <v>21.9</v>
      </c>
      <c r="F22" s="180">
        <v>47.2</v>
      </c>
      <c r="G22" s="178">
        <v>35.6</v>
      </c>
      <c r="H22" s="179">
        <v>36.299999999999997</v>
      </c>
      <c r="I22" s="180">
        <v>22.3</v>
      </c>
      <c r="J22" s="178">
        <v>22.4</v>
      </c>
      <c r="K22" s="335">
        <v>22.4</v>
      </c>
    </row>
    <row r="23" spans="2:11" ht="12.75" customHeight="1" x14ac:dyDescent="0.25">
      <c r="B23" s="408"/>
      <c r="C23" s="367"/>
      <c r="D23" s="367"/>
      <c r="E23" s="368"/>
      <c r="F23" s="367"/>
      <c r="G23" s="367"/>
      <c r="H23" s="368"/>
      <c r="I23" s="367"/>
      <c r="J23" s="367"/>
      <c r="K23" s="368"/>
    </row>
    <row r="24" spans="2:11" ht="12.75" customHeight="1" x14ac:dyDescent="0.25">
      <c r="B24" s="409">
        <v>2013</v>
      </c>
      <c r="C24" s="180">
        <v>22.1</v>
      </c>
      <c r="D24" s="178">
        <v>21.8</v>
      </c>
      <c r="E24" s="179">
        <v>21.9</v>
      </c>
      <c r="F24" s="180">
        <v>35.5</v>
      </c>
      <c r="G24" s="178">
        <v>35.6</v>
      </c>
      <c r="H24" s="179">
        <v>35.6</v>
      </c>
      <c r="I24" s="180">
        <v>22.4</v>
      </c>
      <c r="J24" s="178">
        <v>22.4</v>
      </c>
      <c r="K24" s="335">
        <v>22.4</v>
      </c>
    </row>
    <row r="25" spans="2:11" ht="12.75" customHeight="1" x14ac:dyDescent="0.25">
      <c r="B25" s="408"/>
      <c r="C25" s="367"/>
      <c r="D25" s="367"/>
      <c r="E25" s="368"/>
      <c r="F25" s="367"/>
      <c r="G25" s="367"/>
      <c r="H25" s="368"/>
      <c r="I25" s="367"/>
      <c r="J25" s="367"/>
      <c r="K25" s="368"/>
    </row>
    <row r="26" spans="2:11" ht="12.75" customHeight="1" x14ac:dyDescent="0.25">
      <c r="B26" s="409">
        <v>2014</v>
      </c>
      <c r="C26" s="180">
        <v>22.2</v>
      </c>
      <c r="D26" s="178">
        <v>21.9</v>
      </c>
      <c r="E26" s="179">
        <v>22</v>
      </c>
      <c r="F26" s="180">
        <v>36</v>
      </c>
      <c r="G26" s="178">
        <v>35.299999999999997</v>
      </c>
      <c r="H26" s="179">
        <v>35.4</v>
      </c>
      <c r="I26" s="180">
        <v>22.5</v>
      </c>
      <c r="J26" s="178">
        <v>22.6</v>
      </c>
      <c r="K26" s="335">
        <v>22.6</v>
      </c>
    </row>
    <row r="27" spans="2:11" ht="12.75" customHeight="1" x14ac:dyDescent="0.25">
      <c r="B27" s="408"/>
      <c r="C27" s="367"/>
      <c r="D27" s="367"/>
      <c r="E27" s="368"/>
      <c r="F27" s="367"/>
      <c r="G27" s="367"/>
      <c r="H27" s="368"/>
      <c r="I27" s="367"/>
      <c r="J27" s="367"/>
      <c r="K27" s="368"/>
    </row>
    <row r="28" spans="2:11" ht="12.75" customHeight="1" x14ac:dyDescent="0.25">
      <c r="B28" s="409">
        <v>2015</v>
      </c>
      <c r="C28" s="180">
        <v>22.2</v>
      </c>
      <c r="D28" s="178">
        <v>21.7</v>
      </c>
      <c r="E28" s="179">
        <v>21.8</v>
      </c>
      <c r="F28" s="180">
        <v>43.2</v>
      </c>
      <c r="G28" s="178">
        <v>36.6</v>
      </c>
      <c r="H28" s="179">
        <v>37.9</v>
      </c>
      <c r="I28" s="180">
        <v>22.7</v>
      </c>
      <c r="J28" s="178">
        <v>22.2</v>
      </c>
      <c r="K28" s="335">
        <v>22.4</v>
      </c>
    </row>
    <row r="29" spans="2:11" ht="12.75" customHeight="1" x14ac:dyDescent="0.25">
      <c r="B29" s="408"/>
      <c r="C29" s="367"/>
      <c r="D29" s="367"/>
      <c r="E29" s="368"/>
      <c r="F29" s="367"/>
      <c r="G29" s="367"/>
      <c r="H29" s="368"/>
      <c r="I29" s="367"/>
      <c r="J29" s="367"/>
      <c r="K29" s="368"/>
    </row>
    <row r="30" spans="2:11" ht="12.75" customHeight="1" x14ac:dyDescent="0.25">
      <c r="B30" s="409">
        <v>2016</v>
      </c>
      <c r="C30" s="180">
        <v>22.1</v>
      </c>
      <c r="D30" s="178">
        <v>21.5</v>
      </c>
      <c r="E30" s="179">
        <v>21.7</v>
      </c>
      <c r="F30" s="180">
        <v>36.9</v>
      </c>
      <c r="G30" s="178">
        <v>32.799999999999997</v>
      </c>
      <c r="H30" s="179">
        <v>33.700000000000003</v>
      </c>
      <c r="I30" s="180">
        <v>22.3</v>
      </c>
      <c r="J30" s="178">
        <v>21.8</v>
      </c>
      <c r="K30" s="335">
        <v>22</v>
      </c>
    </row>
    <row r="31" spans="2:11" ht="12.75" customHeight="1" x14ac:dyDescent="0.25"/>
    <row r="33" spans="2:18" x14ac:dyDescent="0.25">
      <c r="B33" s="2204" t="s">
        <v>1209</v>
      </c>
      <c r="C33" s="2204"/>
      <c r="D33" s="2204"/>
      <c r="E33" s="2204"/>
      <c r="F33" s="2204"/>
      <c r="G33" s="2204"/>
      <c r="H33" s="2204"/>
      <c r="I33" s="2204"/>
      <c r="J33" s="2204"/>
      <c r="K33" s="2204"/>
      <c r="L33" s="2204"/>
      <c r="M33" s="2204"/>
      <c r="N33" s="2204"/>
      <c r="O33" s="2204"/>
      <c r="P33" s="2204"/>
      <c r="Q33" s="2204"/>
      <c r="R33" s="2204"/>
    </row>
  </sheetData>
  <mergeCells count="10">
    <mergeCell ref="B33:R33"/>
    <mergeCell ref="B19:B20"/>
    <mergeCell ref="C19:E19"/>
    <mergeCell ref="F19:H19"/>
    <mergeCell ref="I19:K19"/>
    <mergeCell ref="B1:S1"/>
    <mergeCell ref="B3:B4"/>
    <mergeCell ref="C3:E3"/>
    <mergeCell ref="F3:H3"/>
    <mergeCell ref="I3:K3"/>
  </mergeCells>
  <phoneticPr fontId="16" type="noConversion"/>
  <printOptions horizontalCentered="1" verticalCentered="1"/>
  <pageMargins left="0.5" right="0.5" top="1" bottom="1" header="0.5" footer="0.5"/>
  <pageSetup scale="75" orientation="landscape" r:id="rId1"/>
  <headerFooter alignWithMargins="0">
    <oddFooter>&amp;RSource: Office of Institutional Research</oddFooter>
  </headerFooter>
  <drawing r:id="rId2"/>
  <webPublishItems count="1">
    <webPublishItem id="6093" divId="2001_2002 FACT BOOK FINAL COPY_6093" sourceType="sheet" destinationFile="C:\Documents and Settings\mkirkpatrick\My Documents\2004-2005 FACT BOOK\2004-2005 fact book WEB PAGES\04-05averageageUPDATEDFORFALL2004ANDSPRING2005.htm"/>
  </webPublishItem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16"/>
  <sheetViews>
    <sheetView workbookViewId="0"/>
  </sheetViews>
  <sheetFormatPr defaultRowHeight="13.2" x14ac:dyDescent="0.25"/>
  <cols>
    <col min="1" max="1" width="18.44140625" customWidth="1"/>
    <col min="2" max="5" width="12.6640625" customWidth="1"/>
  </cols>
  <sheetData>
    <row r="1" spans="1:6" x14ac:dyDescent="0.25">
      <c r="A1" s="440"/>
      <c r="B1" s="440"/>
      <c r="C1" s="440"/>
      <c r="D1" s="440"/>
      <c r="E1" s="440"/>
      <c r="F1" s="320"/>
    </row>
    <row r="2" spans="1:6" ht="19.2" x14ac:dyDescent="0.25">
      <c r="A2" s="2205" t="s">
        <v>1756</v>
      </c>
      <c r="B2" s="2205"/>
      <c r="C2" s="2205"/>
      <c r="D2" s="2205"/>
      <c r="E2" s="2205"/>
      <c r="F2" s="320"/>
    </row>
    <row r="3" spans="1:6" ht="12.75" customHeight="1" thickBot="1" x14ac:dyDescent="0.3">
      <c r="A3" s="439"/>
      <c r="B3" s="439"/>
      <c r="C3" s="439"/>
      <c r="D3" s="439"/>
      <c r="E3" s="439"/>
      <c r="F3" s="320"/>
    </row>
    <row r="4" spans="1:6" x14ac:dyDescent="0.25">
      <c r="A4" s="441" t="s">
        <v>890</v>
      </c>
      <c r="B4" s="442" t="s">
        <v>986</v>
      </c>
      <c r="C4" s="442" t="s">
        <v>987</v>
      </c>
      <c r="D4" s="443" t="s">
        <v>888</v>
      </c>
      <c r="E4" s="445" t="s">
        <v>889</v>
      </c>
      <c r="F4" s="320"/>
    </row>
    <row r="5" spans="1:6" x14ac:dyDescent="0.25">
      <c r="A5" s="444" t="s">
        <v>876</v>
      </c>
      <c r="B5" s="862">
        <v>4</v>
      </c>
      <c r="C5" s="862">
        <v>12</v>
      </c>
      <c r="D5" s="447">
        <f t="shared" ref="D5:D14" si="0">+C5+B5</f>
        <v>16</v>
      </c>
      <c r="E5" s="446">
        <f>+D5/$D$15</f>
        <v>5.9237319511292116E-3</v>
      </c>
      <c r="F5" s="320"/>
    </row>
    <row r="6" spans="1:6" x14ac:dyDescent="0.25">
      <c r="A6" s="444" t="s">
        <v>877</v>
      </c>
      <c r="B6" s="862">
        <v>198</v>
      </c>
      <c r="C6" s="1942">
        <v>586</v>
      </c>
      <c r="D6" s="447">
        <f t="shared" si="0"/>
        <v>784</v>
      </c>
      <c r="E6" s="446">
        <f t="shared" ref="E6:E14" si="1">+D6/$D$15</f>
        <v>0.29026286560533138</v>
      </c>
      <c r="F6" s="320"/>
    </row>
    <row r="7" spans="1:6" x14ac:dyDescent="0.25">
      <c r="A7" s="444" t="s">
        <v>878</v>
      </c>
      <c r="B7" s="862">
        <v>278</v>
      </c>
      <c r="C7" s="1942">
        <v>646</v>
      </c>
      <c r="D7" s="447">
        <f t="shared" si="0"/>
        <v>924</v>
      </c>
      <c r="E7" s="446">
        <f t="shared" si="1"/>
        <v>0.34209552017771194</v>
      </c>
      <c r="F7" s="320"/>
    </row>
    <row r="8" spans="1:6" x14ac:dyDescent="0.25">
      <c r="A8" s="444" t="s">
        <v>879</v>
      </c>
      <c r="B8" s="862">
        <v>275</v>
      </c>
      <c r="C8" s="1942">
        <v>490</v>
      </c>
      <c r="D8" s="447">
        <f t="shared" si="0"/>
        <v>765</v>
      </c>
      <c r="E8" s="446">
        <f t="shared" si="1"/>
        <v>0.28322843391336544</v>
      </c>
      <c r="F8" s="320"/>
    </row>
    <row r="9" spans="1:6" x14ac:dyDescent="0.25">
      <c r="A9" s="444" t="s">
        <v>881</v>
      </c>
      <c r="B9" s="862">
        <v>64</v>
      </c>
      <c r="C9" s="1942">
        <v>51</v>
      </c>
      <c r="D9" s="447">
        <f t="shared" si="0"/>
        <v>115</v>
      </c>
      <c r="E9" s="446">
        <f t="shared" si="1"/>
        <v>4.2576823398741206E-2</v>
      </c>
      <c r="F9" s="320"/>
    </row>
    <row r="10" spans="1:6" x14ac:dyDescent="0.25">
      <c r="A10" s="444" t="s">
        <v>882</v>
      </c>
      <c r="B10" s="862">
        <v>15</v>
      </c>
      <c r="C10" s="1942">
        <v>17</v>
      </c>
      <c r="D10" s="447">
        <f t="shared" si="0"/>
        <v>32</v>
      </c>
      <c r="E10" s="446">
        <f t="shared" si="1"/>
        <v>1.1847463902258423E-2</v>
      </c>
      <c r="F10" s="320"/>
    </row>
    <row r="11" spans="1:6" x14ac:dyDescent="0.25">
      <c r="A11" s="444" t="s">
        <v>883</v>
      </c>
      <c r="B11" s="862">
        <v>5</v>
      </c>
      <c r="C11" s="1942">
        <v>13</v>
      </c>
      <c r="D11" s="447">
        <f t="shared" si="0"/>
        <v>18</v>
      </c>
      <c r="E11" s="446">
        <f t="shared" si="1"/>
        <v>6.6641984450203631E-3</v>
      </c>
      <c r="F11" s="320"/>
    </row>
    <row r="12" spans="1:6" x14ac:dyDescent="0.25">
      <c r="A12" s="444" t="s">
        <v>884</v>
      </c>
      <c r="B12" s="862">
        <v>4</v>
      </c>
      <c r="C12" s="1942">
        <v>25</v>
      </c>
      <c r="D12" s="447">
        <f t="shared" si="0"/>
        <v>29</v>
      </c>
      <c r="E12" s="446">
        <f t="shared" si="1"/>
        <v>1.0736764161421697E-2</v>
      </c>
      <c r="F12" s="320"/>
    </row>
    <row r="13" spans="1:6" x14ac:dyDescent="0.25">
      <c r="A13" s="444" t="s">
        <v>885</v>
      </c>
      <c r="B13" s="862">
        <v>6</v>
      </c>
      <c r="C13" s="1942">
        <v>9</v>
      </c>
      <c r="D13" s="447">
        <f t="shared" si="0"/>
        <v>15</v>
      </c>
      <c r="E13" s="446">
        <f t="shared" si="1"/>
        <v>5.5534987041836355E-3</v>
      </c>
      <c r="F13" s="320"/>
    </row>
    <row r="14" spans="1:6" x14ac:dyDescent="0.25">
      <c r="A14" s="444" t="s">
        <v>886</v>
      </c>
      <c r="B14" s="862">
        <v>1</v>
      </c>
      <c r="C14" s="1942">
        <v>2</v>
      </c>
      <c r="D14" s="447">
        <f t="shared" si="0"/>
        <v>3</v>
      </c>
      <c r="E14" s="446">
        <f t="shared" si="1"/>
        <v>1.1106997408367272E-3</v>
      </c>
      <c r="F14" s="450"/>
    </row>
    <row r="15" spans="1:6" ht="13.8" thickBot="1" x14ac:dyDescent="0.3">
      <c r="A15" s="448" t="s">
        <v>887</v>
      </c>
      <c r="B15" s="449">
        <f>SUM(B5:B14)</f>
        <v>850</v>
      </c>
      <c r="C15" s="449">
        <f>SUM(C5:C14)</f>
        <v>1851</v>
      </c>
      <c r="D15" s="449">
        <f>SUM(D5:D14)</f>
        <v>2701</v>
      </c>
      <c r="E15" s="457">
        <f>SUM(E5:E14)</f>
        <v>1</v>
      </c>
      <c r="F15" s="450"/>
    </row>
    <row r="16" spans="1:6" x14ac:dyDescent="0.25">
      <c r="A16" s="320"/>
      <c r="B16" s="320"/>
      <c r="C16" s="320"/>
      <c r="D16" s="320"/>
      <c r="E16" s="320"/>
      <c r="F16" s="320"/>
    </row>
  </sheetData>
  <mergeCells count="1">
    <mergeCell ref="A2:E2"/>
  </mergeCells>
  <phoneticPr fontId="16" type="noConversion"/>
  <printOptions horizontalCentered="1" verticalCentered="1"/>
  <pageMargins left="0.25" right="0.25" top="0.25" bottom="0.25" header="0.3" footer="0.3"/>
  <pageSetup orientation="portrait" r:id="rId1"/>
  <headerFooter alignWithMargins="0">
    <oddFooter>&amp;L&amp;7Source: Office of Institutional Research</oddFooter>
  </headerFooter>
  <drawing r:id="rId2"/>
  <webPublishItems count="1">
    <webPublishItem id="21725" divId="2003_2004 FACT BOOK WORKING COPY_21725" sourceType="sheet" destinationFile="C:\Documents and Settings\mkirkpatrick\My Documents\2004-2005 FACT BOOK\2004-2005 fact book WEB PAGES\04_05fallenrollmentbyageandgender.htm"/>
  </webPublishItem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T35"/>
  <sheetViews>
    <sheetView workbookViewId="0"/>
  </sheetViews>
  <sheetFormatPr defaultColWidth="7.88671875" defaultRowHeight="13.2" x14ac:dyDescent="0.25"/>
  <cols>
    <col min="1" max="10" width="9" style="181" customWidth="1"/>
    <col min="11" max="16384" width="7.88671875" style="181"/>
  </cols>
  <sheetData>
    <row r="2" spans="1:20" ht="19.2" x14ac:dyDescent="0.25">
      <c r="A2" s="2206" t="s">
        <v>1210</v>
      </c>
      <c r="B2" s="2206"/>
      <c r="C2" s="2206"/>
      <c r="D2" s="2206"/>
      <c r="E2" s="2206"/>
      <c r="F2" s="2206"/>
      <c r="G2" s="2206"/>
      <c r="H2" s="2206"/>
      <c r="I2" s="2206"/>
      <c r="J2" s="2206"/>
      <c r="K2" s="182"/>
      <c r="L2" s="182"/>
      <c r="M2" s="183"/>
      <c r="N2" s="183"/>
      <c r="O2" s="183"/>
      <c r="P2" s="183"/>
    </row>
    <row r="3" spans="1:20" x14ac:dyDescent="0.25">
      <c r="A3" s="182"/>
      <c r="B3" s="182"/>
      <c r="C3" s="182"/>
      <c r="D3" s="182"/>
      <c r="E3" s="182"/>
      <c r="F3" s="182"/>
      <c r="G3" s="182"/>
      <c r="H3" s="182"/>
      <c r="I3" s="182"/>
      <c r="J3" s="182"/>
      <c r="K3" s="182"/>
      <c r="L3" s="1935"/>
      <c r="M3" s="1277"/>
      <c r="N3" s="1277"/>
      <c r="O3" s="1277"/>
      <c r="P3" s="1277"/>
      <c r="Q3" s="1937"/>
      <c r="R3" s="1936"/>
      <c r="S3" s="1936"/>
      <c r="T3" s="1936"/>
    </row>
    <row r="4" spans="1:20" x14ac:dyDescent="0.25">
      <c r="A4" s="184"/>
      <c r="B4" s="185" t="s">
        <v>828</v>
      </c>
      <c r="C4" s="185"/>
      <c r="D4" s="186"/>
      <c r="E4" s="185" t="s">
        <v>830</v>
      </c>
      <c r="F4" s="185"/>
      <c r="G4" s="187"/>
      <c r="H4" s="185" t="s">
        <v>835</v>
      </c>
      <c r="I4" s="185"/>
      <c r="J4" s="186"/>
      <c r="K4" s="182"/>
      <c r="L4" s="1935"/>
      <c r="M4" s="1938"/>
      <c r="N4" s="1939"/>
      <c r="O4" s="1939"/>
      <c r="P4" s="1939"/>
      <c r="Q4" s="1940"/>
      <c r="R4" s="1936"/>
      <c r="S4" s="1936"/>
      <c r="T4" s="1936"/>
    </row>
    <row r="5" spans="1:20" ht="39.75" customHeight="1" x14ac:dyDescent="0.25">
      <c r="A5" s="188" t="s">
        <v>849</v>
      </c>
      <c r="B5" s="189" t="s">
        <v>986</v>
      </c>
      <c r="C5" s="189" t="s">
        <v>616</v>
      </c>
      <c r="D5" s="190" t="s">
        <v>1211</v>
      </c>
      <c r="E5" s="189" t="s">
        <v>987</v>
      </c>
      <c r="F5" s="189" t="s">
        <v>1212</v>
      </c>
      <c r="G5" s="190" t="s">
        <v>1211</v>
      </c>
      <c r="H5" s="189" t="s">
        <v>1213</v>
      </c>
      <c r="I5" s="189" t="s">
        <v>1214</v>
      </c>
      <c r="J5" s="190" t="s">
        <v>1211</v>
      </c>
      <c r="K5" s="182"/>
      <c r="L5" s="1935"/>
      <c r="M5" s="1631"/>
      <c r="N5" s="1631" t="s">
        <v>1215</v>
      </c>
      <c r="O5" s="1631" t="s">
        <v>1216</v>
      </c>
      <c r="P5" s="1631" t="s">
        <v>1217</v>
      </c>
      <c r="Q5" s="1631"/>
      <c r="R5" s="1936"/>
      <c r="S5" s="1936"/>
      <c r="T5" s="1936"/>
    </row>
    <row r="6" spans="1:20" x14ac:dyDescent="0.25">
      <c r="A6" s="369"/>
      <c r="B6" s="370"/>
      <c r="C6" s="370"/>
      <c r="D6" s="371"/>
      <c r="E6" s="370"/>
      <c r="F6" s="370"/>
      <c r="G6" s="371"/>
      <c r="H6" s="370"/>
      <c r="I6" s="370"/>
      <c r="J6" s="371"/>
      <c r="K6" s="182"/>
      <c r="L6" s="1935"/>
      <c r="M6" s="1631"/>
      <c r="N6" s="1631"/>
      <c r="O6" s="1631"/>
      <c r="P6" s="1631"/>
      <c r="Q6" s="1631"/>
      <c r="R6" s="1936"/>
      <c r="S6" s="1936"/>
      <c r="T6" s="1936"/>
    </row>
    <row r="7" spans="1:20" x14ac:dyDescent="0.25">
      <c r="A7" s="191">
        <v>2011</v>
      </c>
      <c r="B7" s="192">
        <v>243</v>
      </c>
      <c r="C7" s="192">
        <v>957</v>
      </c>
      <c r="D7" s="193">
        <f>B7/C7</f>
        <v>0.25391849529780564</v>
      </c>
      <c r="E7" s="192">
        <v>799</v>
      </c>
      <c r="F7" s="192">
        <v>2112</v>
      </c>
      <c r="G7" s="193">
        <f>E7/F7</f>
        <v>0.37831439393939392</v>
      </c>
      <c r="H7" s="192">
        <f>B7+E7</f>
        <v>1042</v>
      </c>
      <c r="I7" s="192">
        <f>C7+F7</f>
        <v>3069</v>
      </c>
      <c r="J7" s="193">
        <f>H7/I7</f>
        <v>0.33952427500814597</v>
      </c>
      <c r="K7" s="182"/>
      <c r="L7" s="1935"/>
      <c r="M7" s="1631">
        <f>A7</f>
        <v>2011</v>
      </c>
      <c r="N7" s="1631">
        <f>B7</f>
        <v>243</v>
      </c>
      <c r="O7" s="1631">
        <f>E7</f>
        <v>799</v>
      </c>
      <c r="P7" s="1631">
        <f>H7</f>
        <v>1042</v>
      </c>
      <c r="Q7" s="1631"/>
      <c r="R7" s="1936"/>
      <c r="S7" s="1936"/>
      <c r="T7" s="1936"/>
    </row>
    <row r="8" spans="1:20" x14ac:dyDescent="0.25">
      <c r="A8" s="369"/>
      <c r="B8" s="370"/>
      <c r="C8" s="370"/>
      <c r="D8" s="371"/>
      <c r="E8" s="370"/>
      <c r="F8" s="370"/>
      <c r="G8" s="371"/>
      <c r="H8" s="370"/>
      <c r="I8" s="370"/>
      <c r="J8" s="371"/>
      <c r="K8" s="182"/>
      <c r="L8" s="1935"/>
      <c r="M8" s="1631"/>
      <c r="N8" s="1631"/>
      <c r="O8" s="1631"/>
      <c r="P8" s="1631"/>
      <c r="Q8" s="1631"/>
      <c r="R8" s="1936"/>
      <c r="S8" s="1936"/>
      <c r="T8" s="1936"/>
    </row>
    <row r="9" spans="1:20" x14ac:dyDescent="0.25">
      <c r="A9" s="191">
        <v>2012</v>
      </c>
      <c r="B9" s="192">
        <v>230</v>
      </c>
      <c r="C9" s="192">
        <v>925</v>
      </c>
      <c r="D9" s="193">
        <f>B9/C9</f>
        <v>0.24864864864864866</v>
      </c>
      <c r="E9" s="192">
        <v>765</v>
      </c>
      <c r="F9" s="192">
        <v>2124</v>
      </c>
      <c r="G9" s="193">
        <f>E9/F9</f>
        <v>0.36016949152542371</v>
      </c>
      <c r="H9" s="192">
        <f>B9+E9</f>
        <v>995</v>
      </c>
      <c r="I9" s="192">
        <f>C9+F9</f>
        <v>3049</v>
      </c>
      <c r="J9" s="193">
        <f>H9/I9</f>
        <v>0.32633650377172846</v>
      </c>
      <c r="K9" s="182"/>
      <c r="L9" s="1935"/>
      <c r="M9" s="1631">
        <f>A9</f>
        <v>2012</v>
      </c>
      <c r="N9" s="1631">
        <f>B9</f>
        <v>230</v>
      </c>
      <c r="O9" s="1631">
        <f>E9</f>
        <v>765</v>
      </c>
      <c r="P9" s="1631">
        <f>H9</f>
        <v>995</v>
      </c>
      <c r="Q9" s="1631"/>
      <c r="R9" s="1936"/>
      <c r="S9" s="1936"/>
      <c r="T9" s="1936"/>
    </row>
    <row r="10" spans="1:20" x14ac:dyDescent="0.25">
      <c r="A10" s="369"/>
      <c r="B10" s="370"/>
      <c r="C10" s="370"/>
      <c r="D10" s="371"/>
      <c r="E10" s="370"/>
      <c r="F10" s="370"/>
      <c r="G10" s="371"/>
      <c r="H10" s="370"/>
      <c r="I10" s="370"/>
      <c r="J10" s="371"/>
      <c r="K10" s="182"/>
      <c r="L10" s="1935"/>
      <c r="M10" s="1631"/>
      <c r="N10" s="1631"/>
      <c r="O10" s="1631"/>
      <c r="P10" s="1631"/>
      <c r="Q10" s="1631"/>
      <c r="R10" s="1936"/>
      <c r="S10" s="1936"/>
      <c r="T10" s="1936"/>
    </row>
    <row r="11" spans="1:20" x14ac:dyDescent="0.25">
      <c r="A11" s="191">
        <v>2013</v>
      </c>
      <c r="B11" s="1283">
        <v>203</v>
      </c>
      <c r="C11" s="1283">
        <v>871</v>
      </c>
      <c r="D11" s="1284">
        <f>B11/C11</f>
        <v>0.2330654420206659</v>
      </c>
      <c r="E11" s="1283">
        <v>641</v>
      </c>
      <c r="F11" s="1283">
        <v>2006</v>
      </c>
      <c r="G11" s="1284">
        <f>E11/F11</f>
        <v>0.31954137587238285</v>
      </c>
      <c r="H11" s="1283">
        <f>B11+E11</f>
        <v>844</v>
      </c>
      <c r="I11" s="1283">
        <f>C11+F11</f>
        <v>2877</v>
      </c>
      <c r="J11" s="1284">
        <f>H11/I11</f>
        <v>0.29336114007646852</v>
      </c>
      <c r="K11" s="182"/>
      <c r="L11" s="1935"/>
      <c r="M11" s="1631">
        <f>A11</f>
        <v>2013</v>
      </c>
      <c r="N11" s="1631">
        <f>B11</f>
        <v>203</v>
      </c>
      <c r="O11" s="1631">
        <f>E11</f>
        <v>641</v>
      </c>
      <c r="P11" s="1631">
        <f>H11</f>
        <v>844</v>
      </c>
      <c r="Q11" s="1631"/>
      <c r="R11" s="1936"/>
      <c r="S11" s="1936"/>
      <c r="T11" s="1936"/>
    </row>
    <row r="12" spans="1:20" x14ac:dyDescent="0.25">
      <c r="A12" s="369"/>
      <c r="B12" s="370"/>
      <c r="C12" s="370"/>
      <c r="D12" s="371"/>
      <c r="E12" s="370"/>
      <c r="F12" s="370"/>
      <c r="G12" s="371"/>
      <c r="H12" s="370"/>
      <c r="I12" s="370"/>
      <c r="J12" s="371"/>
      <c r="K12" s="182"/>
      <c r="L12" s="1935"/>
      <c r="M12" s="1631"/>
      <c r="N12" s="1631"/>
      <c r="O12" s="1631"/>
      <c r="P12" s="1631"/>
      <c r="Q12" s="1631"/>
      <c r="R12" s="1936"/>
      <c r="S12" s="1936"/>
      <c r="T12" s="1936"/>
    </row>
    <row r="13" spans="1:20" x14ac:dyDescent="0.25">
      <c r="A13" s="191">
        <v>2014</v>
      </c>
      <c r="B13" s="1283">
        <v>214</v>
      </c>
      <c r="C13" s="1283">
        <v>867</v>
      </c>
      <c r="D13" s="1284">
        <f>B13/C13</f>
        <v>0.24682814302191464</v>
      </c>
      <c r="E13" s="1283">
        <v>650</v>
      </c>
      <c r="F13" s="1283">
        <v>1920</v>
      </c>
      <c r="G13" s="1284">
        <f>E13/F13</f>
        <v>0.33854166666666669</v>
      </c>
      <c r="H13" s="1283">
        <f>B13+E13</f>
        <v>864</v>
      </c>
      <c r="I13" s="1283">
        <f>C13+F13</f>
        <v>2787</v>
      </c>
      <c r="J13" s="1284">
        <f>H13/I13</f>
        <v>0.31001076426264801</v>
      </c>
      <c r="K13" s="182"/>
      <c r="L13" s="1935"/>
      <c r="M13" s="1631">
        <f>A13</f>
        <v>2014</v>
      </c>
      <c r="N13" s="1631">
        <f>B13</f>
        <v>214</v>
      </c>
      <c r="O13" s="1631">
        <f>E13</f>
        <v>650</v>
      </c>
      <c r="P13" s="1631">
        <f>H13</f>
        <v>864</v>
      </c>
      <c r="Q13" s="1631"/>
      <c r="R13" s="1936"/>
      <c r="S13" s="1936"/>
      <c r="T13" s="1936"/>
    </row>
    <row r="14" spans="1:20" x14ac:dyDescent="0.25">
      <c r="A14" s="369"/>
      <c r="B14" s="370"/>
      <c r="C14" s="370"/>
      <c r="D14" s="371"/>
      <c r="E14" s="370"/>
      <c r="F14" s="370"/>
      <c r="G14" s="371"/>
      <c r="H14" s="370"/>
      <c r="I14" s="370"/>
      <c r="J14" s="371"/>
      <c r="K14" s="182"/>
      <c r="L14" s="1935"/>
      <c r="M14" s="1631"/>
      <c r="N14" s="1631"/>
      <c r="O14" s="1631"/>
      <c r="P14" s="1631"/>
      <c r="Q14" s="1631"/>
      <c r="R14" s="1936"/>
      <c r="S14" s="1936"/>
      <c r="T14" s="1936"/>
    </row>
    <row r="15" spans="1:20" x14ac:dyDescent="0.25">
      <c r="A15" s="191">
        <v>2015</v>
      </c>
      <c r="B15" s="1283">
        <v>215</v>
      </c>
      <c r="C15" s="1283">
        <v>850</v>
      </c>
      <c r="D15" s="1284">
        <f>B15/C15</f>
        <v>0.25294117647058822</v>
      </c>
      <c r="E15" s="1283">
        <v>598</v>
      </c>
      <c r="F15" s="1283">
        <v>1851</v>
      </c>
      <c r="G15" s="1284">
        <f>E15/F15</f>
        <v>0.32306861156131822</v>
      </c>
      <c r="H15" s="1283">
        <f>B15+E15</f>
        <v>813</v>
      </c>
      <c r="I15" s="1283">
        <f>C15+F15</f>
        <v>2701</v>
      </c>
      <c r="J15" s="1284">
        <f>H15/I15</f>
        <v>0.30099962976675304</v>
      </c>
      <c r="K15" s="182"/>
      <c r="L15" s="1935"/>
      <c r="M15" s="1631">
        <f>A15</f>
        <v>2015</v>
      </c>
      <c r="N15" s="1631">
        <f>B15</f>
        <v>215</v>
      </c>
      <c r="O15" s="1631">
        <f>E15</f>
        <v>598</v>
      </c>
      <c r="P15" s="1631">
        <f>H15</f>
        <v>813</v>
      </c>
      <c r="Q15" s="1631"/>
      <c r="R15" s="1936"/>
      <c r="S15" s="1936"/>
      <c r="T15" s="1936"/>
    </row>
    <row r="16" spans="1:20" x14ac:dyDescent="0.25">
      <c r="A16" s="182"/>
      <c r="B16" s="182"/>
      <c r="C16" s="182"/>
      <c r="D16" s="182"/>
      <c r="E16" s="182"/>
      <c r="F16" s="182"/>
      <c r="G16" s="182"/>
      <c r="H16" s="182"/>
      <c r="I16" s="182"/>
      <c r="J16" s="182"/>
      <c r="K16" s="182"/>
      <c r="L16" s="1935"/>
      <c r="M16" s="1938"/>
      <c r="N16" s="1938"/>
      <c r="O16" s="1938"/>
      <c r="P16" s="1938"/>
      <c r="Q16" s="1940"/>
      <c r="R16" s="1936"/>
      <c r="S16" s="1936"/>
      <c r="T16" s="1936"/>
    </row>
    <row r="17" spans="1:20" x14ac:dyDescent="0.25">
      <c r="A17" s="182"/>
      <c r="B17" s="182"/>
      <c r="C17" s="182"/>
      <c r="D17" s="182"/>
      <c r="E17" s="182"/>
      <c r="F17" s="182"/>
      <c r="G17" s="182"/>
      <c r="H17" s="182"/>
      <c r="I17" s="182"/>
      <c r="J17" s="182"/>
      <c r="K17" s="182"/>
      <c r="L17" s="1935"/>
      <c r="M17" s="1938"/>
      <c r="N17" s="1941"/>
      <c r="O17" s="1938"/>
      <c r="P17" s="1938"/>
      <c r="Q17" s="1940"/>
      <c r="R17" s="1936"/>
      <c r="S17" s="1936"/>
      <c r="T17" s="1936"/>
    </row>
    <row r="18" spans="1:20" x14ac:dyDescent="0.25">
      <c r="A18" s="182"/>
      <c r="B18" s="182"/>
      <c r="C18" s="182"/>
      <c r="D18" s="182"/>
      <c r="E18" s="182"/>
      <c r="F18" s="182"/>
      <c r="G18" s="182"/>
      <c r="H18" s="182"/>
      <c r="I18" s="182"/>
      <c r="J18" s="182"/>
      <c r="K18" s="182"/>
      <c r="L18" s="1935"/>
      <c r="M18" s="1935"/>
      <c r="N18" s="1935"/>
      <c r="O18" s="1935"/>
      <c r="P18" s="1935"/>
      <c r="Q18" s="1936"/>
      <c r="R18" s="1936"/>
      <c r="S18" s="1936"/>
      <c r="T18" s="1936"/>
    </row>
    <row r="19" spans="1:20" x14ac:dyDescent="0.25">
      <c r="A19" s="182"/>
      <c r="B19" s="182"/>
      <c r="C19" s="182"/>
      <c r="D19" s="182"/>
      <c r="E19" s="182"/>
      <c r="F19" s="182"/>
      <c r="G19" s="182"/>
      <c r="H19" s="182"/>
      <c r="I19" s="182"/>
      <c r="J19" s="182"/>
      <c r="K19" s="182"/>
      <c r="L19" s="1935"/>
      <c r="M19" s="1935"/>
      <c r="N19" s="1935"/>
      <c r="O19" s="1935"/>
      <c r="P19" s="1935"/>
      <c r="Q19" s="1936"/>
      <c r="R19" s="1936"/>
      <c r="S19" s="1936"/>
      <c r="T19" s="1936"/>
    </row>
    <row r="20" spans="1:20" x14ac:dyDescent="0.25">
      <c r="A20" s="182"/>
      <c r="B20" s="182"/>
      <c r="C20" s="182"/>
      <c r="D20" s="182"/>
      <c r="E20" s="182"/>
      <c r="F20" s="182"/>
      <c r="G20" s="182"/>
      <c r="H20" s="182"/>
      <c r="I20" s="182"/>
      <c r="J20" s="182"/>
      <c r="K20" s="182"/>
      <c r="L20" s="1935"/>
      <c r="M20" s="1935"/>
      <c r="N20" s="1935"/>
      <c r="O20" s="1935"/>
      <c r="P20" s="1935"/>
      <c r="Q20" s="1936"/>
      <c r="R20" s="1936"/>
      <c r="S20" s="1936"/>
      <c r="T20" s="1936"/>
    </row>
    <row r="21" spans="1:20" x14ac:dyDescent="0.25">
      <c r="A21" s="182"/>
      <c r="B21" s="182"/>
      <c r="C21" s="182"/>
      <c r="D21" s="182"/>
      <c r="E21" s="182"/>
      <c r="F21" s="182"/>
      <c r="G21" s="182"/>
      <c r="H21" s="182"/>
      <c r="I21" s="182"/>
      <c r="J21" s="182"/>
      <c r="K21" s="182"/>
      <c r="L21" s="1935"/>
      <c r="M21" s="1935"/>
      <c r="N21" s="1935"/>
      <c r="O21" s="1935"/>
      <c r="P21" s="1935"/>
      <c r="Q21" s="1936"/>
      <c r="R21" s="1936"/>
      <c r="S21" s="1936"/>
      <c r="T21" s="1936"/>
    </row>
    <row r="22" spans="1:20" x14ac:dyDescent="0.25">
      <c r="A22" s="182"/>
      <c r="B22" s="182"/>
      <c r="C22" s="182"/>
      <c r="D22" s="182"/>
      <c r="E22" s="182"/>
      <c r="F22" s="182"/>
      <c r="G22" s="182"/>
      <c r="H22" s="182"/>
      <c r="I22" s="182"/>
      <c r="J22" s="182"/>
      <c r="K22" s="182"/>
      <c r="L22" s="1935"/>
      <c r="M22" s="1935"/>
      <c r="N22" s="1935"/>
      <c r="O22" s="1935"/>
      <c r="P22" s="1935"/>
      <c r="Q22" s="1936"/>
      <c r="R22" s="1936"/>
      <c r="S22" s="1936"/>
      <c r="T22" s="1936"/>
    </row>
    <row r="23" spans="1:20" x14ac:dyDescent="0.25">
      <c r="A23" s="182"/>
      <c r="B23" s="182"/>
      <c r="C23" s="182"/>
      <c r="D23" s="182"/>
      <c r="E23" s="182"/>
      <c r="F23" s="182"/>
      <c r="G23" s="182"/>
      <c r="H23" s="182"/>
      <c r="I23" s="182"/>
      <c r="J23" s="182"/>
      <c r="K23" s="182"/>
      <c r="L23" s="182"/>
      <c r="M23" s="182"/>
      <c r="N23" s="182"/>
      <c r="O23" s="182"/>
      <c r="P23" s="182"/>
    </row>
    <row r="24" spans="1:20" x14ac:dyDescent="0.25">
      <c r="A24" s="182"/>
      <c r="B24" s="182"/>
      <c r="C24" s="182"/>
      <c r="D24" s="182"/>
      <c r="E24" s="182"/>
      <c r="F24" s="182"/>
      <c r="G24" s="182"/>
      <c r="H24" s="182"/>
      <c r="I24" s="182"/>
      <c r="J24" s="182"/>
      <c r="K24" s="182"/>
      <c r="L24" s="182"/>
      <c r="M24" s="182"/>
      <c r="N24" s="182"/>
      <c r="O24" s="182"/>
      <c r="P24" s="182"/>
    </row>
    <row r="25" spans="1:20" x14ac:dyDescent="0.25">
      <c r="A25" s="182"/>
      <c r="B25" s="182"/>
      <c r="C25" s="182"/>
      <c r="D25" s="182"/>
      <c r="E25" s="182"/>
      <c r="F25" s="182"/>
      <c r="G25" s="182"/>
      <c r="H25" s="182"/>
      <c r="I25" s="182"/>
      <c r="J25" s="182"/>
      <c r="K25" s="182"/>
      <c r="L25" s="182"/>
      <c r="M25" s="182"/>
      <c r="N25" s="182"/>
      <c r="O25" s="182"/>
      <c r="P25" s="182"/>
    </row>
    <row r="26" spans="1:20" x14ac:dyDescent="0.25">
      <c r="A26" s="182"/>
      <c r="B26" s="182"/>
      <c r="C26" s="182"/>
      <c r="D26" s="182"/>
      <c r="E26" s="182"/>
      <c r="F26" s="182"/>
      <c r="G26" s="182"/>
      <c r="H26" s="182"/>
      <c r="I26" s="182"/>
      <c r="J26" s="182"/>
      <c r="K26" s="182"/>
      <c r="L26" s="182"/>
      <c r="M26" s="182"/>
      <c r="N26" s="182"/>
      <c r="O26" s="182"/>
      <c r="P26" s="182"/>
    </row>
    <row r="27" spans="1:20" x14ac:dyDescent="0.25">
      <c r="A27" s="182"/>
      <c r="B27" s="182"/>
      <c r="C27" s="182"/>
      <c r="D27" s="182"/>
      <c r="E27" s="182"/>
      <c r="F27" s="182"/>
      <c r="G27" s="182"/>
      <c r="H27" s="182"/>
      <c r="I27" s="182"/>
      <c r="J27" s="182"/>
      <c r="K27" s="182"/>
      <c r="L27" s="182"/>
      <c r="M27" s="182"/>
      <c r="N27" s="182"/>
      <c r="O27" s="182"/>
      <c r="P27" s="182"/>
    </row>
    <row r="28" spans="1:20" x14ac:dyDescent="0.25">
      <c r="A28" s="182"/>
      <c r="B28" s="182"/>
      <c r="C28" s="182"/>
      <c r="D28" s="182"/>
      <c r="E28" s="182"/>
      <c r="F28" s="182"/>
      <c r="G28" s="182"/>
      <c r="H28" s="182"/>
      <c r="I28" s="182"/>
      <c r="J28" s="182"/>
      <c r="K28" s="182"/>
      <c r="L28" s="182"/>
      <c r="M28" s="182"/>
      <c r="N28" s="182"/>
      <c r="O28" s="182"/>
      <c r="P28" s="182"/>
    </row>
    <row r="29" spans="1:20" x14ac:dyDescent="0.25">
      <c r="A29" s="182"/>
      <c r="B29" s="182"/>
      <c r="C29" s="182"/>
      <c r="D29" s="182"/>
      <c r="E29" s="182"/>
      <c r="F29" s="182"/>
      <c r="G29" s="182"/>
      <c r="H29" s="182"/>
      <c r="I29" s="182"/>
      <c r="J29" s="182"/>
      <c r="K29" s="182"/>
      <c r="L29" s="182"/>
      <c r="M29" s="182"/>
      <c r="N29" s="182"/>
      <c r="O29" s="182"/>
      <c r="P29" s="182"/>
    </row>
    <row r="30" spans="1:20" x14ac:dyDescent="0.25">
      <c r="A30" s="182"/>
      <c r="B30" s="182"/>
      <c r="C30" s="182"/>
      <c r="D30" s="182"/>
      <c r="E30" s="182"/>
      <c r="F30" s="182"/>
      <c r="G30" s="182"/>
      <c r="H30" s="182"/>
      <c r="I30" s="182"/>
      <c r="J30" s="182"/>
      <c r="K30" s="182"/>
      <c r="L30" s="182"/>
      <c r="M30" s="182"/>
      <c r="N30" s="182"/>
      <c r="O30" s="182"/>
      <c r="P30" s="182"/>
    </row>
    <row r="31" spans="1:20" x14ac:dyDescent="0.25">
      <c r="A31" s="182"/>
      <c r="B31" s="182"/>
      <c r="C31" s="182"/>
      <c r="D31" s="182"/>
      <c r="E31" s="182"/>
      <c r="F31" s="182"/>
      <c r="G31" s="182"/>
      <c r="H31" s="182"/>
      <c r="I31" s="182"/>
      <c r="J31" s="182"/>
      <c r="K31" s="182"/>
      <c r="L31" s="182"/>
      <c r="M31" s="182"/>
      <c r="N31" s="182"/>
      <c r="O31" s="182"/>
      <c r="P31" s="182"/>
    </row>
    <row r="32" spans="1:20" x14ac:dyDescent="0.25">
      <c r="A32" s="182"/>
      <c r="B32" s="182"/>
      <c r="C32" s="182"/>
      <c r="D32" s="182"/>
      <c r="E32" s="182"/>
      <c r="F32" s="182"/>
      <c r="G32" s="182"/>
      <c r="H32" s="182"/>
      <c r="I32" s="182"/>
      <c r="J32" s="182"/>
      <c r="K32" s="182"/>
      <c r="L32" s="182"/>
      <c r="M32" s="182"/>
      <c r="N32" s="182"/>
      <c r="O32" s="182"/>
      <c r="P32" s="182"/>
    </row>
    <row r="33" spans="1:16" x14ac:dyDescent="0.25">
      <c r="A33" s="182"/>
      <c r="B33" s="182"/>
      <c r="C33" s="182"/>
      <c r="D33" s="182"/>
      <c r="E33" s="182"/>
      <c r="F33" s="182"/>
      <c r="G33" s="182"/>
      <c r="H33" s="182"/>
      <c r="I33" s="182"/>
      <c r="J33" s="182"/>
      <c r="K33" s="182"/>
      <c r="L33" s="182"/>
      <c r="M33" s="182"/>
      <c r="N33" s="182"/>
      <c r="O33" s="182"/>
      <c r="P33" s="182"/>
    </row>
    <row r="34" spans="1:16" x14ac:dyDescent="0.25">
      <c r="A34" s="182"/>
      <c r="B34" s="182"/>
      <c r="C34" s="182"/>
      <c r="D34" s="182"/>
      <c r="E34" s="182"/>
      <c r="F34" s="182"/>
      <c r="G34" s="182"/>
      <c r="H34" s="182"/>
      <c r="I34" s="182"/>
      <c r="J34" s="182"/>
      <c r="K34" s="182"/>
      <c r="L34" s="182"/>
      <c r="M34" s="182"/>
      <c r="N34" s="182"/>
      <c r="O34" s="182"/>
      <c r="P34" s="182"/>
    </row>
    <row r="35" spans="1:16" x14ac:dyDescent="0.25">
      <c r="A35" s="182"/>
      <c r="B35" s="182"/>
      <c r="C35" s="182"/>
      <c r="D35" s="182"/>
      <c r="E35" s="182"/>
      <c r="F35" s="182"/>
      <c r="G35" s="182"/>
      <c r="H35" s="182"/>
      <c r="I35" s="182"/>
      <c r="J35" s="182"/>
      <c r="K35" s="182"/>
      <c r="L35" s="182"/>
      <c r="M35" s="182"/>
      <c r="N35" s="182"/>
      <c r="O35" s="182"/>
      <c r="P35" s="182"/>
    </row>
  </sheetData>
  <mergeCells count="1">
    <mergeCell ref="A2:J2"/>
  </mergeCells>
  <phoneticPr fontId="16" type="noConversion"/>
  <printOptions horizontalCentered="1" verticalCentered="1"/>
  <pageMargins left="0.75" right="0.75" top="1" bottom="1" header="0.5" footer="0.5"/>
  <pageSetup orientation="portrait" r:id="rId1"/>
  <headerFooter alignWithMargins="0">
    <oddFooter>&amp;L&amp;7Source: Office of Institutional Research</oddFooter>
  </headerFooter>
  <drawing r:id="rId2"/>
  <webPublishItems count="1">
    <webPublishItem id="9517" divId="2001_2002 FACT BOOK FINAL COPY_9517" sourceType="sheet" destinationFile="C:\Documents and Settings\mkirkpatrick\My Documents\2005-2006 Fact Book\2005-2006 WEB PAGES\05-06africanamericanenrollmentandgraph.htm"/>
  </webPublishItem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J70"/>
  <sheetViews>
    <sheetView workbookViewId="0">
      <selection sqref="A1:J1"/>
    </sheetView>
  </sheetViews>
  <sheetFormatPr defaultColWidth="6.6640625" defaultRowHeight="13.2" x14ac:dyDescent="0.25"/>
  <cols>
    <col min="1" max="1" width="21.33203125" style="650" customWidth="1"/>
    <col min="2" max="5" width="6.6640625" style="650" hidden="1" customWidth="1"/>
    <col min="6" max="9" width="6.6640625" style="210" customWidth="1"/>
    <col min="10" max="10" width="7" style="210" bestFit="1" customWidth="1"/>
    <col min="11" max="16384" width="6.6640625" style="210"/>
  </cols>
  <sheetData>
    <row r="1" spans="1:10" ht="60" customHeight="1" x14ac:dyDescent="0.25">
      <c r="A1" s="2207" t="s">
        <v>1319</v>
      </c>
      <c r="B1" s="2207"/>
      <c r="C1" s="2207"/>
      <c r="D1" s="2207"/>
      <c r="E1" s="2207"/>
      <c r="F1" s="2207"/>
      <c r="G1" s="2207"/>
      <c r="H1" s="2207"/>
      <c r="I1" s="2207"/>
      <c r="J1" s="2207"/>
    </row>
    <row r="2" spans="1:10" x14ac:dyDescent="0.25">
      <c r="A2" s="651" t="s">
        <v>1320</v>
      </c>
      <c r="B2" s="652">
        <v>2007</v>
      </c>
      <c r="C2" s="652">
        <v>2008</v>
      </c>
      <c r="D2" s="652">
        <v>2009</v>
      </c>
      <c r="E2" s="652">
        <v>2010</v>
      </c>
      <c r="F2" s="652">
        <v>2011</v>
      </c>
      <c r="G2" s="652">
        <v>2012</v>
      </c>
      <c r="H2" s="652">
        <v>2013</v>
      </c>
      <c r="I2" s="652">
        <v>2014</v>
      </c>
      <c r="J2" s="652">
        <v>2015</v>
      </c>
    </row>
    <row r="3" spans="1:10" x14ac:dyDescent="0.25">
      <c r="A3" s="686"/>
      <c r="B3" s="687"/>
      <c r="C3" s="687"/>
      <c r="D3" s="687"/>
      <c r="E3" s="687"/>
      <c r="F3" s="687"/>
      <c r="G3" s="687"/>
      <c r="H3" s="687"/>
      <c r="I3" s="687"/>
      <c r="J3" s="687"/>
    </row>
    <row r="4" spans="1:10" x14ac:dyDescent="0.25">
      <c r="A4" s="884" t="s">
        <v>1322</v>
      </c>
      <c r="B4" s="654">
        <v>0</v>
      </c>
      <c r="C4" s="654">
        <v>1</v>
      </c>
      <c r="D4" s="1281">
        <v>1</v>
      </c>
      <c r="E4" s="1281">
        <v>1</v>
      </c>
      <c r="F4" s="1281">
        <v>1</v>
      </c>
      <c r="G4" s="1281">
        <v>1</v>
      </c>
      <c r="H4" s="1281">
        <v>4</v>
      </c>
      <c r="I4" s="1281">
        <v>0</v>
      </c>
      <c r="J4" s="1281">
        <v>0</v>
      </c>
    </row>
    <row r="5" spans="1:10" x14ac:dyDescent="0.25">
      <c r="A5" s="655" t="s">
        <v>1323</v>
      </c>
      <c r="B5" s="656">
        <v>1</v>
      </c>
      <c r="C5" s="656">
        <v>3</v>
      </c>
      <c r="D5" s="1282">
        <v>3</v>
      </c>
      <c r="E5" s="1282">
        <v>4</v>
      </c>
      <c r="F5" s="1282">
        <v>3</v>
      </c>
      <c r="G5" s="1282">
        <v>3</v>
      </c>
      <c r="H5" s="1282">
        <v>0</v>
      </c>
      <c r="I5" s="1282">
        <v>3</v>
      </c>
      <c r="J5" s="1282">
        <v>1</v>
      </c>
    </row>
    <row r="6" spans="1:10" x14ac:dyDescent="0.25">
      <c r="A6" s="885" t="s">
        <v>1434</v>
      </c>
      <c r="B6" s="656">
        <v>0</v>
      </c>
      <c r="C6" s="656">
        <v>1</v>
      </c>
      <c r="D6" s="1282">
        <v>0</v>
      </c>
      <c r="E6" s="1282">
        <v>0</v>
      </c>
      <c r="F6" s="1282">
        <v>0</v>
      </c>
      <c r="G6" s="1282">
        <v>0</v>
      </c>
      <c r="H6" s="1282">
        <v>0</v>
      </c>
      <c r="I6" s="1282">
        <v>0</v>
      </c>
      <c r="J6" s="1282">
        <v>0</v>
      </c>
    </row>
    <row r="7" spans="1:10" x14ac:dyDescent="0.25">
      <c r="A7" s="655" t="s">
        <v>1309</v>
      </c>
      <c r="B7" s="656">
        <v>1</v>
      </c>
      <c r="C7" s="656">
        <v>1</v>
      </c>
      <c r="D7" s="1282">
        <v>1</v>
      </c>
      <c r="E7" s="1282">
        <v>0</v>
      </c>
      <c r="F7" s="1282">
        <v>1</v>
      </c>
      <c r="G7" s="1282">
        <v>1</v>
      </c>
      <c r="H7" s="1282">
        <v>0</v>
      </c>
      <c r="I7" s="1282">
        <v>1</v>
      </c>
      <c r="J7" s="1282">
        <v>0</v>
      </c>
    </row>
    <row r="8" spans="1:10" x14ac:dyDescent="0.25">
      <c r="A8" s="655" t="s">
        <v>1324</v>
      </c>
      <c r="B8" s="656">
        <v>1</v>
      </c>
      <c r="C8" s="656">
        <v>1</v>
      </c>
      <c r="D8" s="1282">
        <v>1</v>
      </c>
      <c r="E8" s="1282">
        <v>1</v>
      </c>
      <c r="F8" s="1282">
        <v>1</v>
      </c>
      <c r="G8" s="1282">
        <v>1</v>
      </c>
      <c r="H8" s="1282">
        <v>0</v>
      </c>
      <c r="I8" s="1282">
        <v>0</v>
      </c>
      <c r="J8" s="1282">
        <v>0</v>
      </c>
    </row>
    <row r="9" spans="1:10" x14ac:dyDescent="0.25">
      <c r="A9" s="655" t="s">
        <v>1325</v>
      </c>
      <c r="B9" s="656">
        <v>0</v>
      </c>
      <c r="C9" s="656">
        <v>0</v>
      </c>
      <c r="D9" s="1282">
        <v>0</v>
      </c>
      <c r="E9" s="1282">
        <v>0</v>
      </c>
      <c r="F9" s="1282">
        <v>0</v>
      </c>
      <c r="G9" s="1282">
        <v>1</v>
      </c>
      <c r="H9" s="1282">
        <v>1</v>
      </c>
      <c r="I9" s="1282">
        <v>1</v>
      </c>
      <c r="J9" s="1282">
        <v>0</v>
      </c>
    </row>
    <row r="10" spans="1:10" x14ac:dyDescent="0.25">
      <c r="A10" s="655" t="s">
        <v>1326</v>
      </c>
      <c r="B10" s="656">
        <v>3</v>
      </c>
      <c r="C10" s="656">
        <v>5</v>
      </c>
      <c r="D10" s="1282">
        <v>4</v>
      </c>
      <c r="E10" s="1282">
        <v>4</v>
      </c>
      <c r="F10" s="1282">
        <v>4</v>
      </c>
      <c r="G10" s="1282">
        <v>3</v>
      </c>
      <c r="H10" s="1282">
        <v>4</v>
      </c>
      <c r="I10" s="1282">
        <v>2</v>
      </c>
      <c r="J10" s="1282">
        <v>1</v>
      </c>
    </row>
    <row r="11" spans="1:10" x14ac:dyDescent="0.25">
      <c r="A11" s="655" t="s">
        <v>1327</v>
      </c>
      <c r="B11" s="656">
        <v>2</v>
      </c>
      <c r="C11" s="656">
        <v>1</v>
      </c>
      <c r="D11" s="1282">
        <v>1</v>
      </c>
      <c r="E11" s="1282">
        <v>0</v>
      </c>
      <c r="F11" s="1282">
        <v>0</v>
      </c>
      <c r="G11" s="1282">
        <v>0</v>
      </c>
      <c r="H11" s="1282">
        <v>1</v>
      </c>
      <c r="I11" s="1282">
        <v>0</v>
      </c>
      <c r="J11" s="1282">
        <v>0</v>
      </c>
    </row>
    <row r="12" spans="1:10" x14ac:dyDescent="0.25">
      <c r="A12" s="655" t="s">
        <v>1328</v>
      </c>
      <c r="B12" s="656">
        <v>4</v>
      </c>
      <c r="C12" s="656">
        <v>4</v>
      </c>
      <c r="D12" s="1282">
        <v>5</v>
      </c>
      <c r="E12" s="1282">
        <v>5</v>
      </c>
      <c r="F12" s="1282">
        <v>5</v>
      </c>
      <c r="G12" s="1282">
        <v>2</v>
      </c>
      <c r="H12" s="1282">
        <v>2</v>
      </c>
      <c r="I12" s="1282">
        <v>3</v>
      </c>
      <c r="J12" s="1282">
        <v>3</v>
      </c>
    </row>
    <row r="13" spans="1:10" x14ac:dyDescent="0.25">
      <c r="A13" s="1157" t="s">
        <v>1568</v>
      </c>
      <c r="B13" s="656">
        <v>0</v>
      </c>
      <c r="C13" s="656">
        <v>0</v>
      </c>
      <c r="D13" s="1282">
        <v>0</v>
      </c>
      <c r="E13" s="1282">
        <v>0</v>
      </c>
      <c r="F13" s="1282">
        <v>0</v>
      </c>
      <c r="G13" s="1282">
        <v>13</v>
      </c>
      <c r="H13" s="1282">
        <v>17</v>
      </c>
      <c r="I13" s="1282">
        <v>21</v>
      </c>
      <c r="J13" s="1282">
        <v>23</v>
      </c>
    </row>
    <row r="14" spans="1:10" x14ac:dyDescent="0.25">
      <c r="A14" s="885" t="s">
        <v>1435</v>
      </c>
      <c r="B14" s="656">
        <v>0</v>
      </c>
      <c r="C14" s="656">
        <v>1</v>
      </c>
      <c r="D14" s="1282">
        <v>1</v>
      </c>
      <c r="E14" s="1282">
        <v>1</v>
      </c>
      <c r="F14" s="1282">
        <v>0</v>
      </c>
      <c r="G14" s="1282">
        <v>0</v>
      </c>
      <c r="H14" s="1282">
        <v>0</v>
      </c>
      <c r="I14" s="1282">
        <v>0</v>
      </c>
      <c r="J14" s="1282">
        <v>0</v>
      </c>
    </row>
    <row r="15" spans="1:10" x14ac:dyDescent="0.25">
      <c r="A15" s="885" t="s">
        <v>1751</v>
      </c>
      <c r="B15" s="1612">
        <v>0</v>
      </c>
      <c r="C15" s="1612">
        <v>0</v>
      </c>
      <c r="D15" s="1282">
        <v>0</v>
      </c>
      <c r="E15" s="1282">
        <v>0</v>
      </c>
      <c r="F15" s="1282">
        <v>0</v>
      </c>
      <c r="G15" s="1282">
        <v>0</v>
      </c>
      <c r="H15" s="1282">
        <v>0</v>
      </c>
      <c r="I15" s="1282">
        <v>0</v>
      </c>
      <c r="J15" s="1282">
        <v>1</v>
      </c>
    </row>
    <row r="16" spans="1:10" x14ac:dyDescent="0.25">
      <c r="A16" s="1613" t="s">
        <v>1671</v>
      </c>
      <c r="B16" s="1612">
        <v>0</v>
      </c>
      <c r="C16" s="1612">
        <v>0</v>
      </c>
      <c r="D16" s="1282">
        <v>0</v>
      </c>
      <c r="E16" s="1282">
        <v>0</v>
      </c>
      <c r="F16" s="1282">
        <v>0</v>
      </c>
      <c r="G16" s="1282">
        <v>0</v>
      </c>
      <c r="H16" s="1282">
        <v>0</v>
      </c>
      <c r="I16" s="1282">
        <v>1</v>
      </c>
      <c r="J16" s="1282">
        <v>1</v>
      </c>
    </row>
    <row r="17" spans="1:10" x14ac:dyDescent="0.25">
      <c r="A17" s="1613" t="s">
        <v>1752</v>
      </c>
      <c r="B17" s="1612">
        <v>0</v>
      </c>
      <c r="C17" s="1612">
        <v>0</v>
      </c>
      <c r="D17" s="1282">
        <v>0</v>
      </c>
      <c r="E17" s="1282">
        <v>0</v>
      </c>
      <c r="F17" s="1282">
        <v>0</v>
      </c>
      <c r="G17" s="1282">
        <v>0</v>
      </c>
      <c r="H17" s="1282">
        <v>0</v>
      </c>
      <c r="I17" s="1282">
        <v>0</v>
      </c>
      <c r="J17" s="1282">
        <v>1</v>
      </c>
    </row>
    <row r="18" spans="1:10" x14ac:dyDescent="0.25">
      <c r="A18" s="885" t="s">
        <v>1516</v>
      </c>
      <c r="B18" s="656">
        <v>0</v>
      </c>
      <c r="C18" s="656">
        <v>0</v>
      </c>
      <c r="D18" s="1282">
        <v>0</v>
      </c>
      <c r="E18" s="1282">
        <v>0</v>
      </c>
      <c r="F18" s="1282">
        <v>1</v>
      </c>
      <c r="G18" s="1282">
        <v>1</v>
      </c>
      <c r="H18" s="1282">
        <v>0</v>
      </c>
      <c r="I18" s="1282">
        <v>2</v>
      </c>
      <c r="J18" s="1282">
        <v>0</v>
      </c>
    </row>
    <row r="19" spans="1:10" x14ac:dyDescent="0.25">
      <c r="A19" s="655" t="s">
        <v>1329</v>
      </c>
      <c r="B19" s="656">
        <v>0</v>
      </c>
      <c r="C19" s="656">
        <v>0</v>
      </c>
      <c r="D19" s="1282">
        <v>0</v>
      </c>
      <c r="E19" s="1282">
        <v>0</v>
      </c>
      <c r="F19" s="1282">
        <v>0</v>
      </c>
      <c r="G19" s="1282">
        <v>1</v>
      </c>
      <c r="H19" s="1282">
        <v>1</v>
      </c>
      <c r="I19" s="1282">
        <v>0</v>
      </c>
      <c r="J19" s="1282">
        <v>0</v>
      </c>
    </row>
    <row r="20" spans="1:10" x14ac:dyDescent="0.25">
      <c r="A20" s="1613" t="s">
        <v>1753</v>
      </c>
      <c r="B20" s="1612">
        <v>0</v>
      </c>
      <c r="C20" s="1612">
        <v>0</v>
      </c>
      <c r="D20" s="1282">
        <v>0</v>
      </c>
      <c r="E20" s="1282">
        <v>0</v>
      </c>
      <c r="F20" s="1282">
        <v>0</v>
      </c>
      <c r="G20" s="1282">
        <v>0</v>
      </c>
      <c r="H20" s="1282">
        <v>0</v>
      </c>
      <c r="I20" s="1282">
        <v>0</v>
      </c>
      <c r="J20" s="1282">
        <v>1</v>
      </c>
    </row>
    <row r="21" spans="1:10" x14ac:dyDescent="0.25">
      <c r="A21" s="655" t="s">
        <v>1330</v>
      </c>
      <c r="B21" s="656">
        <v>4</v>
      </c>
      <c r="C21" s="656">
        <v>4</v>
      </c>
      <c r="D21" s="1282">
        <v>4</v>
      </c>
      <c r="E21" s="1282">
        <v>2</v>
      </c>
      <c r="F21" s="1282">
        <v>1</v>
      </c>
      <c r="G21" s="1282">
        <v>0</v>
      </c>
      <c r="H21" s="1282">
        <v>1</v>
      </c>
      <c r="I21" s="1282">
        <v>1</v>
      </c>
      <c r="J21" s="1282">
        <v>1</v>
      </c>
    </row>
    <row r="22" spans="1:10" x14ac:dyDescent="0.25">
      <c r="A22" s="655" t="s">
        <v>1331</v>
      </c>
      <c r="B22" s="656">
        <v>1</v>
      </c>
      <c r="C22" s="656">
        <v>2</v>
      </c>
      <c r="D22" s="1282">
        <v>4</v>
      </c>
      <c r="E22" s="1282">
        <v>4</v>
      </c>
      <c r="F22" s="1282">
        <v>7</v>
      </c>
      <c r="G22" s="1282">
        <v>8</v>
      </c>
      <c r="H22" s="1282">
        <v>11</v>
      </c>
      <c r="I22" s="1282">
        <v>8</v>
      </c>
      <c r="J22" s="1282">
        <v>7</v>
      </c>
    </row>
    <row r="23" spans="1:10" x14ac:dyDescent="0.25">
      <c r="A23" s="885" t="s">
        <v>1514</v>
      </c>
      <c r="B23" s="656">
        <v>0</v>
      </c>
      <c r="C23" s="656">
        <v>0</v>
      </c>
      <c r="D23" s="1282">
        <v>0</v>
      </c>
      <c r="E23" s="1282">
        <v>1</v>
      </c>
      <c r="F23" s="1282">
        <v>0</v>
      </c>
      <c r="G23" s="1282">
        <v>0</v>
      </c>
      <c r="H23" s="1282">
        <v>0</v>
      </c>
      <c r="I23" s="1282">
        <v>0</v>
      </c>
      <c r="J23" s="1282">
        <v>0</v>
      </c>
    </row>
    <row r="24" spans="1:10" x14ac:dyDescent="0.25">
      <c r="A24" s="655" t="s">
        <v>1332</v>
      </c>
      <c r="B24" s="656">
        <v>4</v>
      </c>
      <c r="C24" s="656">
        <v>2</v>
      </c>
      <c r="D24" s="1282">
        <v>1</v>
      </c>
      <c r="E24" s="1282">
        <v>3</v>
      </c>
      <c r="F24" s="1282">
        <v>4</v>
      </c>
      <c r="G24" s="1282">
        <v>2</v>
      </c>
      <c r="H24" s="1282">
        <v>4</v>
      </c>
      <c r="I24" s="1282">
        <v>3</v>
      </c>
      <c r="J24" s="1282">
        <v>3</v>
      </c>
    </row>
    <row r="25" spans="1:10" x14ac:dyDescent="0.25">
      <c r="A25" s="655" t="s">
        <v>1569</v>
      </c>
      <c r="B25" s="656"/>
      <c r="C25" s="656">
        <v>0</v>
      </c>
      <c r="D25" s="1282">
        <v>0</v>
      </c>
      <c r="E25" s="1282">
        <v>0</v>
      </c>
      <c r="F25" s="1282">
        <v>0</v>
      </c>
      <c r="G25" s="1282">
        <v>1</v>
      </c>
      <c r="H25" s="1282">
        <v>1</v>
      </c>
      <c r="I25" s="1282">
        <v>1</v>
      </c>
      <c r="J25" s="1282">
        <v>1</v>
      </c>
    </row>
    <row r="26" spans="1:10" x14ac:dyDescent="0.25">
      <c r="A26" s="655" t="s">
        <v>1333</v>
      </c>
      <c r="B26" s="656">
        <v>0</v>
      </c>
      <c r="C26" s="656">
        <v>0</v>
      </c>
      <c r="D26" s="1282">
        <v>0</v>
      </c>
      <c r="E26" s="1282">
        <v>1</v>
      </c>
      <c r="F26" s="1282">
        <v>1</v>
      </c>
      <c r="G26" s="1282">
        <v>1</v>
      </c>
      <c r="H26" s="1282">
        <v>0</v>
      </c>
      <c r="I26" s="1282">
        <v>0</v>
      </c>
      <c r="J26" s="1282">
        <v>0</v>
      </c>
    </row>
    <row r="27" spans="1:10" x14ac:dyDescent="0.25">
      <c r="A27" s="885" t="s">
        <v>1517</v>
      </c>
      <c r="B27" s="656">
        <v>0</v>
      </c>
      <c r="C27" s="656">
        <v>0</v>
      </c>
      <c r="D27" s="1282">
        <v>0</v>
      </c>
      <c r="E27" s="1282">
        <v>0</v>
      </c>
      <c r="F27" s="1282">
        <v>1</v>
      </c>
      <c r="G27" s="1282">
        <v>1</v>
      </c>
      <c r="H27" s="1282">
        <v>0</v>
      </c>
      <c r="I27" s="1282">
        <v>0</v>
      </c>
      <c r="J27" s="1282">
        <v>0</v>
      </c>
    </row>
    <row r="28" spans="1:10" x14ac:dyDescent="0.25">
      <c r="A28" s="655" t="s">
        <v>159</v>
      </c>
      <c r="B28" s="656">
        <v>1</v>
      </c>
      <c r="C28" s="656">
        <v>1</v>
      </c>
      <c r="D28" s="1282">
        <v>1</v>
      </c>
      <c r="E28" s="1282">
        <v>0</v>
      </c>
      <c r="F28" s="1282">
        <v>1</v>
      </c>
      <c r="G28" s="1282">
        <v>2</v>
      </c>
      <c r="H28" s="1282">
        <v>1</v>
      </c>
      <c r="I28" s="1282">
        <v>1</v>
      </c>
      <c r="J28" s="1282">
        <v>1</v>
      </c>
    </row>
    <row r="29" spans="1:10" x14ac:dyDescent="0.25">
      <c r="A29" s="885" t="s">
        <v>1515</v>
      </c>
      <c r="B29" s="656">
        <v>0</v>
      </c>
      <c r="C29" s="656">
        <v>0</v>
      </c>
      <c r="D29" s="1282">
        <v>0</v>
      </c>
      <c r="E29" s="1282">
        <v>1</v>
      </c>
      <c r="F29" s="1282">
        <v>0</v>
      </c>
      <c r="G29" s="1282">
        <v>0</v>
      </c>
      <c r="H29" s="1282">
        <v>0</v>
      </c>
      <c r="I29" s="1282">
        <v>0</v>
      </c>
      <c r="J29" s="1282">
        <v>0</v>
      </c>
    </row>
    <row r="30" spans="1:10" x14ac:dyDescent="0.25">
      <c r="A30" s="655" t="s">
        <v>271</v>
      </c>
      <c r="B30" s="656">
        <v>1</v>
      </c>
      <c r="C30" s="656">
        <v>1</v>
      </c>
      <c r="D30" s="1282">
        <v>1</v>
      </c>
      <c r="E30" s="1282">
        <v>1</v>
      </c>
      <c r="F30" s="1282">
        <v>1</v>
      </c>
      <c r="G30" s="1282">
        <v>0</v>
      </c>
      <c r="H30" s="1282">
        <v>0</v>
      </c>
      <c r="I30" s="1282">
        <v>0</v>
      </c>
      <c r="J30" s="1282">
        <v>0</v>
      </c>
    </row>
    <row r="31" spans="1:10" x14ac:dyDescent="0.25">
      <c r="A31" s="885" t="s">
        <v>605</v>
      </c>
      <c r="B31" s="656">
        <v>0</v>
      </c>
      <c r="C31" s="656">
        <v>0</v>
      </c>
      <c r="D31" s="1282">
        <v>0</v>
      </c>
      <c r="E31" s="1282">
        <v>1</v>
      </c>
      <c r="F31" s="1282">
        <v>0</v>
      </c>
      <c r="G31" s="1282">
        <v>0</v>
      </c>
      <c r="H31" s="1282">
        <v>0</v>
      </c>
      <c r="I31" s="1282">
        <v>0</v>
      </c>
      <c r="J31" s="1282">
        <v>1</v>
      </c>
    </row>
    <row r="32" spans="1:10" x14ac:dyDescent="0.25">
      <c r="A32" s="885" t="s">
        <v>1672</v>
      </c>
      <c r="B32" s="1612">
        <v>0</v>
      </c>
      <c r="C32" s="1612">
        <v>0</v>
      </c>
      <c r="D32" s="1282">
        <v>0</v>
      </c>
      <c r="E32" s="1282">
        <v>0</v>
      </c>
      <c r="F32" s="1282">
        <v>0</v>
      </c>
      <c r="G32" s="1282">
        <v>0</v>
      </c>
      <c r="H32" s="1282">
        <v>0</v>
      </c>
      <c r="I32" s="1282">
        <v>1</v>
      </c>
      <c r="J32" s="1282">
        <v>0</v>
      </c>
    </row>
    <row r="33" spans="1:10" x14ac:dyDescent="0.25">
      <c r="A33" s="885" t="s">
        <v>1518</v>
      </c>
      <c r="B33" s="656">
        <v>0</v>
      </c>
      <c r="C33" s="656">
        <v>0</v>
      </c>
      <c r="D33" s="1282">
        <v>0</v>
      </c>
      <c r="E33" s="1282">
        <v>0</v>
      </c>
      <c r="F33" s="1282">
        <v>4</v>
      </c>
      <c r="G33" s="1282">
        <v>13</v>
      </c>
      <c r="H33" s="1282">
        <v>18</v>
      </c>
      <c r="I33" s="1282">
        <v>16</v>
      </c>
      <c r="J33" s="1282">
        <v>18</v>
      </c>
    </row>
    <row r="34" spans="1:10" ht="13.5" customHeight="1" x14ac:dyDescent="0.25">
      <c r="A34" s="1070" t="s">
        <v>838</v>
      </c>
      <c r="B34" s="656">
        <v>0</v>
      </c>
      <c r="C34" s="656">
        <v>0</v>
      </c>
      <c r="D34" s="1282">
        <v>0</v>
      </c>
      <c r="E34" s="1282">
        <v>0</v>
      </c>
      <c r="F34" s="1282">
        <v>0</v>
      </c>
      <c r="G34" s="1282">
        <v>0</v>
      </c>
      <c r="H34" s="1282">
        <v>0</v>
      </c>
      <c r="I34" s="1282">
        <v>0</v>
      </c>
      <c r="J34" s="1282">
        <v>0</v>
      </c>
    </row>
    <row r="35" spans="1:10" ht="13.5" customHeight="1" x14ac:dyDescent="0.25">
      <c r="A35" s="1071" t="s">
        <v>1512</v>
      </c>
      <c r="B35" s="656">
        <v>0</v>
      </c>
      <c r="C35" s="656">
        <v>0</v>
      </c>
      <c r="D35" s="1282">
        <v>1</v>
      </c>
      <c r="E35" s="1282">
        <v>0</v>
      </c>
      <c r="F35" s="1282">
        <v>0</v>
      </c>
      <c r="G35" s="1282">
        <v>0</v>
      </c>
      <c r="H35" s="1282">
        <v>0</v>
      </c>
      <c r="I35" s="1282">
        <v>0</v>
      </c>
      <c r="J35" s="1282">
        <v>0</v>
      </c>
    </row>
    <row r="36" spans="1:10" ht="13.5" customHeight="1" x14ac:dyDescent="0.25">
      <c r="A36" s="1158" t="s">
        <v>1570</v>
      </c>
      <c r="B36" s="656"/>
      <c r="C36" s="656">
        <v>0</v>
      </c>
      <c r="D36" s="1282">
        <v>0</v>
      </c>
      <c r="E36" s="1282">
        <v>0</v>
      </c>
      <c r="F36" s="1282">
        <v>0</v>
      </c>
      <c r="G36" s="1282">
        <v>1</v>
      </c>
      <c r="H36" s="1282">
        <v>2</v>
      </c>
      <c r="I36" s="1282">
        <v>1</v>
      </c>
      <c r="J36" s="1282">
        <v>1</v>
      </c>
    </row>
    <row r="37" spans="1:10" x14ac:dyDescent="0.25">
      <c r="A37" s="1070" t="s">
        <v>839</v>
      </c>
      <c r="B37" s="656">
        <v>0</v>
      </c>
      <c r="C37" s="656">
        <v>0</v>
      </c>
      <c r="D37" s="1282">
        <v>0</v>
      </c>
      <c r="E37" s="1282">
        <v>0</v>
      </c>
      <c r="F37" s="1282">
        <v>0</v>
      </c>
      <c r="G37" s="1282">
        <v>0</v>
      </c>
      <c r="H37" s="1282">
        <v>0</v>
      </c>
      <c r="I37" s="1282">
        <v>0</v>
      </c>
      <c r="J37" s="1282">
        <v>0</v>
      </c>
    </row>
    <row r="38" spans="1:10" x14ac:dyDescent="0.25">
      <c r="A38" s="655" t="s">
        <v>1334</v>
      </c>
      <c r="B38" s="656">
        <v>2</v>
      </c>
      <c r="C38" s="656">
        <v>1</v>
      </c>
      <c r="D38" s="1282">
        <v>1</v>
      </c>
      <c r="E38" s="1282">
        <v>1</v>
      </c>
      <c r="F38" s="1282">
        <v>1</v>
      </c>
      <c r="G38" s="1282">
        <v>1</v>
      </c>
      <c r="H38" s="1282">
        <v>0</v>
      </c>
      <c r="I38" s="1282">
        <v>0</v>
      </c>
      <c r="J38" s="1282">
        <v>0</v>
      </c>
    </row>
    <row r="39" spans="1:10" x14ac:dyDescent="0.25">
      <c r="A39" s="1613" t="s">
        <v>1754</v>
      </c>
      <c r="B39" s="1612">
        <v>0</v>
      </c>
      <c r="C39" s="1612">
        <v>0</v>
      </c>
      <c r="D39" s="1282">
        <v>0</v>
      </c>
      <c r="E39" s="1282">
        <v>0</v>
      </c>
      <c r="F39" s="1282">
        <v>0</v>
      </c>
      <c r="G39" s="1282">
        <v>0</v>
      </c>
      <c r="H39" s="1282">
        <v>0</v>
      </c>
      <c r="I39" s="1282">
        <v>0</v>
      </c>
      <c r="J39" s="1282">
        <v>1</v>
      </c>
    </row>
    <row r="40" spans="1:10" x14ac:dyDescent="0.25">
      <c r="A40" s="655" t="s">
        <v>1335</v>
      </c>
      <c r="B40" s="656">
        <v>1</v>
      </c>
      <c r="C40" s="656">
        <v>1</v>
      </c>
      <c r="D40" s="1282">
        <v>0</v>
      </c>
      <c r="E40" s="1282">
        <v>0</v>
      </c>
      <c r="F40" s="1282">
        <v>0</v>
      </c>
      <c r="G40" s="1282">
        <v>0</v>
      </c>
      <c r="H40" s="1282">
        <v>0</v>
      </c>
      <c r="I40" s="1282">
        <v>0</v>
      </c>
      <c r="J40" s="1282">
        <v>0</v>
      </c>
    </row>
    <row r="41" spans="1:10" x14ac:dyDescent="0.25">
      <c r="A41" s="1157" t="s">
        <v>1571</v>
      </c>
      <c r="B41" s="656"/>
      <c r="C41" s="656">
        <v>0</v>
      </c>
      <c r="D41" s="1282">
        <v>0</v>
      </c>
      <c r="E41" s="1282">
        <v>0</v>
      </c>
      <c r="F41" s="1282">
        <v>0</v>
      </c>
      <c r="G41" s="1282">
        <v>1</v>
      </c>
      <c r="H41" s="1282">
        <v>1</v>
      </c>
      <c r="I41" s="1282">
        <v>1</v>
      </c>
      <c r="J41" s="1282">
        <v>1</v>
      </c>
    </row>
    <row r="42" spans="1:10" x14ac:dyDescent="0.25">
      <c r="A42" s="1071" t="s">
        <v>1519</v>
      </c>
      <c r="B42" s="656">
        <v>0</v>
      </c>
      <c r="C42" s="656">
        <v>0</v>
      </c>
      <c r="D42" s="1282">
        <v>0</v>
      </c>
      <c r="E42" s="1282">
        <v>0</v>
      </c>
      <c r="F42" s="1282">
        <v>1</v>
      </c>
      <c r="G42" s="1282">
        <v>1</v>
      </c>
      <c r="H42" s="1282">
        <v>0</v>
      </c>
      <c r="I42" s="1282">
        <v>0</v>
      </c>
      <c r="J42" s="1282">
        <v>0</v>
      </c>
    </row>
    <row r="43" spans="1:10" x14ac:dyDescent="0.25">
      <c r="A43" s="1280" t="s">
        <v>1626</v>
      </c>
      <c r="B43" s="1279">
        <v>0</v>
      </c>
      <c r="C43" s="1279">
        <v>0</v>
      </c>
      <c r="D43" s="1282">
        <v>0</v>
      </c>
      <c r="E43" s="1282">
        <v>0</v>
      </c>
      <c r="F43" s="1282">
        <v>0</v>
      </c>
      <c r="G43" s="1282">
        <v>0</v>
      </c>
      <c r="H43" s="1282">
        <v>1</v>
      </c>
      <c r="I43" s="1282">
        <v>0</v>
      </c>
      <c r="J43" s="1282">
        <v>0</v>
      </c>
    </row>
    <row r="44" spans="1:10" x14ac:dyDescent="0.25">
      <c r="A44" s="1158" t="s">
        <v>1572</v>
      </c>
      <c r="B44" s="656"/>
      <c r="C44" s="656">
        <v>0</v>
      </c>
      <c r="D44" s="1282">
        <v>0</v>
      </c>
      <c r="E44" s="1282">
        <v>0</v>
      </c>
      <c r="F44" s="1282">
        <v>0</v>
      </c>
      <c r="G44" s="1282">
        <v>1</v>
      </c>
      <c r="H44" s="1282">
        <v>1</v>
      </c>
      <c r="I44" s="1282">
        <v>1</v>
      </c>
      <c r="J44" s="1282">
        <v>1</v>
      </c>
    </row>
    <row r="45" spans="1:10" x14ac:dyDescent="0.25">
      <c r="A45" s="1280" t="s">
        <v>802</v>
      </c>
      <c r="B45" s="1612">
        <v>0</v>
      </c>
      <c r="C45" s="1612">
        <v>0</v>
      </c>
      <c r="D45" s="1282">
        <v>0</v>
      </c>
      <c r="E45" s="1282">
        <v>0</v>
      </c>
      <c r="F45" s="1282">
        <v>0</v>
      </c>
      <c r="G45" s="1282">
        <v>0</v>
      </c>
      <c r="H45" s="1282">
        <v>0</v>
      </c>
      <c r="I45" s="1282">
        <v>1</v>
      </c>
      <c r="J45" s="1282">
        <v>1</v>
      </c>
    </row>
    <row r="46" spans="1:10" x14ac:dyDescent="0.25">
      <c r="A46" s="1280" t="s">
        <v>1755</v>
      </c>
      <c r="B46" s="1612">
        <v>0</v>
      </c>
      <c r="C46" s="1612">
        <v>0</v>
      </c>
      <c r="D46" s="1282">
        <v>0</v>
      </c>
      <c r="E46" s="1282">
        <v>0</v>
      </c>
      <c r="F46" s="1282">
        <v>0</v>
      </c>
      <c r="G46" s="1282">
        <v>0</v>
      </c>
      <c r="H46" s="1282">
        <v>0</v>
      </c>
      <c r="I46" s="1282">
        <v>0</v>
      </c>
      <c r="J46" s="1282">
        <v>1</v>
      </c>
    </row>
    <row r="47" spans="1:10" x14ac:dyDescent="0.25">
      <c r="A47" s="1070" t="s">
        <v>1117</v>
      </c>
      <c r="B47" s="656">
        <v>1</v>
      </c>
      <c r="C47" s="656">
        <v>1</v>
      </c>
      <c r="D47" s="1282">
        <v>1</v>
      </c>
      <c r="E47" s="1282">
        <v>2</v>
      </c>
      <c r="F47" s="1282">
        <v>2</v>
      </c>
      <c r="G47" s="1282">
        <v>2</v>
      </c>
      <c r="H47" s="1282">
        <v>2</v>
      </c>
      <c r="I47" s="1282">
        <v>0</v>
      </c>
      <c r="J47" s="1282">
        <v>0</v>
      </c>
    </row>
    <row r="48" spans="1:10" x14ac:dyDescent="0.25">
      <c r="A48" s="1614" t="s">
        <v>1513</v>
      </c>
      <c r="B48" s="656">
        <v>0</v>
      </c>
      <c r="C48" s="656">
        <v>0</v>
      </c>
      <c r="D48" s="1282">
        <v>1</v>
      </c>
      <c r="E48" s="1282">
        <v>1</v>
      </c>
      <c r="F48" s="1282">
        <v>1</v>
      </c>
      <c r="G48" s="1282">
        <v>0</v>
      </c>
      <c r="H48" s="1282">
        <v>0</v>
      </c>
      <c r="I48" s="1282">
        <v>0</v>
      </c>
      <c r="J48" s="1282">
        <v>0</v>
      </c>
    </row>
    <row r="49" spans="1:10" x14ac:dyDescent="0.25">
      <c r="A49" s="1615" t="s">
        <v>1336</v>
      </c>
      <c r="B49" s="656">
        <v>0</v>
      </c>
      <c r="C49" s="656">
        <v>0</v>
      </c>
      <c r="D49" s="1282">
        <v>0</v>
      </c>
      <c r="E49" s="1282">
        <v>1</v>
      </c>
      <c r="F49" s="1282">
        <v>1</v>
      </c>
      <c r="G49" s="1282">
        <v>1</v>
      </c>
      <c r="H49" s="1282">
        <v>0</v>
      </c>
      <c r="I49" s="1282">
        <v>0</v>
      </c>
      <c r="J49" s="1282">
        <v>0</v>
      </c>
    </row>
    <row r="50" spans="1:10" x14ac:dyDescent="0.25">
      <c r="A50" s="1282" t="s">
        <v>1118</v>
      </c>
      <c r="B50" s="656">
        <v>1</v>
      </c>
      <c r="C50" s="656">
        <v>0</v>
      </c>
      <c r="D50" s="1282">
        <v>0</v>
      </c>
      <c r="E50" s="1282">
        <v>0</v>
      </c>
      <c r="F50" s="1282">
        <v>0</v>
      </c>
      <c r="G50" s="1282">
        <v>2</v>
      </c>
      <c r="H50" s="1282">
        <v>3</v>
      </c>
      <c r="I50" s="1282">
        <v>0</v>
      </c>
      <c r="J50" s="1282">
        <v>1</v>
      </c>
    </row>
    <row r="51" spans="1:10" x14ac:dyDescent="0.25">
      <c r="A51" s="1282" t="s">
        <v>1337</v>
      </c>
      <c r="B51" s="656">
        <v>2</v>
      </c>
      <c r="C51" s="656">
        <v>5</v>
      </c>
      <c r="D51" s="1282">
        <v>3</v>
      </c>
      <c r="E51" s="1282">
        <v>4</v>
      </c>
      <c r="F51" s="1282">
        <v>5</v>
      </c>
      <c r="G51" s="1282">
        <v>5</v>
      </c>
      <c r="H51" s="1282">
        <v>3</v>
      </c>
      <c r="I51" s="1282">
        <v>1</v>
      </c>
      <c r="J51" s="1282">
        <v>3</v>
      </c>
    </row>
    <row r="52" spans="1:10" x14ac:dyDescent="0.25">
      <c r="A52" s="1614" t="s">
        <v>1627</v>
      </c>
      <c r="B52" s="1279">
        <v>0</v>
      </c>
      <c r="C52" s="1279">
        <v>0</v>
      </c>
      <c r="D52" s="1282">
        <v>0</v>
      </c>
      <c r="E52" s="1282">
        <v>0</v>
      </c>
      <c r="F52" s="1282">
        <v>0</v>
      </c>
      <c r="G52" s="1282">
        <v>0</v>
      </c>
      <c r="H52" s="1282">
        <v>1</v>
      </c>
      <c r="I52" s="1282">
        <v>1</v>
      </c>
      <c r="J52" s="1282">
        <v>1</v>
      </c>
    </row>
    <row r="53" spans="1:10" x14ac:dyDescent="0.25">
      <c r="A53" s="1282" t="s">
        <v>1119</v>
      </c>
      <c r="B53" s="656">
        <v>0</v>
      </c>
      <c r="C53" s="656">
        <v>0</v>
      </c>
      <c r="D53" s="1282">
        <v>0</v>
      </c>
      <c r="E53" s="1282">
        <v>0</v>
      </c>
      <c r="F53" s="1282">
        <v>0</v>
      </c>
      <c r="G53" s="1282">
        <v>0</v>
      </c>
      <c r="H53" s="1282">
        <v>0</v>
      </c>
      <c r="I53" s="1282">
        <v>0</v>
      </c>
      <c r="J53" s="1282">
        <v>0</v>
      </c>
    </row>
    <row r="54" spans="1:10" x14ac:dyDescent="0.25">
      <c r="A54" s="1282" t="s">
        <v>840</v>
      </c>
      <c r="B54" s="656">
        <v>1</v>
      </c>
      <c r="C54" s="656">
        <v>1</v>
      </c>
      <c r="D54" s="1282">
        <v>0</v>
      </c>
      <c r="E54" s="1282">
        <v>0</v>
      </c>
      <c r="F54" s="1282">
        <v>0</v>
      </c>
      <c r="G54" s="1282">
        <v>0</v>
      </c>
      <c r="H54" s="1282">
        <v>0</v>
      </c>
      <c r="I54" s="1282">
        <v>1</v>
      </c>
      <c r="J54" s="1282">
        <v>0</v>
      </c>
    </row>
    <row r="55" spans="1:10" x14ac:dyDescent="0.25">
      <c r="A55" s="1282" t="s">
        <v>272</v>
      </c>
      <c r="B55" s="656">
        <v>1</v>
      </c>
      <c r="C55" s="656">
        <v>1</v>
      </c>
      <c r="D55" s="1282">
        <v>0</v>
      </c>
      <c r="E55" s="1282">
        <v>0</v>
      </c>
      <c r="F55" s="1282">
        <v>0</v>
      </c>
      <c r="G55" s="1282">
        <v>0</v>
      </c>
      <c r="H55" s="1282">
        <v>0</v>
      </c>
      <c r="I55" s="1282">
        <v>0</v>
      </c>
      <c r="J55" s="1282">
        <v>0</v>
      </c>
    </row>
    <row r="56" spans="1:10" x14ac:dyDescent="0.25">
      <c r="A56" s="1282" t="s">
        <v>273</v>
      </c>
      <c r="B56" s="656">
        <v>1</v>
      </c>
      <c r="C56" s="656">
        <v>1</v>
      </c>
      <c r="D56" s="1282">
        <v>0</v>
      </c>
      <c r="E56" s="1282">
        <v>0</v>
      </c>
      <c r="F56" s="1282">
        <v>0</v>
      </c>
      <c r="G56" s="1282">
        <v>0</v>
      </c>
      <c r="H56" s="1282">
        <v>0</v>
      </c>
      <c r="I56" s="1282">
        <v>0</v>
      </c>
      <c r="J56" s="1282">
        <v>0</v>
      </c>
    </row>
    <row r="57" spans="1:10" x14ac:dyDescent="0.25">
      <c r="A57" s="1282" t="s">
        <v>1339</v>
      </c>
      <c r="B57" s="656">
        <v>17</v>
      </c>
      <c r="C57" s="656">
        <v>17</v>
      </c>
      <c r="D57" s="1282">
        <v>17</v>
      </c>
      <c r="E57" s="1282">
        <v>16</v>
      </c>
      <c r="F57" s="1282">
        <v>10</v>
      </c>
      <c r="G57" s="1282">
        <v>12</v>
      </c>
      <c r="H57" s="1282">
        <v>10</v>
      </c>
      <c r="I57" s="1282">
        <v>16</v>
      </c>
      <c r="J57" s="1282">
        <v>21</v>
      </c>
    </row>
    <row r="58" spans="1:10" x14ac:dyDescent="0.25">
      <c r="A58" s="1282" t="s">
        <v>1366</v>
      </c>
      <c r="B58" s="656">
        <v>0</v>
      </c>
      <c r="C58" s="656">
        <v>0</v>
      </c>
      <c r="D58" s="1282">
        <v>0</v>
      </c>
      <c r="E58" s="1282">
        <v>0</v>
      </c>
      <c r="F58" s="1282">
        <v>0</v>
      </c>
      <c r="G58" s="1282">
        <v>0</v>
      </c>
      <c r="H58" s="1282">
        <v>0</v>
      </c>
      <c r="I58" s="1282">
        <v>0</v>
      </c>
      <c r="J58" s="1282">
        <v>0</v>
      </c>
    </row>
    <row r="59" spans="1:10" x14ac:dyDescent="0.25">
      <c r="A59" s="1614" t="s">
        <v>1628</v>
      </c>
      <c r="B59" s="1279">
        <v>0</v>
      </c>
      <c r="C59" s="1279">
        <v>0</v>
      </c>
      <c r="D59" s="1282">
        <v>0</v>
      </c>
      <c r="E59" s="1282">
        <v>0</v>
      </c>
      <c r="F59" s="1282">
        <v>0</v>
      </c>
      <c r="G59" s="1282">
        <v>0</v>
      </c>
      <c r="H59" s="1282">
        <v>1</v>
      </c>
      <c r="I59" s="1282">
        <v>1</v>
      </c>
      <c r="J59" s="1282">
        <v>3</v>
      </c>
    </row>
    <row r="60" spans="1:10" x14ac:dyDescent="0.25">
      <c r="A60" s="1282" t="s">
        <v>1340</v>
      </c>
      <c r="B60" s="656">
        <v>0</v>
      </c>
      <c r="C60" s="656">
        <v>0</v>
      </c>
      <c r="D60" s="1282">
        <v>0</v>
      </c>
      <c r="E60" s="1282">
        <v>0</v>
      </c>
      <c r="F60" s="1282">
        <v>0</v>
      </c>
      <c r="G60" s="1282">
        <v>0</v>
      </c>
      <c r="H60" s="1282">
        <v>0</v>
      </c>
      <c r="I60" s="1282">
        <v>0</v>
      </c>
      <c r="J60" s="1282">
        <v>0</v>
      </c>
    </row>
    <row r="61" spans="1:10" x14ac:dyDescent="0.25">
      <c r="A61" s="1282" t="s">
        <v>1341</v>
      </c>
      <c r="B61" s="656">
        <v>0</v>
      </c>
      <c r="C61" s="656">
        <v>0</v>
      </c>
      <c r="D61" s="1282">
        <v>0</v>
      </c>
      <c r="E61" s="1282">
        <v>0</v>
      </c>
      <c r="F61" s="1282">
        <v>0</v>
      </c>
      <c r="G61" s="1282">
        <v>0</v>
      </c>
      <c r="H61" s="1282">
        <v>0</v>
      </c>
      <c r="I61" s="1282">
        <v>0</v>
      </c>
      <c r="J61" s="1282">
        <v>0</v>
      </c>
    </row>
    <row r="62" spans="1:10" x14ac:dyDescent="0.25">
      <c r="A62" s="655" t="s">
        <v>1342</v>
      </c>
      <c r="B62" s="656">
        <v>9</v>
      </c>
      <c r="C62" s="656">
        <v>10</v>
      </c>
      <c r="D62" s="1282">
        <v>7</v>
      </c>
      <c r="E62" s="1282">
        <v>5</v>
      </c>
      <c r="F62" s="1282">
        <v>3</v>
      </c>
      <c r="G62" s="1282">
        <v>2</v>
      </c>
      <c r="H62" s="1282">
        <v>2</v>
      </c>
      <c r="I62" s="1282">
        <v>4</v>
      </c>
      <c r="J62" s="1282">
        <v>4</v>
      </c>
    </row>
    <row r="63" spans="1:10" x14ac:dyDescent="0.25">
      <c r="A63" s="684"/>
      <c r="B63" s="685"/>
      <c r="C63" s="685"/>
      <c r="D63" s="685"/>
      <c r="E63" s="685"/>
      <c r="F63" s="685"/>
      <c r="G63" s="685"/>
      <c r="H63" s="685"/>
      <c r="I63" s="685"/>
      <c r="J63" s="685"/>
    </row>
    <row r="64" spans="1:10" x14ac:dyDescent="0.25">
      <c r="A64" s="653" t="s">
        <v>1343</v>
      </c>
      <c r="B64" s="656">
        <f t="shared" ref="B64:G64" si="0">SUM(B4:B62)</f>
        <v>59</v>
      </c>
      <c r="C64" s="656">
        <f t="shared" si="0"/>
        <v>66</v>
      </c>
      <c r="D64" s="656">
        <f t="shared" si="0"/>
        <v>59</v>
      </c>
      <c r="E64" s="656">
        <f t="shared" si="0"/>
        <v>60</v>
      </c>
      <c r="F64" s="656">
        <f t="shared" si="0"/>
        <v>60</v>
      </c>
      <c r="G64" s="656">
        <f t="shared" si="0"/>
        <v>84</v>
      </c>
      <c r="H64" s="656">
        <f>SUM(H4:H62)</f>
        <v>93</v>
      </c>
      <c r="I64" s="656">
        <f>SUM(I4:I62)</f>
        <v>93</v>
      </c>
      <c r="J64" s="656">
        <f>SUM(J4:J62)</f>
        <v>103</v>
      </c>
    </row>
    <row r="65" spans="1:10" x14ac:dyDescent="0.25">
      <c r="A65" s="655" t="s">
        <v>1344</v>
      </c>
      <c r="B65" s="656">
        <v>2268</v>
      </c>
      <c r="C65" s="656">
        <v>2424</v>
      </c>
      <c r="D65" s="656">
        <v>2627</v>
      </c>
      <c r="E65" s="656">
        <v>2837</v>
      </c>
      <c r="F65" s="656">
        <v>2851</v>
      </c>
      <c r="G65" s="656">
        <v>2807</v>
      </c>
      <c r="H65" s="656">
        <v>2649</v>
      </c>
      <c r="I65" s="656">
        <v>2551</v>
      </c>
      <c r="J65" s="656">
        <v>2462</v>
      </c>
    </row>
    <row r="66" spans="1:10" x14ac:dyDescent="0.25">
      <c r="A66" s="655" t="s">
        <v>1318</v>
      </c>
      <c r="B66" s="656">
        <v>81</v>
      </c>
      <c r="C66" s="656">
        <v>124</v>
      </c>
      <c r="D66" s="656">
        <v>152</v>
      </c>
      <c r="E66" s="656">
        <v>163</v>
      </c>
      <c r="F66" s="656">
        <v>158</v>
      </c>
      <c r="G66" s="656">
        <v>158</v>
      </c>
      <c r="H66" s="656">
        <v>135</v>
      </c>
      <c r="I66" s="656">
        <v>143</v>
      </c>
      <c r="J66" s="656">
        <v>136</v>
      </c>
    </row>
    <row r="67" spans="1:10" x14ac:dyDescent="0.25">
      <c r="A67" s="684"/>
      <c r="B67" s="685"/>
      <c r="C67" s="685"/>
      <c r="D67" s="685"/>
      <c r="E67" s="685"/>
      <c r="F67" s="685"/>
      <c r="G67" s="685"/>
      <c r="H67" s="685"/>
      <c r="I67" s="685"/>
      <c r="J67" s="685"/>
    </row>
    <row r="68" spans="1:10" x14ac:dyDescent="0.25">
      <c r="A68" s="657" t="s">
        <v>1003</v>
      </c>
      <c r="B68" s="658">
        <f t="shared" ref="B68:G68" si="1">SUM(B64:B66)</f>
        <v>2408</v>
      </c>
      <c r="C68" s="658">
        <f t="shared" si="1"/>
        <v>2614</v>
      </c>
      <c r="D68" s="658">
        <f t="shared" si="1"/>
        <v>2838</v>
      </c>
      <c r="E68" s="658">
        <f t="shared" si="1"/>
        <v>3060</v>
      </c>
      <c r="F68" s="658">
        <f t="shared" si="1"/>
        <v>3069</v>
      </c>
      <c r="G68" s="658">
        <f t="shared" si="1"/>
        <v>3049</v>
      </c>
      <c r="H68" s="658">
        <f>SUM(H64:H66)</f>
        <v>2877</v>
      </c>
      <c r="I68" s="658">
        <f>SUM(I64:I66)</f>
        <v>2787</v>
      </c>
      <c r="J68" s="658">
        <f>SUM(J64:J66)</f>
        <v>2701</v>
      </c>
    </row>
    <row r="69" spans="1:10" x14ac:dyDescent="0.25">
      <c r="D69" s="194"/>
      <c r="E69" s="194"/>
      <c r="F69" s="194"/>
      <c r="G69" s="194"/>
    </row>
    <row r="70" spans="1:10" x14ac:dyDescent="0.25">
      <c r="F70" s="650"/>
      <c r="G70" s="650"/>
      <c r="H70" s="650"/>
      <c r="I70" s="650"/>
    </row>
  </sheetData>
  <mergeCells count="1">
    <mergeCell ref="A1:J1"/>
  </mergeCells>
  <phoneticPr fontId="16" type="noConversion"/>
  <printOptions horizontalCentered="1" verticalCentered="1"/>
  <pageMargins left="0.75" right="0.75" top="1" bottom="1" header="0.5" footer="0.5"/>
  <pageSetup scale="73" orientation="portrait" r:id="rId1"/>
  <headerFooter alignWithMargins="0">
    <oddFooter>&amp;L&amp;8Source: Office of Institutional Research</oddFooter>
  </headerFooter>
  <webPublishItems count="1">
    <webPublishItem id="3127" divId="2001_2002 FACT BOOK FINAL COPY_3127" sourceType="sheet" destinationFile="U:\My Documents\2004-2005 FACT BOOK\2004-2005 fact book WEB PAGES\04-05geodistributionbyCOUNTRY.htm"/>
  </webPublishItem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workbookViewId="0"/>
  </sheetViews>
  <sheetFormatPr defaultRowHeight="13.2" x14ac:dyDescent="0.25"/>
  <cols>
    <col min="1" max="1" width="2.109375" customWidth="1"/>
  </cols>
  <sheetData>
    <row r="1" spans="1:12" ht="15.6" x14ac:dyDescent="0.25">
      <c r="B1" s="2109" t="s">
        <v>1308</v>
      </c>
      <c r="C1" s="2109"/>
      <c r="D1" s="2109"/>
      <c r="E1" s="2109"/>
      <c r="F1" s="2109"/>
      <c r="G1" s="2109"/>
      <c r="H1" s="2109"/>
      <c r="I1" s="2109"/>
      <c r="J1" s="2109"/>
      <c r="K1" s="2109"/>
      <c r="L1" s="2109"/>
    </row>
    <row r="2" spans="1:12" x14ac:dyDescent="0.25">
      <c r="A2" s="2108" t="s">
        <v>1007</v>
      </c>
      <c r="B2" s="2108"/>
      <c r="C2" s="2108"/>
      <c r="D2" s="2108"/>
      <c r="E2" s="2108"/>
      <c r="F2" s="2108"/>
      <c r="G2" s="2108"/>
      <c r="H2" s="2108"/>
      <c r="I2" s="2108"/>
      <c r="J2" s="2108"/>
      <c r="K2" s="2108"/>
      <c r="L2" s="2108"/>
    </row>
    <row r="3" spans="1:12" x14ac:dyDescent="0.25">
      <c r="A3" s="605"/>
      <c r="B3" s="605"/>
      <c r="C3" s="605"/>
      <c r="D3" s="605"/>
      <c r="E3" s="605"/>
      <c r="F3" s="605"/>
      <c r="G3" s="605"/>
      <c r="H3" s="605"/>
      <c r="I3" s="605"/>
      <c r="J3" s="605"/>
      <c r="K3" s="605"/>
      <c r="L3" s="605"/>
    </row>
    <row r="4" spans="1:12" x14ac:dyDescent="0.25">
      <c r="A4" s="605"/>
      <c r="B4" s="605"/>
      <c r="C4" s="605"/>
      <c r="D4" s="605"/>
      <c r="E4" s="605"/>
      <c r="F4" s="605"/>
      <c r="G4" s="605"/>
      <c r="H4" s="605"/>
      <c r="I4" s="605"/>
      <c r="J4" s="605"/>
      <c r="K4" s="605"/>
      <c r="L4" s="605"/>
    </row>
    <row r="5" spans="1:12" x14ac:dyDescent="0.25">
      <c r="A5" s="605"/>
      <c r="B5" s="605"/>
      <c r="C5" s="605"/>
      <c r="D5" s="605"/>
      <c r="E5" s="605"/>
      <c r="F5" s="605"/>
      <c r="G5" s="605"/>
      <c r="H5" s="605"/>
      <c r="I5" s="605"/>
      <c r="J5" s="605"/>
      <c r="K5" s="605"/>
      <c r="L5" s="605"/>
    </row>
    <row r="6" spans="1:12" x14ac:dyDescent="0.25">
      <c r="A6" s="605"/>
      <c r="B6" s="605"/>
      <c r="C6" s="605"/>
      <c r="D6" s="605"/>
      <c r="E6" s="605"/>
      <c r="F6" s="605"/>
      <c r="G6" s="605"/>
      <c r="H6" s="605"/>
      <c r="I6" s="605"/>
      <c r="J6" s="605"/>
      <c r="K6" s="605"/>
      <c r="L6" s="605"/>
    </row>
    <row r="7" spans="1:12" x14ac:dyDescent="0.25">
      <c r="A7" s="605"/>
      <c r="B7" s="605"/>
      <c r="C7" s="605"/>
      <c r="D7" s="605"/>
      <c r="E7" s="605"/>
      <c r="F7" s="605"/>
      <c r="G7" s="605"/>
      <c r="H7" s="605"/>
      <c r="I7" s="605"/>
      <c r="J7" s="605"/>
      <c r="K7" s="605"/>
      <c r="L7" s="605"/>
    </row>
    <row r="8" spans="1:12" x14ac:dyDescent="0.25">
      <c r="A8" s="605"/>
      <c r="B8" s="605"/>
      <c r="C8" s="605"/>
      <c r="D8" s="605"/>
      <c r="E8" s="605"/>
      <c r="F8" s="605"/>
      <c r="G8" s="605"/>
      <c r="H8" s="605"/>
      <c r="I8" s="605"/>
      <c r="J8" s="605"/>
      <c r="K8" s="605"/>
      <c r="L8" s="605"/>
    </row>
    <row r="9" spans="1:12" x14ac:dyDescent="0.25">
      <c r="A9" s="605"/>
      <c r="B9" s="605"/>
      <c r="C9" s="605"/>
      <c r="D9" s="605"/>
      <c r="E9" s="605"/>
      <c r="F9" s="605"/>
      <c r="G9" s="605"/>
      <c r="H9" s="605"/>
      <c r="I9" s="605"/>
      <c r="J9" s="605"/>
      <c r="K9" s="605"/>
      <c r="L9" s="605"/>
    </row>
    <row r="10" spans="1:12" x14ac:dyDescent="0.25">
      <c r="A10" s="605"/>
      <c r="B10" s="605"/>
      <c r="C10" s="605"/>
      <c r="D10" s="605"/>
      <c r="E10" s="605"/>
      <c r="F10" s="605"/>
      <c r="G10" s="605"/>
      <c r="H10" s="605"/>
      <c r="I10" s="605"/>
      <c r="J10" s="605"/>
      <c r="K10" s="605"/>
      <c r="L10" s="605"/>
    </row>
    <row r="11" spans="1:12" x14ac:dyDescent="0.25">
      <c r="A11" s="605"/>
      <c r="B11" s="605"/>
      <c r="C11" s="605"/>
      <c r="D11" s="605"/>
      <c r="E11" s="605"/>
      <c r="F11" s="605"/>
      <c r="G11" s="605"/>
      <c r="H11" s="605"/>
      <c r="I11" s="605"/>
      <c r="J11" s="605"/>
      <c r="K11" s="605"/>
      <c r="L11" s="605"/>
    </row>
    <row r="12" spans="1:12" x14ac:dyDescent="0.25">
      <c r="A12" s="605"/>
      <c r="B12" s="605"/>
      <c r="C12" s="605"/>
      <c r="D12" s="605"/>
      <c r="E12" s="605"/>
      <c r="F12" s="605"/>
      <c r="G12" s="605"/>
      <c r="H12" s="605"/>
      <c r="I12" s="605"/>
      <c r="J12" s="605"/>
      <c r="K12" s="605"/>
      <c r="L12" s="605"/>
    </row>
    <row r="13" spans="1:12" x14ac:dyDescent="0.25">
      <c r="A13" s="605"/>
      <c r="B13" s="605"/>
      <c r="C13" s="605"/>
      <c r="D13" s="605"/>
      <c r="E13" s="605"/>
      <c r="F13" s="605"/>
      <c r="G13" s="605"/>
      <c r="H13" s="605"/>
      <c r="I13" s="605"/>
      <c r="J13" s="605"/>
      <c r="K13" s="605"/>
      <c r="L13" s="605"/>
    </row>
    <row r="14" spans="1:12" x14ac:dyDescent="0.25">
      <c r="A14" s="605"/>
      <c r="B14" s="605"/>
      <c r="C14" s="605"/>
      <c r="D14" s="605"/>
      <c r="E14" s="605"/>
      <c r="F14" s="605"/>
      <c r="G14" s="605"/>
      <c r="H14" s="605"/>
      <c r="I14" s="605"/>
      <c r="J14" s="605"/>
      <c r="K14" s="605"/>
      <c r="L14" s="605"/>
    </row>
    <row r="15" spans="1:12" x14ac:dyDescent="0.25">
      <c r="A15" s="605"/>
      <c r="B15" s="605"/>
      <c r="C15" s="605"/>
      <c r="D15" s="605"/>
      <c r="E15" s="605"/>
      <c r="F15" s="605"/>
      <c r="G15" s="605"/>
      <c r="H15" s="605"/>
      <c r="I15" s="605"/>
      <c r="J15" s="605"/>
      <c r="K15" s="605"/>
      <c r="L15" s="605"/>
    </row>
    <row r="16" spans="1:12" x14ac:dyDescent="0.25">
      <c r="A16" s="605"/>
      <c r="B16" s="605"/>
      <c r="C16" s="605"/>
      <c r="D16" s="605"/>
      <c r="E16" s="605"/>
      <c r="F16" s="605"/>
      <c r="G16" s="605"/>
      <c r="H16" s="605"/>
      <c r="I16" s="605"/>
      <c r="J16" s="605"/>
      <c r="K16" s="605"/>
      <c r="L16" s="605"/>
    </row>
    <row r="17" spans="1:12" x14ac:dyDescent="0.25">
      <c r="A17" s="605"/>
      <c r="B17" s="605"/>
      <c r="C17" s="605"/>
      <c r="D17" s="605"/>
      <c r="E17" s="605"/>
      <c r="F17" s="605"/>
      <c r="G17" s="605"/>
      <c r="H17" s="605"/>
      <c r="I17" s="605"/>
      <c r="J17" s="605"/>
      <c r="K17" s="605"/>
      <c r="L17" s="605"/>
    </row>
    <row r="18" spans="1:12" x14ac:dyDescent="0.25">
      <c r="A18" s="605"/>
      <c r="B18" s="605"/>
      <c r="C18" s="605"/>
      <c r="D18" s="605"/>
      <c r="E18" s="605"/>
      <c r="F18" s="605"/>
      <c r="G18" s="605"/>
      <c r="H18" s="605"/>
      <c r="I18" s="605"/>
      <c r="J18" s="605"/>
      <c r="K18" s="605"/>
      <c r="L18" s="605"/>
    </row>
    <row r="19" spans="1:12" x14ac:dyDescent="0.25">
      <c r="A19" s="605"/>
      <c r="B19" s="605"/>
      <c r="C19" s="605"/>
      <c r="D19" s="605"/>
      <c r="E19" s="605"/>
      <c r="F19" s="605"/>
      <c r="G19" s="605"/>
      <c r="H19" s="605"/>
      <c r="I19" s="605"/>
      <c r="J19" s="605"/>
      <c r="K19" s="605"/>
      <c r="L19" s="605"/>
    </row>
    <row r="20" spans="1:12" x14ac:dyDescent="0.25">
      <c r="A20" s="605"/>
      <c r="B20" s="605"/>
      <c r="C20" s="605"/>
      <c r="D20" s="605"/>
      <c r="E20" s="605"/>
      <c r="F20" s="605"/>
      <c r="G20" s="605"/>
      <c r="H20" s="605"/>
      <c r="I20" s="605"/>
      <c r="J20" s="605"/>
      <c r="K20" s="605"/>
      <c r="L20" s="605"/>
    </row>
    <row r="21" spans="1:12" x14ac:dyDescent="0.25">
      <c r="A21" s="605"/>
      <c r="B21" s="605"/>
      <c r="C21" s="605"/>
      <c r="D21" s="605"/>
      <c r="E21" s="605"/>
      <c r="F21" s="605"/>
      <c r="G21" s="605"/>
      <c r="H21" s="605"/>
      <c r="I21" s="605"/>
      <c r="J21" s="605"/>
      <c r="K21" s="605"/>
      <c r="L21" s="605"/>
    </row>
    <row r="22" spans="1:12" x14ac:dyDescent="0.25">
      <c r="A22" s="605"/>
      <c r="B22" s="605"/>
      <c r="C22" s="605"/>
      <c r="D22" s="605"/>
      <c r="E22" s="605"/>
      <c r="F22" s="605"/>
      <c r="G22" s="605"/>
      <c r="H22" s="605"/>
      <c r="I22" s="605"/>
      <c r="J22" s="605"/>
      <c r="K22" s="605"/>
      <c r="L22" s="605"/>
    </row>
    <row r="23" spans="1:12" x14ac:dyDescent="0.25">
      <c r="A23" s="605"/>
      <c r="B23" s="605"/>
      <c r="C23" s="605"/>
      <c r="D23" s="605"/>
      <c r="E23" s="605"/>
      <c r="F23" s="605"/>
      <c r="G23" s="605"/>
      <c r="H23" s="605"/>
      <c r="I23" s="605"/>
      <c r="J23" s="605"/>
      <c r="K23" s="605"/>
      <c r="L23" s="605"/>
    </row>
    <row r="24" spans="1:12" x14ac:dyDescent="0.25">
      <c r="A24" s="605"/>
      <c r="B24" s="605"/>
      <c r="C24" s="605"/>
      <c r="D24" s="605"/>
      <c r="E24" s="605"/>
      <c r="F24" s="605"/>
      <c r="G24" s="605"/>
      <c r="H24" s="605"/>
      <c r="I24" s="605"/>
      <c r="J24" s="605"/>
      <c r="K24" s="605"/>
      <c r="L24" s="605"/>
    </row>
    <row r="25" spans="1:12" x14ac:dyDescent="0.25">
      <c r="A25" s="605"/>
      <c r="B25" s="605"/>
      <c r="C25" s="605"/>
      <c r="D25" s="605"/>
      <c r="E25" s="605"/>
      <c r="F25" s="605"/>
      <c r="G25" s="605"/>
      <c r="H25" s="605"/>
      <c r="I25" s="605"/>
      <c r="J25" s="605"/>
      <c r="K25" s="605"/>
      <c r="L25" s="605"/>
    </row>
    <row r="26" spans="1:12" x14ac:dyDescent="0.25">
      <c r="A26" s="605"/>
      <c r="B26" s="605"/>
      <c r="C26" s="605"/>
      <c r="D26" s="605"/>
      <c r="E26" s="605"/>
      <c r="F26" s="605"/>
      <c r="G26" s="605"/>
      <c r="H26" s="605"/>
      <c r="I26" s="605"/>
      <c r="J26" s="605"/>
      <c r="K26" s="605"/>
      <c r="L26" s="605"/>
    </row>
    <row r="27" spans="1:12" x14ac:dyDescent="0.25">
      <c r="A27" s="605"/>
      <c r="B27" s="605"/>
      <c r="C27" s="605"/>
      <c r="D27" s="605"/>
      <c r="E27" s="605"/>
      <c r="F27" s="605"/>
      <c r="G27" s="605"/>
      <c r="H27" s="605"/>
      <c r="I27" s="605"/>
      <c r="J27" s="605"/>
      <c r="K27" s="605"/>
      <c r="L27" s="605"/>
    </row>
    <row r="28" spans="1:12" x14ac:dyDescent="0.25">
      <c r="A28" s="605"/>
      <c r="B28" s="605"/>
      <c r="C28" s="605"/>
      <c r="D28" s="605"/>
      <c r="E28" s="605"/>
      <c r="F28" s="605"/>
      <c r="G28" s="605"/>
      <c r="H28" s="605"/>
      <c r="I28" s="605"/>
      <c r="J28" s="605"/>
      <c r="K28" s="605"/>
      <c r="L28" s="605"/>
    </row>
    <row r="29" spans="1:12" x14ac:dyDescent="0.25">
      <c r="A29" s="605"/>
      <c r="B29" s="605"/>
      <c r="C29" s="605"/>
      <c r="D29" s="605"/>
      <c r="E29" s="605"/>
      <c r="F29" s="605"/>
      <c r="G29" s="605"/>
      <c r="H29" s="605"/>
      <c r="I29" s="605"/>
      <c r="J29" s="605"/>
      <c r="K29" s="605"/>
      <c r="L29" s="605"/>
    </row>
    <row r="30" spans="1:12" x14ac:dyDescent="0.25">
      <c r="A30" s="605"/>
      <c r="B30" s="605"/>
      <c r="C30" s="605"/>
      <c r="D30" s="605"/>
      <c r="E30" s="605"/>
      <c r="F30" s="605"/>
      <c r="G30" s="605"/>
      <c r="H30" s="605"/>
      <c r="I30" s="605"/>
      <c r="J30" s="605"/>
      <c r="K30" s="605"/>
      <c r="L30" s="605"/>
    </row>
    <row r="31" spans="1:12" x14ac:dyDescent="0.25">
      <c r="A31" s="605"/>
      <c r="B31" s="605"/>
      <c r="C31" s="605"/>
      <c r="D31" s="605"/>
      <c r="E31" s="605"/>
      <c r="F31" s="605"/>
      <c r="G31" s="605"/>
      <c r="H31" s="605"/>
      <c r="I31" s="605"/>
      <c r="J31" s="605"/>
      <c r="K31" s="605"/>
      <c r="L31" s="605"/>
    </row>
    <row r="32" spans="1:12" x14ac:dyDescent="0.25">
      <c r="A32" s="605"/>
      <c r="B32" s="605"/>
      <c r="C32" s="605"/>
      <c r="D32" s="605"/>
      <c r="E32" s="605"/>
      <c r="F32" s="605"/>
      <c r="G32" s="605"/>
      <c r="H32" s="605"/>
      <c r="I32" s="605"/>
      <c r="J32" s="605"/>
      <c r="K32" s="605"/>
      <c r="L32" s="605"/>
    </row>
    <row r="33" spans="1:12" x14ac:dyDescent="0.25">
      <c r="A33" s="605"/>
      <c r="B33" s="605"/>
      <c r="C33" s="605"/>
      <c r="D33" s="605"/>
      <c r="E33" s="605"/>
      <c r="F33" s="605"/>
      <c r="G33" s="605"/>
      <c r="H33" s="605"/>
      <c r="I33" s="605"/>
      <c r="J33" s="605"/>
      <c r="K33" s="605"/>
      <c r="L33" s="605"/>
    </row>
    <row r="34" spans="1:12" x14ac:dyDescent="0.25">
      <c r="A34" s="605"/>
      <c r="B34" s="605"/>
      <c r="C34" s="605"/>
      <c r="D34" s="605"/>
      <c r="E34" s="605"/>
      <c r="F34" s="605"/>
      <c r="G34" s="605"/>
      <c r="H34" s="605"/>
      <c r="I34" s="605"/>
      <c r="J34" s="605"/>
      <c r="K34" s="605"/>
      <c r="L34" s="605"/>
    </row>
    <row r="35" spans="1:12" x14ac:dyDescent="0.25">
      <c r="A35" s="605"/>
      <c r="B35" s="605"/>
      <c r="C35" s="605"/>
      <c r="D35" s="605"/>
      <c r="E35" s="605"/>
      <c r="F35" s="605"/>
      <c r="G35" s="605"/>
      <c r="H35" s="605"/>
      <c r="I35" s="605"/>
      <c r="J35" s="605"/>
      <c r="K35" s="605"/>
      <c r="L35" s="605"/>
    </row>
    <row r="36" spans="1:12" x14ac:dyDescent="0.25">
      <c r="A36" s="605"/>
      <c r="B36" s="605"/>
      <c r="C36" s="605"/>
      <c r="D36" s="605"/>
      <c r="E36" s="605"/>
      <c r="F36" s="605"/>
      <c r="G36" s="605"/>
      <c r="H36" s="605"/>
      <c r="I36" s="605"/>
      <c r="J36" s="605"/>
      <c r="K36" s="605"/>
      <c r="L36" s="605"/>
    </row>
    <row r="37" spans="1:12" x14ac:dyDescent="0.25">
      <c r="A37" s="605"/>
      <c r="B37" s="605"/>
      <c r="C37" s="605"/>
      <c r="D37" s="605"/>
      <c r="E37" s="605"/>
      <c r="F37" s="605"/>
      <c r="G37" s="605"/>
      <c r="H37" s="605"/>
      <c r="I37" s="605"/>
      <c r="J37" s="605"/>
      <c r="K37" s="605"/>
      <c r="L37" s="605"/>
    </row>
    <row r="38" spans="1:12" x14ac:dyDescent="0.25">
      <c r="A38" s="605"/>
      <c r="B38" s="605"/>
      <c r="C38" s="605"/>
      <c r="D38" s="605"/>
      <c r="E38" s="605"/>
      <c r="F38" s="605"/>
      <c r="G38" s="605"/>
      <c r="H38" s="605"/>
      <c r="I38" s="605"/>
      <c r="J38" s="605"/>
      <c r="K38" s="605"/>
      <c r="L38" s="605"/>
    </row>
    <row r="39" spans="1:12" x14ac:dyDescent="0.25">
      <c r="A39" s="605"/>
      <c r="B39" s="605"/>
      <c r="C39" s="605"/>
      <c r="D39" s="605"/>
      <c r="E39" s="605"/>
      <c r="F39" s="605"/>
      <c r="G39" s="605"/>
      <c r="H39" s="605"/>
      <c r="I39" s="605"/>
      <c r="J39" s="605"/>
      <c r="K39" s="605"/>
      <c r="L39" s="605"/>
    </row>
    <row r="40" spans="1:12" x14ac:dyDescent="0.25">
      <c r="A40" s="605"/>
      <c r="B40" s="605"/>
      <c r="C40" s="605"/>
      <c r="D40" s="605"/>
      <c r="E40" s="605"/>
      <c r="F40" s="605"/>
      <c r="G40" s="605"/>
      <c r="H40" s="605"/>
      <c r="I40" s="605"/>
      <c r="J40" s="605"/>
      <c r="K40" s="605"/>
      <c r="L40" s="605"/>
    </row>
    <row r="41" spans="1:12" x14ac:dyDescent="0.25">
      <c r="A41" s="605"/>
      <c r="B41" s="605"/>
      <c r="C41" s="605"/>
      <c r="D41" s="605"/>
      <c r="E41" s="605"/>
      <c r="F41" s="605"/>
      <c r="G41" s="605"/>
      <c r="H41" s="605"/>
      <c r="I41" s="605"/>
      <c r="J41" s="605"/>
      <c r="K41" s="605"/>
      <c r="L41" s="605"/>
    </row>
    <row r="42" spans="1:12" x14ac:dyDescent="0.25">
      <c r="A42" s="605"/>
      <c r="B42" s="605"/>
      <c r="C42" s="605"/>
      <c r="D42" s="605"/>
      <c r="E42" s="605"/>
      <c r="F42" s="605"/>
      <c r="G42" s="605"/>
      <c r="H42" s="605"/>
      <c r="I42" s="605"/>
      <c r="J42" s="605"/>
      <c r="K42" s="605"/>
      <c r="L42" s="605"/>
    </row>
    <row r="43" spans="1:12" x14ac:dyDescent="0.25">
      <c r="A43" s="605"/>
      <c r="B43" s="605"/>
      <c r="C43" s="605"/>
      <c r="D43" s="605"/>
      <c r="E43" s="605"/>
      <c r="F43" s="605"/>
      <c r="G43" s="605"/>
      <c r="H43" s="605"/>
      <c r="I43" s="605"/>
      <c r="J43" s="605"/>
      <c r="K43" s="605"/>
      <c r="L43" s="605"/>
    </row>
    <row r="44" spans="1:12" x14ac:dyDescent="0.25">
      <c r="A44" s="605"/>
      <c r="B44" s="605"/>
      <c r="C44" s="605"/>
      <c r="D44" s="605"/>
      <c r="E44" s="605"/>
      <c r="F44" s="605"/>
      <c r="G44" s="605"/>
      <c r="H44" s="605"/>
      <c r="I44" s="605"/>
      <c r="J44" s="605"/>
      <c r="K44" s="605"/>
      <c r="L44" s="605"/>
    </row>
    <row r="45" spans="1:12" x14ac:dyDescent="0.25">
      <c r="A45" s="605"/>
      <c r="B45" s="605"/>
      <c r="C45" s="605"/>
      <c r="D45" s="605"/>
      <c r="E45" s="605"/>
      <c r="F45" s="605"/>
      <c r="G45" s="605"/>
      <c r="H45" s="605"/>
      <c r="I45" s="605"/>
      <c r="J45" s="605"/>
      <c r="K45" s="605"/>
      <c r="L45" s="605"/>
    </row>
    <row r="46" spans="1:12" x14ac:dyDescent="0.25">
      <c r="A46" s="605"/>
      <c r="B46" s="605"/>
      <c r="C46" s="605"/>
      <c r="D46" s="605"/>
      <c r="E46" s="605"/>
      <c r="F46" s="605"/>
      <c r="G46" s="605"/>
      <c r="H46" s="605"/>
      <c r="I46" s="605"/>
      <c r="J46" s="605"/>
      <c r="K46" s="605"/>
      <c r="L46" s="605"/>
    </row>
    <row r="47" spans="1:12" x14ac:dyDescent="0.25">
      <c r="A47" s="605"/>
      <c r="B47" s="605"/>
      <c r="C47" s="605"/>
      <c r="D47" s="605"/>
      <c r="E47" s="605"/>
      <c r="F47" s="605"/>
      <c r="G47" s="605"/>
      <c r="H47" s="605"/>
      <c r="I47" s="605"/>
      <c r="J47" s="605"/>
      <c r="K47" s="605"/>
      <c r="L47" s="605"/>
    </row>
    <row r="48" spans="1:12" x14ac:dyDescent="0.25">
      <c r="A48" s="605"/>
      <c r="B48" s="605"/>
      <c r="C48" s="605"/>
      <c r="D48" s="605"/>
      <c r="E48" s="605"/>
      <c r="F48" s="605"/>
      <c r="G48" s="605"/>
      <c r="H48" s="605"/>
      <c r="I48" s="605"/>
      <c r="J48" s="605"/>
      <c r="K48" s="605"/>
      <c r="L48" s="605"/>
    </row>
    <row r="49" spans="1:12" x14ac:dyDescent="0.25">
      <c r="A49" s="605"/>
      <c r="B49" s="605"/>
      <c r="C49" s="605"/>
      <c r="D49" s="605"/>
      <c r="E49" s="605"/>
      <c r="F49" s="605"/>
      <c r="G49" s="605"/>
      <c r="H49" s="605"/>
      <c r="I49" s="605"/>
      <c r="J49" s="605"/>
      <c r="K49" s="605"/>
      <c r="L49" s="605"/>
    </row>
    <row r="50" spans="1:12" x14ac:dyDescent="0.25">
      <c r="A50" s="605"/>
      <c r="B50" s="605"/>
      <c r="C50" s="605"/>
      <c r="D50" s="605"/>
      <c r="E50" s="605"/>
      <c r="F50" s="605"/>
      <c r="G50" s="605"/>
      <c r="H50" s="605"/>
      <c r="I50" s="605"/>
      <c r="J50" s="605"/>
      <c r="K50" s="605"/>
      <c r="L50" s="605"/>
    </row>
  </sheetData>
  <mergeCells count="2">
    <mergeCell ref="A2:L2"/>
    <mergeCell ref="B1:L1"/>
  </mergeCells>
  <phoneticPr fontId="16" type="noConversion"/>
  <pageMargins left="0.75" right="0.75" top="0.5" bottom="1" header="0.5" footer="0.5"/>
  <pageSetup scale="83" fitToHeight="2" orientation="portrait" horizontalDpi="355" verticalDpi="355"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J54"/>
  <sheetViews>
    <sheetView workbookViewId="0">
      <selection sqref="A1:J1"/>
    </sheetView>
  </sheetViews>
  <sheetFormatPr defaultColWidth="7.88671875" defaultRowHeight="13.2" x14ac:dyDescent="0.25"/>
  <cols>
    <col min="1" max="1" width="21" style="194" bestFit="1" customWidth="1"/>
    <col min="2" max="5" width="7.88671875" style="194" hidden="1" customWidth="1"/>
    <col min="6" max="8" width="7.88671875" style="194" customWidth="1"/>
    <col min="9" max="16384" width="7.88671875" style="194"/>
  </cols>
  <sheetData>
    <row r="1" spans="1:10" ht="39" customHeight="1" x14ac:dyDescent="0.25">
      <c r="A1" s="2208" t="s">
        <v>1218</v>
      </c>
      <c r="B1" s="2208"/>
      <c r="C1" s="2208"/>
      <c r="D1" s="2208"/>
      <c r="E1" s="2208"/>
      <c r="F1" s="2208"/>
      <c r="G1" s="2208"/>
      <c r="H1" s="2208"/>
      <c r="I1" s="2208"/>
      <c r="J1" s="2208"/>
    </row>
    <row r="2" spans="1:10" x14ac:dyDescent="0.25">
      <c r="A2" s="264" t="s">
        <v>1219</v>
      </c>
      <c r="B2" s="195">
        <v>2007</v>
      </c>
      <c r="C2" s="195">
        <v>2008</v>
      </c>
      <c r="D2" s="195">
        <v>2009</v>
      </c>
      <c r="E2" s="195">
        <v>2010</v>
      </c>
      <c r="F2" s="1184">
        <v>2011</v>
      </c>
      <c r="G2" s="195">
        <v>2012</v>
      </c>
      <c r="H2" s="195">
        <v>2013</v>
      </c>
      <c r="I2" s="195">
        <v>2014</v>
      </c>
      <c r="J2" s="195">
        <v>2015</v>
      </c>
    </row>
    <row r="3" spans="1:10" ht="12.75" customHeight="1" x14ac:dyDescent="0.3">
      <c r="A3" s="372"/>
      <c r="B3" s="373"/>
      <c r="C3" s="373"/>
      <c r="D3" s="373"/>
      <c r="E3" s="373"/>
      <c r="F3" s="373"/>
      <c r="G3" s="373"/>
      <c r="H3" s="373"/>
      <c r="I3" s="373"/>
      <c r="J3" s="373"/>
    </row>
    <row r="4" spans="1:10" x14ac:dyDescent="0.25">
      <c r="A4" s="196" t="s">
        <v>1220</v>
      </c>
      <c r="B4" s="197">
        <v>0</v>
      </c>
      <c r="C4" s="197">
        <v>2</v>
      </c>
      <c r="D4" s="197">
        <v>3</v>
      </c>
      <c r="E4" s="197">
        <v>6</v>
      </c>
      <c r="F4" s="197">
        <v>3</v>
      </c>
      <c r="G4" s="197">
        <v>2</v>
      </c>
      <c r="H4" s="197">
        <v>1</v>
      </c>
      <c r="I4" s="197">
        <v>1</v>
      </c>
      <c r="J4" s="197">
        <v>2</v>
      </c>
    </row>
    <row r="5" spans="1:10" x14ac:dyDescent="0.25">
      <c r="A5" s="883" t="s">
        <v>594</v>
      </c>
      <c r="B5" s="197">
        <v>0</v>
      </c>
      <c r="C5" s="197">
        <v>0</v>
      </c>
      <c r="D5" s="197">
        <v>1</v>
      </c>
      <c r="E5" s="197">
        <v>1</v>
      </c>
      <c r="F5" s="197">
        <v>1</v>
      </c>
      <c r="G5" s="197">
        <v>2</v>
      </c>
      <c r="H5" s="197">
        <v>1</v>
      </c>
      <c r="I5" s="197">
        <v>1</v>
      </c>
      <c r="J5" s="197">
        <v>1</v>
      </c>
    </row>
    <row r="6" spans="1:10" x14ac:dyDescent="0.25">
      <c r="A6" s="196" t="s">
        <v>391</v>
      </c>
      <c r="B6" s="197">
        <v>0</v>
      </c>
      <c r="C6" s="197">
        <v>0</v>
      </c>
      <c r="D6" s="197">
        <v>0</v>
      </c>
      <c r="E6" s="197">
        <v>0</v>
      </c>
      <c r="F6" s="197">
        <v>0</v>
      </c>
      <c r="G6" s="197">
        <v>0</v>
      </c>
      <c r="H6" s="197">
        <v>0</v>
      </c>
      <c r="I6" s="197">
        <v>0</v>
      </c>
      <c r="J6" s="197">
        <v>0</v>
      </c>
    </row>
    <row r="7" spans="1:10" x14ac:dyDescent="0.25">
      <c r="A7" s="196" t="s">
        <v>1221</v>
      </c>
      <c r="B7" s="197">
        <v>0</v>
      </c>
      <c r="C7" s="197">
        <v>0</v>
      </c>
      <c r="D7" s="197">
        <v>0</v>
      </c>
      <c r="E7" s="197">
        <v>0</v>
      </c>
      <c r="F7" s="197">
        <v>0</v>
      </c>
      <c r="G7" s="197">
        <v>0</v>
      </c>
      <c r="H7" s="197">
        <v>0</v>
      </c>
      <c r="I7" s="197">
        <v>4</v>
      </c>
      <c r="J7" s="197">
        <v>0</v>
      </c>
    </row>
    <row r="8" spans="1:10" x14ac:dyDescent="0.25">
      <c r="A8" s="196" t="s">
        <v>1222</v>
      </c>
      <c r="B8" s="197">
        <v>0</v>
      </c>
      <c r="C8" s="197">
        <v>0</v>
      </c>
      <c r="D8" s="197">
        <v>0</v>
      </c>
      <c r="E8" s="197">
        <v>0</v>
      </c>
      <c r="F8" s="197">
        <v>1</v>
      </c>
      <c r="G8" s="197">
        <v>1</v>
      </c>
      <c r="H8" s="197">
        <v>1</v>
      </c>
      <c r="I8" s="197">
        <v>2</v>
      </c>
      <c r="J8" s="197">
        <v>1</v>
      </c>
    </row>
    <row r="9" spans="1:10" x14ac:dyDescent="0.25">
      <c r="A9" s="883" t="s">
        <v>1511</v>
      </c>
      <c r="B9" s="197">
        <v>0</v>
      </c>
      <c r="C9" s="197">
        <v>0</v>
      </c>
      <c r="D9" s="197">
        <v>0</v>
      </c>
      <c r="E9" s="197">
        <v>1</v>
      </c>
      <c r="F9" s="197">
        <v>3</v>
      </c>
      <c r="G9" s="197">
        <v>2</v>
      </c>
      <c r="H9" s="197">
        <v>0</v>
      </c>
      <c r="I9" s="197">
        <v>0</v>
      </c>
      <c r="J9" s="197">
        <v>0</v>
      </c>
    </row>
    <row r="10" spans="1:10" x14ac:dyDescent="0.25">
      <c r="A10" s="196" t="s">
        <v>1223</v>
      </c>
      <c r="B10" s="197">
        <v>1</v>
      </c>
      <c r="C10" s="197">
        <v>3</v>
      </c>
      <c r="D10" s="197">
        <v>4</v>
      </c>
      <c r="E10" s="197">
        <v>3</v>
      </c>
      <c r="F10" s="197">
        <v>1</v>
      </c>
      <c r="G10" s="197">
        <v>1</v>
      </c>
      <c r="H10" s="197">
        <v>1</v>
      </c>
      <c r="I10" s="197">
        <v>0</v>
      </c>
      <c r="J10" s="197">
        <v>0</v>
      </c>
    </row>
    <row r="11" spans="1:10" x14ac:dyDescent="0.25">
      <c r="A11" s="196" t="s">
        <v>1224</v>
      </c>
      <c r="B11" s="197">
        <v>1</v>
      </c>
      <c r="C11" s="197">
        <v>2</v>
      </c>
      <c r="D11" s="197">
        <v>1</v>
      </c>
      <c r="E11" s="197">
        <v>1</v>
      </c>
      <c r="F11" s="197">
        <v>1</v>
      </c>
      <c r="G11" s="197">
        <v>0</v>
      </c>
      <c r="H11" s="197">
        <v>0</v>
      </c>
      <c r="I11" s="197">
        <v>0</v>
      </c>
      <c r="J11" s="197">
        <v>0</v>
      </c>
    </row>
    <row r="12" spans="1:10" x14ac:dyDescent="0.25">
      <c r="A12" s="196" t="s">
        <v>1225</v>
      </c>
      <c r="B12" s="197">
        <v>0</v>
      </c>
      <c r="C12" s="197">
        <v>2</v>
      </c>
      <c r="D12" s="197">
        <v>1</v>
      </c>
      <c r="E12" s="197">
        <v>0</v>
      </c>
      <c r="F12" s="197">
        <v>0</v>
      </c>
      <c r="G12" s="197">
        <v>0</v>
      </c>
      <c r="H12" s="197">
        <v>1</v>
      </c>
      <c r="I12" s="197">
        <v>1</v>
      </c>
      <c r="J12" s="197">
        <v>3</v>
      </c>
    </row>
    <row r="13" spans="1:10" x14ac:dyDescent="0.25">
      <c r="A13" s="196" t="s">
        <v>1227</v>
      </c>
      <c r="B13" s="197">
        <v>7</v>
      </c>
      <c r="C13" s="197">
        <v>12</v>
      </c>
      <c r="D13" s="197">
        <v>21</v>
      </c>
      <c r="E13" s="197">
        <v>27</v>
      </c>
      <c r="F13" s="197">
        <v>23</v>
      </c>
      <c r="G13" s="197">
        <v>21</v>
      </c>
      <c r="H13" s="197">
        <v>25</v>
      </c>
      <c r="I13" s="197">
        <v>21</v>
      </c>
      <c r="J13" s="197">
        <v>18</v>
      </c>
    </row>
    <row r="14" spans="1:10" x14ac:dyDescent="0.25">
      <c r="A14" s="196" t="s">
        <v>1228</v>
      </c>
      <c r="B14" s="197">
        <v>22</v>
      </c>
      <c r="C14" s="197">
        <v>39</v>
      </c>
      <c r="D14" s="197">
        <v>48</v>
      </c>
      <c r="E14" s="197">
        <v>46</v>
      </c>
      <c r="F14" s="197">
        <v>51</v>
      </c>
      <c r="G14" s="197">
        <v>60</v>
      </c>
      <c r="H14" s="197">
        <v>36</v>
      </c>
      <c r="I14" s="197">
        <v>48</v>
      </c>
      <c r="J14" s="197">
        <v>43</v>
      </c>
    </row>
    <row r="15" spans="1:10" x14ac:dyDescent="0.25">
      <c r="A15" s="883" t="s">
        <v>596</v>
      </c>
      <c r="B15" s="197">
        <v>0</v>
      </c>
      <c r="C15" s="197">
        <v>0</v>
      </c>
      <c r="D15" s="197">
        <v>0</v>
      </c>
      <c r="E15" s="197">
        <v>0</v>
      </c>
      <c r="F15" s="197">
        <v>1</v>
      </c>
      <c r="G15" s="197">
        <v>1</v>
      </c>
      <c r="H15" s="197">
        <v>0</v>
      </c>
      <c r="I15" s="197">
        <v>0</v>
      </c>
      <c r="J15" s="197">
        <v>0</v>
      </c>
    </row>
    <row r="16" spans="1:10" x14ac:dyDescent="0.25">
      <c r="A16" s="196" t="s">
        <v>1229</v>
      </c>
      <c r="B16" s="197">
        <v>0</v>
      </c>
      <c r="C16" s="197">
        <v>0</v>
      </c>
      <c r="D16" s="197">
        <v>0</v>
      </c>
      <c r="E16" s="197">
        <v>0</v>
      </c>
      <c r="F16" s="197">
        <v>0</v>
      </c>
      <c r="G16" s="197">
        <v>0</v>
      </c>
      <c r="H16" s="197">
        <v>0</v>
      </c>
      <c r="I16" s="197">
        <v>0</v>
      </c>
      <c r="J16" s="197">
        <v>0</v>
      </c>
    </row>
    <row r="17" spans="1:10" x14ac:dyDescent="0.25">
      <c r="A17" s="196" t="s">
        <v>1230</v>
      </c>
      <c r="B17" s="197">
        <v>3</v>
      </c>
      <c r="C17" s="197">
        <v>2</v>
      </c>
      <c r="D17" s="197">
        <v>3</v>
      </c>
      <c r="E17" s="197">
        <v>3</v>
      </c>
      <c r="F17" s="197">
        <v>4</v>
      </c>
      <c r="G17" s="197">
        <v>3</v>
      </c>
      <c r="H17" s="197">
        <v>7</v>
      </c>
      <c r="I17" s="197">
        <v>5</v>
      </c>
      <c r="J17" s="197">
        <v>7</v>
      </c>
    </row>
    <row r="18" spans="1:10" x14ac:dyDescent="0.25">
      <c r="A18" s="196" t="s">
        <v>1231</v>
      </c>
      <c r="B18" s="197">
        <v>2</v>
      </c>
      <c r="C18" s="197">
        <v>5</v>
      </c>
      <c r="D18" s="197">
        <v>2</v>
      </c>
      <c r="E18" s="197">
        <v>2</v>
      </c>
      <c r="F18" s="197">
        <v>2</v>
      </c>
      <c r="G18" s="197">
        <v>0</v>
      </c>
      <c r="H18" s="197">
        <v>0</v>
      </c>
      <c r="I18" s="197">
        <v>0</v>
      </c>
      <c r="J18" s="197">
        <v>1</v>
      </c>
    </row>
    <row r="19" spans="1:10" x14ac:dyDescent="0.25">
      <c r="A19" s="196" t="s">
        <v>597</v>
      </c>
      <c r="B19" s="197">
        <v>0</v>
      </c>
      <c r="C19" s="197">
        <v>0</v>
      </c>
      <c r="D19" s="197">
        <v>1</v>
      </c>
      <c r="E19" s="197">
        <v>0</v>
      </c>
      <c r="F19" s="197">
        <v>0</v>
      </c>
      <c r="G19" s="197">
        <v>0</v>
      </c>
      <c r="H19" s="197">
        <v>0</v>
      </c>
      <c r="I19" s="197">
        <v>0</v>
      </c>
      <c r="J19" s="197">
        <v>0</v>
      </c>
    </row>
    <row r="20" spans="1:10" x14ac:dyDescent="0.25">
      <c r="A20" s="196" t="s">
        <v>1232</v>
      </c>
      <c r="B20" s="197">
        <v>0</v>
      </c>
      <c r="C20" s="197">
        <v>0</v>
      </c>
      <c r="D20" s="197">
        <v>1</v>
      </c>
      <c r="E20" s="197">
        <v>2</v>
      </c>
      <c r="F20" s="197">
        <v>2</v>
      </c>
      <c r="G20" s="197">
        <v>2</v>
      </c>
      <c r="H20" s="197">
        <v>0</v>
      </c>
      <c r="I20" s="197">
        <v>0</v>
      </c>
      <c r="J20" s="197">
        <v>0</v>
      </c>
    </row>
    <row r="21" spans="1:10" x14ac:dyDescent="0.25">
      <c r="A21" s="883" t="s">
        <v>1233</v>
      </c>
      <c r="B21" s="197">
        <v>0</v>
      </c>
      <c r="C21" s="197">
        <v>1</v>
      </c>
      <c r="D21" s="197">
        <v>2</v>
      </c>
      <c r="E21" s="197">
        <v>1</v>
      </c>
      <c r="F21" s="197">
        <v>0</v>
      </c>
      <c r="G21" s="197">
        <v>0</v>
      </c>
      <c r="H21" s="197">
        <v>0</v>
      </c>
      <c r="I21" s="197">
        <v>0</v>
      </c>
      <c r="J21" s="197">
        <v>1</v>
      </c>
    </row>
    <row r="22" spans="1:10" x14ac:dyDescent="0.25">
      <c r="A22" s="883" t="s">
        <v>1234</v>
      </c>
      <c r="B22" s="197">
        <v>0</v>
      </c>
      <c r="C22" s="197">
        <v>1</v>
      </c>
      <c r="D22" s="197">
        <v>1</v>
      </c>
      <c r="E22" s="197">
        <v>2</v>
      </c>
      <c r="F22" s="197">
        <v>1</v>
      </c>
      <c r="G22" s="197">
        <v>1</v>
      </c>
      <c r="H22" s="197">
        <v>0</v>
      </c>
      <c r="I22" s="197">
        <v>0</v>
      </c>
      <c r="J22" s="197">
        <v>0</v>
      </c>
    </row>
    <row r="23" spans="1:10" x14ac:dyDescent="0.25">
      <c r="A23" s="883" t="s">
        <v>1235</v>
      </c>
      <c r="B23" s="197">
        <v>0</v>
      </c>
      <c r="C23" s="197">
        <v>0</v>
      </c>
      <c r="D23" s="197">
        <v>0</v>
      </c>
      <c r="E23" s="197">
        <v>0</v>
      </c>
      <c r="F23" s="197">
        <v>1</v>
      </c>
      <c r="G23" s="197">
        <v>0</v>
      </c>
      <c r="H23" s="197">
        <v>2</v>
      </c>
      <c r="I23" s="197">
        <v>2</v>
      </c>
      <c r="J23" s="197">
        <v>1</v>
      </c>
    </row>
    <row r="24" spans="1:10" x14ac:dyDescent="0.25">
      <c r="A24" s="196" t="s">
        <v>1236</v>
      </c>
      <c r="B24" s="197">
        <v>2</v>
      </c>
      <c r="C24" s="197">
        <v>1</v>
      </c>
      <c r="D24" s="197">
        <v>1</v>
      </c>
      <c r="E24" s="197">
        <v>0</v>
      </c>
      <c r="F24" s="197">
        <v>0</v>
      </c>
      <c r="G24" s="197">
        <v>0</v>
      </c>
      <c r="H24" s="197">
        <v>1</v>
      </c>
      <c r="I24" s="197">
        <v>1</v>
      </c>
      <c r="J24" s="197">
        <v>1</v>
      </c>
    </row>
    <row r="25" spans="1:10" x14ac:dyDescent="0.25">
      <c r="A25" s="196" t="s">
        <v>1237</v>
      </c>
      <c r="B25" s="197">
        <v>0</v>
      </c>
      <c r="C25" s="197">
        <v>0</v>
      </c>
      <c r="D25" s="197">
        <v>0</v>
      </c>
      <c r="E25" s="197">
        <v>0</v>
      </c>
      <c r="F25" s="197">
        <v>0</v>
      </c>
      <c r="G25" s="197">
        <v>0</v>
      </c>
      <c r="H25" s="197">
        <v>1</v>
      </c>
      <c r="I25" s="197">
        <v>0</v>
      </c>
      <c r="J25" s="197">
        <v>0</v>
      </c>
    </row>
    <row r="26" spans="1:10" x14ac:dyDescent="0.25">
      <c r="A26" s="196" t="s">
        <v>1238</v>
      </c>
      <c r="B26" s="197">
        <v>1</v>
      </c>
      <c r="C26" s="197">
        <v>0</v>
      </c>
      <c r="D26" s="197">
        <v>0</v>
      </c>
      <c r="E26" s="197">
        <v>0</v>
      </c>
      <c r="F26" s="197">
        <v>0</v>
      </c>
      <c r="G26" s="197">
        <v>1</v>
      </c>
      <c r="H26" s="197">
        <v>2</v>
      </c>
      <c r="I26" s="197">
        <v>1</v>
      </c>
      <c r="J26" s="197">
        <v>0</v>
      </c>
    </row>
    <row r="27" spans="1:10" x14ac:dyDescent="0.25">
      <c r="A27" s="196" t="s">
        <v>1239</v>
      </c>
      <c r="B27" s="197">
        <v>2</v>
      </c>
      <c r="C27" s="197">
        <v>1</v>
      </c>
      <c r="D27" s="197">
        <v>1</v>
      </c>
      <c r="E27" s="197">
        <v>1</v>
      </c>
      <c r="F27" s="197">
        <v>0</v>
      </c>
      <c r="G27" s="197">
        <v>0</v>
      </c>
      <c r="H27" s="197">
        <v>0</v>
      </c>
      <c r="I27" s="197">
        <v>1</v>
      </c>
      <c r="J27" s="197">
        <v>0</v>
      </c>
    </row>
    <row r="28" spans="1:10" x14ac:dyDescent="0.25">
      <c r="A28" s="196" t="s">
        <v>1240</v>
      </c>
      <c r="B28" s="197">
        <v>1</v>
      </c>
      <c r="C28" s="197">
        <v>0</v>
      </c>
      <c r="D28" s="197">
        <v>0</v>
      </c>
      <c r="E28" s="197">
        <v>0</v>
      </c>
      <c r="F28" s="197">
        <v>0</v>
      </c>
      <c r="G28" s="197">
        <v>0</v>
      </c>
      <c r="H28" s="197">
        <v>0</v>
      </c>
      <c r="I28" s="197">
        <v>1</v>
      </c>
      <c r="J28" s="197">
        <v>0</v>
      </c>
    </row>
    <row r="29" spans="1:10" x14ac:dyDescent="0.25">
      <c r="A29" s="196" t="s">
        <v>1241</v>
      </c>
      <c r="B29" s="197">
        <v>3</v>
      </c>
      <c r="C29" s="197">
        <v>2</v>
      </c>
      <c r="D29" s="197">
        <v>3</v>
      </c>
      <c r="E29" s="197">
        <v>3</v>
      </c>
      <c r="F29" s="197">
        <v>4</v>
      </c>
      <c r="G29" s="197">
        <v>1</v>
      </c>
      <c r="H29" s="197">
        <v>2</v>
      </c>
      <c r="I29" s="197">
        <v>0</v>
      </c>
      <c r="J29" s="197">
        <v>0</v>
      </c>
    </row>
    <row r="30" spans="1:10" x14ac:dyDescent="0.25">
      <c r="A30" s="196" t="s">
        <v>1243</v>
      </c>
      <c r="B30" s="197">
        <v>0</v>
      </c>
      <c r="C30" s="197">
        <v>0</v>
      </c>
      <c r="D30" s="197">
        <v>1</v>
      </c>
      <c r="E30" s="197">
        <v>1</v>
      </c>
      <c r="F30" s="197">
        <v>1</v>
      </c>
      <c r="G30" s="197">
        <v>0</v>
      </c>
      <c r="H30" s="197">
        <v>0</v>
      </c>
      <c r="I30" s="197">
        <v>0</v>
      </c>
      <c r="J30" s="197">
        <v>0</v>
      </c>
    </row>
    <row r="31" spans="1:10" x14ac:dyDescent="0.25">
      <c r="A31" s="196" t="s">
        <v>1244</v>
      </c>
      <c r="B31" s="197">
        <v>3</v>
      </c>
      <c r="C31" s="197">
        <v>3</v>
      </c>
      <c r="D31" s="197">
        <v>4</v>
      </c>
      <c r="E31" s="197">
        <v>3</v>
      </c>
      <c r="F31" s="197">
        <v>3</v>
      </c>
      <c r="G31" s="197">
        <v>4</v>
      </c>
      <c r="H31" s="197">
        <v>4</v>
      </c>
      <c r="I31" s="197">
        <v>2</v>
      </c>
      <c r="J31" s="197">
        <v>3</v>
      </c>
    </row>
    <row r="32" spans="1:10" x14ac:dyDescent="0.25">
      <c r="A32" s="196" t="s">
        <v>1245</v>
      </c>
      <c r="B32" s="197">
        <v>4</v>
      </c>
      <c r="C32" s="197">
        <v>5</v>
      </c>
      <c r="D32" s="197">
        <v>7</v>
      </c>
      <c r="E32" s="197">
        <v>5</v>
      </c>
      <c r="F32" s="197">
        <v>5</v>
      </c>
      <c r="G32" s="197">
        <v>3</v>
      </c>
      <c r="H32" s="197">
        <v>1</v>
      </c>
      <c r="I32" s="197">
        <v>3</v>
      </c>
      <c r="J32" s="197">
        <v>4</v>
      </c>
    </row>
    <row r="33" spans="1:10" x14ac:dyDescent="0.25">
      <c r="A33" s="196" t="s">
        <v>1246</v>
      </c>
      <c r="B33" s="197">
        <v>9</v>
      </c>
      <c r="C33" s="197">
        <v>20</v>
      </c>
      <c r="D33" s="197">
        <v>20</v>
      </c>
      <c r="E33" s="197">
        <v>29</v>
      </c>
      <c r="F33" s="197">
        <v>25</v>
      </c>
      <c r="G33" s="197">
        <v>28</v>
      </c>
      <c r="H33" s="197">
        <v>30</v>
      </c>
      <c r="I33" s="197">
        <v>29</v>
      </c>
      <c r="J33" s="197">
        <v>33</v>
      </c>
    </row>
    <row r="34" spans="1:10" x14ac:dyDescent="0.25">
      <c r="A34" s="196" t="s">
        <v>1247</v>
      </c>
      <c r="B34" s="197">
        <v>4</v>
      </c>
      <c r="C34" s="197">
        <v>6</v>
      </c>
      <c r="D34" s="197">
        <v>9</v>
      </c>
      <c r="E34" s="197">
        <v>7</v>
      </c>
      <c r="F34" s="197">
        <v>7</v>
      </c>
      <c r="G34" s="197">
        <v>5</v>
      </c>
      <c r="H34" s="197">
        <v>3</v>
      </c>
      <c r="I34" s="197">
        <v>4</v>
      </c>
      <c r="J34" s="197">
        <v>2</v>
      </c>
    </row>
    <row r="35" spans="1:10" x14ac:dyDescent="0.25">
      <c r="A35" s="883" t="s">
        <v>1248</v>
      </c>
      <c r="B35" s="197">
        <v>0</v>
      </c>
      <c r="C35" s="197">
        <v>1</v>
      </c>
      <c r="D35" s="197">
        <v>0</v>
      </c>
      <c r="E35" s="197">
        <v>0</v>
      </c>
      <c r="F35" s="197">
        <v>0</v>
      </c>
      <c r="G35" s="197">
        <v>0</v>
      </c>
      <c r="H35" s="197">
        <v>0</v>
      </c>
      <c r="I35" s="197">
        <v>0</v>
      </c>
      <c r="J35" s="197">
        <v>0</v>
      </c>
    </row>
    <row r="36" spans="1:10" x14ac:dyDescent="0.25">
      <c r="A36" s="196" t="s">
        <v>1249</v>
      </c>
      <c r="B36" s="197">
        <v>1</v>
      </c>
      <c r="C36" s="197">
        <v>0</v>
      </c>
      <c r="D36" s="197">
        <v>0</v>
      </c>
      <c r="E36" s="197">
        <v>0</v>
      </c>
      <c r="F36" s="197">
        <v>0</v>
      </c>
      <c r="G36" s="197">
        <v>0</v>
      </c>
      <c r="H36" s="197">
        <v>0</v>
      </c>
      <c r="I36" s="197">
        <v>0</v>
      </c>
      <c r="J36" s="197">
        <v>0</v>
      </c>
    </row>
    <row r="37" spans="1:10" x14ac:dyDescent="0.25">
      <c r="A37" s="198" t="s">
        <v>1250</v>
      </c>
      <c r="B37" s="197">
        <v>3</v>
      </c>
      <c r="C37" s="197">
        <v>3</v>
      </c>
      <c r="D37" s="197">
        <v>1</v>
      </c>
      <c r="E37" s="197">
        <v>1</v>
      </c>
      <c r="F37" s="197">
        <v>2</v>
      </c>
      <c r="G37" s="197">
        <v>4</v>
      </c>
      <c r="H37" s="197">
        <v>2</v>
      </c>
      <c r="I37" s="197">
        <v>3</v>
      </c>
      <c r="J37" s="197">
        <v>1</v>
      </c>
    </row>
    <row r="38" spans="1:10" x14ac:dyDescent="0.25">
      <c r="A38" s="199" t="s">
        <v>392</v>
      </c>
      <c r="B38" s="197">
        <v>0</v>
      </c>
      <c r="C38" s="197">
        <v>0</v>
      </c>
      <c r="D38" s="197">
        <v>0</v>
      </c>
      <c r="E38" s="197">
        <v>0</v>
      </c>
      <c r="F38" s="197">
        <v>0</v>
      </c>
      <c r="G38" s="197">
        <v>0</v>
      </c>
      <c r="H38" s="197">
        <v>0</v>
      </c>
      <c r="I38" s="197">
        <v>0</v>
      </c>
      <c r="J38" s="197">
        <v>0</v>
      </c>
    </row>
    <row r="39" spans="1:10" x14ac:dyDescent="0.25">
      <c r="A39" s="199" t="s">
        <v>1251</v>
      </c>
      <c r="B39" s="197">
        <v>1</v>
      </c>
      <c r="C39" s="197">
        <v>0</v>
      </c>
      <c r="D39" s="197">
        <v>0</v>
      </c>
      <c r="E39" s="197">
        <v>0</v>
      </c>
      <c r="F39" s="197">
        <v>1</v>
      </c>
      <c r="G39" s="197">
        <v>1</v>
      </c>
      <c r="H39" s="197">
        <v>0</v>
      </c>
      <c r="I39" s="197">
        <v>0</v>
      </c>
      <c r="J39" s="197">
        <v>0</v>
      </c>
    </row>
    <row r="40" spans="1:10" x14ac:dyDescent="0.25">
      <c r="A40" s="200" t="s">
        <v>1252</v>
      </c>
      <c r="B40" s="201">
        <v>2268</v>
      </c>
      <c r="C40" s="201">
        <v>2424</v>
      </c>
      <c r="D40" s="1072">
        <v>2627</v>
      </c>
      <c r="E40" s="1072">
        <v>2837</v>
      </c>
      <c r="F40" s="1072">
        <v>2851</v>
      </c>
      <c r="G40" s="1072">
        <v>2807</v>
      </c>
      <c r="H40" s="1072">
        <v>2649</v>
      </c>
      <c r="I40" s="1072">
        <v>2551</v>
      </c>
      <c r="J40" s="1072">
        <v>2462</v>
      </c>
    </row>
    <row r="41" spans="1:10" x14ac:dyDescent="0.25">
      <c r="A41" s="199" t="s">
        <v>601</v>
      </c>
      <c r="B41" s="197">
        <v>0</v>
      </c>
      <c r="C41" s="197">
        <v>0</v>
      </c>
      <c r="D41" s="197">
        <v>0</v>
      </c>
      <c r="E41" s="197">
        <v>0</v>
      </c>
      <c r="F41" s="197">
        <v>0</v>
      </c>
      <c r="G41" s="197">
        <v>0</v>
      </c>
      <c r="H41" s="197">
        <v>0</v>
      </c>
      <c r="I41" s="197">
        <v>0</v>
      </c>
      <c r="J41" s="197">
        <v>0</v>
      </c>
    </row>
    <row r="42" spans="1:10" x14ac:dyDescent="0.25">
      <c r="A42" s="196" t="s">
        <v>1253</v>
      </c>
      <c r="B42" s="197">
        <v>2</v>
      </c>
      <c r="C42" s="197">
        <v>5</v>
      </c>
      <c r="D42" s="197">
        <v>4</v>
      </c>
      <c r="E42" s="197">
        <v>3</v>
      </c>
      <c r="F42" s="197">
        <v>2</v>
      </c>
      <c r="G42" s="197">
        <v>4</v>
      </c>
      <c r="H42" s="197">
        <v>7</v>
      </c>
      <c r="I42" s="197">
        <v>5</v>
      </c>
      <c r="J42" s="197">
        <v>6</v>
      </c>
    </row>
    <row r="43" spans="1:10" x14ac:dyDescent="0.25">
      <c r="A43" s="196" t="s">
        <v>1254</v>
      </c>
      <c r="B43" s="197">
        <v>4</v>
      </c>
      <c r="C43" s="197">
        <v>4</v>
      </c>
      <c r="D43" s="197">
        <v>2</v>
      </c>
      <c r="E43" s="197">
        <v>5</v>
      </c>
      <c r="F43" s="197">
        <v>4</v>
      </c>
      <c r="G43" s="197">
        <v>5</v>
      </c>
      <c r="H43" s="197">
        <v>4</v>
      </c>
      <c r="I43" s="197">
        <v>5</v>
      </c>
      <c r="J43" s="197">
        <v>4</v>
      </c>
    </row>
    <row r="44" spans="1:10" x14ac:dyDescent="0.25">
      <c r="A44" s="1611" t="s">
        <v>602</v>
      </c>
      <c r="B44" s="1610">
        <v>0</v>
      </c>
      <c r="C44" s="1610">
        <v>0</v>
      </c>
      <c r="D44" s="1610">
        <v>0</v>
      </c>
      <c r="E44" s="1610">
        <v>0</v>
      </c>
      <c r="F44" s="1610">
        <v>0</v>
      </c>
      <c r="G44" s="1610">
        <v>0</v>
      </c>
      <c r="H44" s="1610">
        <v>0</v>
      </c>
      <c r="I44" s="1610">
        <v>1</v>
      </c>
      <c r="J44" s="1610">
        <v>0</v>
      </c>
    </row>
    <row r="45" spans="1:10" x14ac:dyDescent="0.25">
      <c r="A45" s="196" t="s">
        <v>1255</v>
      </c>
      <c r="B45" s="197">
        <v>0</v>
      </c>
      <c r="C45" s="197">
        <v>1</v>
      </c>
      <c r="D45" s="197">
        <v>0</v>
      </c>
      <c r="E45" s="197">
        <v>0</v>
      </c>
      <c r="F45" s="197">
        <v>0</v>
      </c>
      <c r="G45" s="197">
        <v>0</v>
      </c>
      <c r="H45" s="197">
        <v>0</v>
      </c>
      <c r="I45" s="197">
        <v>0</v>
      </c>
      <c r="J45" s="197">
        <v>0</v>
      </c>
    </row>
    <row r="46" spans="1:10" x14ac:dyDescent="0.25">
      <c r="A46" s="196" t="s">
        <v>1256</v>
      </c>
      <c r="B46" s="197">
        <v>2</v>
      </c>
      <c r="C46" s="197">
        <v>2</v>
      </c>
      <c r="D46" s="197">
        <v>4</v>
      </c>
      <c r="E46" s="197">
        <v>6</v>
      </c>
      <c r="F46" s="197">
        <v>5</v>
      </c>
      <c r="G46" s="197">
        <v>5</v>
      </c>
      <c r="H46" s="197">
        <v>3</v>
      </c>
      <c r="I46" s="197">
        <v>2</v>
      </c>
      <c r="J46" s="197">
        <v>4</v>
      </c>
    </row>
    <row r="47" spans="1:10" x14ac:dyDescent="0.25">
      <c r="A47" s="196" t="s">
        <v>1257</v>
      </c>
      <c r="B47" s="197">
        <v>3</v>
      </c>
      <c r="C47" s="197">
        <v>0</v>
      </c>
      <c r="D47" s="197">
        <v>2</v>
      </c>
      <c r="E47" s="197">
        <v>2</v>
      </c>
      <c r="F47" s="197">
        <v>2</v>
      </c>
      <c r="G47" s="197">
        <v>1</v>
      </c>
      <c r="H47" s="197">
        <v>0</v>
      </c>
      <c r="I47" s="197">
        <v>0</v>
      </c>
      <c r="J47" s="197">
        <v>0</v>
      </c>
    </row>
    <row r="48" spans="1:10" x14ac:dyDescent="0.25">
      <c r="A48" s="883" t="s">
        <v>1258</v>
      </c>
      <c r="B48" s="197">
        <v>0</v>
      </c>
      <c r="C48" s="197">
        <v>1</v>
      </c>
      <c r="D48" s="197">
        <v>3</v>
      </c>
      <c r="E48" s="197">
        <v>1</v>
      </c>
      <c r="F48" s="197">
        <v>1</v>
      </c>
      <c r="G48" s="197">
        <v>0</v>
      </c>
      <c r="H48" s="197">
        <v>0</v>
      </c>
      <c r="I48" s="197">
        <v>0</v>
      </c>
      <c r="J48" s="197">
        <v>0</v>
      </c>
    </row>
    <row r="49" spans="1:10" x14ac:dyDescent="0.25">
      <c r="A49" s="196" t="s">
        <v>1259</v>
      </c>
      <c r="B49" s="197">
        <v>0</v>
      </c>
      <c r="C49" s="197">
        <v>0</v>
      </c>
      <c r="D49" s="197">
        <v>1</v>
      </c>
      <c r="E49" s="197">
        <v>1</v>
      </c>
      <c r="F49" s="197">
        <v>1</v>
      </c>
      <c r="G49" s="197">
        <v>0</v>
      </c>
      <c r="H49" s="197">
        <v>0</v>
      </c>
      <c r="I49" s="197">
        <v>0</v>
      </c>
      <c r="J49" s="197">
        <v>0</v>
      </c>
    </row>
    <row r="50" spans="1:10" ht="12.75" customHeight="1" x14ac:dyDescent="0.3">
      <c r="A50" s="372"/>
      <c r="B50" s="373"/>
      <c r="C50" s="373"/>
      <c r="D50" s="373"/>
      <c r="E50" s="373"/>
      <c r="F50" s="373"/>
      <c r="G50" s="373"/>
      <c r="H50" s="373"/>
      <c r="I50" s="373"/>
      <c r="J50" s="373"/>
    </row>
    <row r="51" spans="1:10" x14ac:dyDescent="0.25">
      <c r="A51" s="202" t="s">
        <v>1260</v>
      </c>
      <c r="B51" s="201">
        <v>59</v>
      </c>
      <c r="C51" s="201">
        <v>66</v>
      </c>
      <c r="D51" s="201">
        <v>59</v>
      </c>
      <c r="E51" s="201">
        <v>60</v>
      </c>
      <c r="F51" s="201">
        <v>60</v>
      </c>
      <c r="G51" s="201">
        <v>84</v>
      </c>
      <c r="H51" s="201">
        <v>93</v>
      </c>
      <c r="I51" s="201">
        <v>93</v>
      </c>
      <c r="J51" s="201">
        <v>103</v>
      </c>
    </row>
    <row r="52" spans="1:10" ht="12.75" customHeight="1" x14ac:dyDescent="0.3">
      <c r="A52" s="372"/>
      <c r="B52" s="373"/>
      <c r="C52" s="373"/>
      <c r="D52" s="373"/>
      <c r="E52" s="373"/>
      <c r="F52" s="373"/>
      <c r="G52" s="373"/>
      <c r="H52" s="373"/>
      <c r="I52" s="373"/>
      <c r="J52" s="373"/>
    </row>
    <row r="53" spans="1:10" x14ac:dyDescent="0.25">
      <c r="A53" s="202" t="s">
        <v>1003</v>
      </c>
      <c r="B53" s="201">
        <f t="shared" ref="B53:I53" si="0">SUM(B4:B51)</f>
        <v>2408</v>
      </c>
      <c r="C53" s="201">
        <f t="shared" si="0"/>
        <v>2614</v>
      </c>
      <c r="D53" s="201">
        <f t="shared" si="0"/>
        <v>2838</v>
      </c>
      <c r="E53" s="201">
        <f t="shared" si="0"/>
        <v>3060</v>
      </c>
      <c r="F53" s="1072">
        <f t="shared" si="0"/>
        <v>3069</v>
      </c>
      <c r="G53" s="201">
        <f t="shared" si="0"/>
        <v>3049</v>
      </c>
      <c r="H53" s="201">
        <f t="shared" si="0"/>
        <v>2877</v>
      </c>
      <c r="I53" s="201">
        <f t="shared" si="0"/>
        <v>2787</v>
      </c>
      <c r="J53" s="201">
        <f>SUM(J4:J51)</f>
        <v>2701</v>
      </c>
    </row>
    <row r="54" spans="1:10" x14ac:dyDescent="0.25">
      <c r="H54" s="210"/>
    </row>
  </sheetData>
  <mergeCells count="1">
    <mergeCell ref="A1:J1"/>
  </mergeCells>
  <phoneticPr fontId="16" type="noConversion"/>
  <printOptions horizontalCentered="1" verticalCentered="1"/>
  <pageMargins left="0.75" right="0.75" top="1" bottom="1" header="0.5" footer="0.5"/>
  <pageSetup scale="95" orientation="portrait" horizontalDpi="4294967294" r:id="rId1"/>
  <headerFooter alignWithMargins="0">
    <oddFooter>&amp;L&amp;8Source: Office of Institutional Research</oddFooter>
  </headerFooter>
  <webPublishItems count="1">
    <webPublishItem id="30013" divId="2001_2002 FACT BOOK FINAL COPY_30013" sourceType="sheet" destinationFile="U:\My Documents\2004-2005 FACT BOOK\2004-2005 fact book WEB PAGES\04-05geodistributionbySTATE.htm"/>
  </webPublishItem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J56"/>
  <sheetViews>
    <sheetView workbookViewId="0">
      <selection sqref="A1:J1"/>
    </sheetView>
  </sheetViews>
  <sheetFormatPr defaultColWidth="7.88671875" defaultRowHeight="13.2" x14ac:dyDescent="0.25"/>
  <cols>
    <col min="1" max="1" width="17.33203125" style="203" customWidth="1"/>
    <col min="2" max="5" width="7.88671875" style="203" hidden="1" customWidth="1"/>
    <col min="6" max="7" width="7.88671875" style="203" customWidth="1"/>
    <col min="8" max="8" width="7.6640625" style="203" customWidth="1"/>
    <col min="9" max="16384" width="7.88671875" style="203"/>
  </cols>
  <sheetData>
    <row r="1" spans="1:10" ht="71.25" customHeight="1" x14ac:dyDescent="0.25">
      <c r="A1" s="2209" t="s">
        <v>1357</v>
      </c>
      <c r="B1" s="2209"/>
      <c r="C1" s="2209"/>
      <c r="D1" s="2209"/>
      <c r="E1" s="2209"/>
      <c r="F1" s="2209"/>
      <c r="G1" s="2209"/>
      <c r="H1" s="2209"/>
      <c r="I1" s="2209"/>
      <c r="J1" s="2209"/>
    </row>
    <row r="2" spans="1:10" x14ac:dyDescent="0.25">
      <c r="A2" s="261" t="s">
        <v>1261</v>
      </c>
      <c r="B2" s="204">
        <v>2007</v>
      </c>
      <c r="C2" s="204">
        <v>2008</v>
      </c>
      <c r="D2" s="204">
        <v>2009</v>
      </c>
      <c r="E2" s="204">
        <v>2010</v>
      </c>
      <c r="F2" s="204">
        <v>2011</v>
      </c>
      <c r="G2" s="204">
        <v>2012</v>
      </c>
      <c r="H2" s="204">
        <v>2013</v>
      </c>
      <c r="I2" s="204">
        <v>2014</v>
      </c>
      <c r="J2" s="204">
        <v>2015</v>
      </c>
    </row>
    <row r="3" spans="1:10" s="210" customFormat="1" ht="12.75" customHeight="1" x14ac:dyDescent="0.3">
      <c r="A3" s="388"/>
      <c r="B3" s="389"/>
      <c r="C3" s="389"/>
      <c r="D3" s="389"/>
      <c r="E3" s="389"/>
      <c r="F3" s="389"/>
      <c r="G3" s="389"/>
      <c r="H3" s="389"/>
      <c r="I3" s="389"/>
      <c r="J3" s="389"/>
    </row>
    <row r="4" spans="1:10" x14ac:dyDescent="0.25">
      <c r="A4" s="205" t="s">
        <v>1262</v>
      </c>
      <c r="B4" s="206">
        <v>120</v>
      </c>
      <c r="C4" s="206">
        <v>135</v>
      </c>
      <c r="D4" s="206">
        <v>136</v>
      </c>
      <c r="E4" s="206">
        <v>136</v>
      </c>
      <c r="F4" s="206">
        <v>155</v>
      </c>
      <c r="G4" s="206">
        <v>149</v>
      </c>
      <c r="H4" s="206">
        <v>130</v>
      </c>
      <c r="I4" s="206">
        <v>141</v>
      </c>
      <c r="J4" s="206">
        <v>129</v>
      </c>
    </row>
    <row r="5" spans="1:10" x14ac:dyDescent="0.25">
      <c r="A5" s="207" t="s">
        <v>1263</v>
      </c>
      <c r="B5" s="208">
        <v>41</v>
      </c>
      <c r="C5" s="208">
        <v>45</v>
      </c>
      <c r="D5" s="208">
        <v>57</v>
      </c>
      <c r="E5" s="208">
        <v>70</v>
      </c>
      <c r="F5" s="208">
        <v>59</v>
      </c>
      <c r="G5" s="208">
        <v>69</v>
      </c>
      <c r="H5" s="208">
        <v>70</v>
      </c>
      <c r="I5" s="208">
        <v>74</v>
      </c>
      <c r="J5" s="208">
        <v>77</v>
      </c>
    </row>
    <row r="6" spans="1:10" x14ac:dyDescent="0.25">
      <c r="A6" s="207" t="s">
        <v>1264</v>
      </c>
      <c r="B6" s="208">
        <v>2</v>
      </c>
      <c r="C6" s="208">
        <v>3</v>
      </c>
      <c r="D6" s="208">
        <v>3</v>
      </c>
      <c r="E6" s="208">
        <v>3</v>
      </c>
      <c r="F6" s="208">
        <v>3</v>
      </c>
      <c r="G6" s="208">
        <v>3</v>
      </c>
      <c r="H6" s="208">
        <v>1</v>
      </c>
      <c r="I6" s="208">
        <v>3</v>
      </c>
      <c r="J6" s="208">
        <v>2</v>
      </c>
    </row>
    <row r="7" spans="1:10" x14ac:dyDescent="0.25">
      <c r="A7" s="207" t="s">
        <v>1265</v>
      </c>
      <c r="B7" s="208">
        <v>188</v>
      </c>
      <c r="C7" s="208">
        <v>191</v>
      </c>
      <c r="D7" s="208">
        <v>216</v>
      </c>
      <c r="E7" s="208">
        <v>239</v>
      </c>
      <c r="F7" s="208">
        <v>240</v>
      </c>
      <c r="G7" s="208">
        <v>230</v>
      </c>
      <c r="H7" s="208">
        <v>218</v>
      </c>
      <c r="I7" s="208">
        <v>179</v>
      </c>
      <c r="J7" s="208">
        <v>168</v>
      </c>
    </row>
    <row r="8" spans="1:10" x14ac:dyDescent="0.25">
      <c r="A8" s="207" t="s">
        <v>1266</v>
      </c>
      <c r="B8" s="208">
        <v>7</v>
      </c>
      <c r="C8" s="208">
        <v>7</v>
      </c>
      <c r="D8" s="208">
        <v>9</v>
      </c>
      <c r="E8" s="208">
        <v>10</v>
      </c>
      <c r="F8" s="208">
        <v>10</v>
      </c>
      <c r="G8" s="208">
        <v>6</v>
      </c>
      <c r="H8" s="208">
        <v>4</v>
      </c>
      <c r="I8" s="208">
        <v>2</v>
      </c>
      <c r="J8" s="208">
        <v>2</v>
      </c>
    </row>
    <row r="9" spans="1:10" x14ac:dyDescent="0.25">
      <c r="A9" s="207" t="s">
        <v>1267</v>
      </c>
      <c r="B9" s="208">
        <v>20</v>
      </c>
      <c r="C9" s="208">
        <v>17</v>
      </c>
      <c r="D9" s="208">
        <v>23</v>
      </c>
      <c r="E9" s="208">
        <v>9</v>
      </c>
      <c r="F9" s="208">
        <v>14</v>
      </c>
      <c r="G9" s="208">
        <v>23</v>
      </c>
      <c r="H9" s="208">
        <v>17</v>
      </c>
      <c r="I9" s="208">
        <v>19</v>
      </c>
      <c r="J9" s="208">
        <v>12</v>
      </c>
    </row>
    <row r="10" spans="1:10" x14ac:dyDescent="0.25">
      <c r="A10" s="207" t="s">
        <v>1268</v>
      </c>
      <c r="B10" s="208">
        <v>14</v>
      </c>
      <c r="C10" s="208">
        <v>11</v>
      </c>
      <c r="D10" s="208">
        <v>18</v>
      </c>
      <c r="E10" s="208">
        <v>16</v>
      </c>
      <c r="F10" s="208">
        <v>21</v>
      </c>
      <c r="G10" s="208">
        <v>22</v>
      </c>
      <c r="H10" s="208">
        <v>21</v>
      </c>
      <c r="I10" s="208">
        <v>20</v>
      </c>
      <c r="J10" s="208">
        <v>30</v>
      </c>
    </row>
    <row r="11" spans="1:10" x14ac:dyDescent="0.25">
      <c r="A11" s="209" t="s">
        <v>591</v>
      </c>
      <c r="B11" s="208">
        <v>33</v>
      </c>
      <c r="C11" s="208">
        <v>36</v>
      </c>
      <c r="D11" s="208">
        <v>48</v>
      </c>
      <c r="E11" s="208">
        <v>62</v>
      </c>
      <c r="F11" s="208">
        <v>55</v>
      </c>
      <c r="G11" s="208">
        <v>52</v>
      </c>
      <c r="H11" s="208">
        <v>52</v>
      </c>
      <c r="I11" s="208">
        <v>37</v>
      </c>
      <c r="J11" s="208">
        <v>38</v>
      </c>
    </row>
    <row r="12" spans="1:10" x14ac:dyDescent="0.25">
      <c r="A12" s="207" t="s">
        <v>1269</v>
      </c>
      <c r="B12" s="208">
        <v>2</v>
      </c>
      <c r="C12" s="208">
        <v>3</v>
      </c>
      <c r="D12" s="208">
        <v>3</v>
      </c>
      <c r="E12" s="208">
        <v>4</v>
      </c>
      <c r="F12" s="208">
        <v>4</v>
      </c>
      <c r="G12" s="208">
        <v>6</v>
      </c>
      <c r="H12" s="208">
        <v>5</v>
      </c>
      <c r="I12" s="208">
        <v>5</v>
      </c>
      <c r="J12" s="208">
        <v>4</v>
      </c>
    </row>
    <row r="13" spans="1:10" x14ac:dyDescent="0.25">
      <c r="A13" s="207" t="s">
        <v>1270</v>
      </c>
      <c r="B13" s="208">
        <v>47</v>
      </c>
      <c r="C13" s="208">
        <v>38</v>
      </c>
      <c r="D13" s="208">
        <v>41</v>
      </c>
      <c r="E13" s="208">
        <v>55</v>
      </c>
      <c r="F13" s="208">
        <v>55</v>
      </c>
      <c r="G13" s="208">
        <v>49</v>
      </c>
      <c r="H13" s="208">
        <v>60</v>
      </c>
      <c r="I13" s="208">
        <v>50</v>
      </c>
      <c r="J13" s="208">
        <v>51</v>
      </c>
    </row>
    <row r="14" spans="1:10" x14ac:dyDescent="0.25">
      <c r="A14" s="207" t="s">
        <v>1271</v>
      </c>
      <c r="B14" s="208">
        <v>16</v>
      </c>
      <c r="C14" s="208">
        <v>18</v>
      </c>
      <c r="D14" s="208">
        <v>10</v>
      </c>
      <c r="E14" s="208">
        <v>10</v>
      </c>
      <c r="F14" s="208">
        <v>11</v>
      </c>
      <c r="G14" s="208">
        <v>18</v>
      </c>
      <c r="H14" s="208">
        <v>13</v>
      </c>
      <c r="I14" s="208">
        <v>13</v>
      </c>
      <c r="J14" s="208">
        <v>19</v>
      </c>
    </row>
    <row r="15" spans="1:10" x14ac:dyDescent="0.25">
      <c r="A15" s="207" t="s">
        <v>1274</v>
      </c>
      <c r="B15" s="208">
        <v>13</v>
      </c>
      <c r="C15" s="208">
        <v>14</v>
      </c>
      <c r="D15" s="208">
        <v>9</v>
      </c>
      <c r="E15" s="208">
        <v>14</v>
      </c>
      <c r="F15" s="208">
        <v>15</v>
      </c>
      <c r="G15" s="208">
        <v>29</v>
      </c>
      <c r="H15" s="208">
        <v>23</v>
      </c>
      <c r="I15" s="208">
        <v>29</v>
      </c>
      <c r="J15" s="208">
        <v>24</v>
      </c>
    </row>
    <row r="16" spans="1:10" x14ac:dyDescent="0.25">
      <c r="A16" s="207" t="s">
        <v>1275</v>
      </c>
      <c r="B16" s="208">
        <v>12</v>
      </c>
      <c r="C16" s="208">
        <v>16</v>
      </c>
      <c r="D16" s="208">
        <v>26</v>
      </c>
      <c r="E16" s="208">
        <v>22</v>
      </c>
      <c r="F16" s="208">
        <v>22</v>
      </c>
      <c r="G16" s="208">
        <v>17</v>
      </c>
      <c r="H16" s="208">
        <v>16</v>
      </c>
      <c r="I16" s="208">
        <v>11</v>
      </c>
      <c r="J16" s="208">
        <v>17</v>
      </c>
    </row>
    <row r="17" spans="1:10" x14ac:dyDescent="0.25">
      <c r="A17" s="207" t="s">
        <v>1276</v>
      </c>
      <c r="B17" s="208">
        <v>1</v>
      </c>
      <c r="C17" s="208">
        <v>4</v>
      </c>
      <c r="D17" s="208">
        <v>3</v>
      </c>
      <c r="E17" s="208">
        <v>5</v>
      </c>
      <c r="F17" s="208">
        <v>4</v>
      </c>
      <c r="G17" s="208">
        <v>5</v>
      </c>
      <c r="H17" s="208">
        <v>3</v>
      </c>
      <c r="I17" s="208">
        <v>6</v>
      </c>
      <c r="J17" s="208">
        <v>4</v>
      </c>
    </row>
    <row r="18" spans="1:10" x14ac:dyDescent="0.25">
      <c r="A18" s="207" t="s">
        <v>1277</v>
      </c>
      <c r="B18" s="208">
        <v>5</v>
      </c>
      <c r="C18" s="208">
        <v>4</v>
      </c>
      <c r="D18" s="208">
        <v>7</v>
      </c>
      <c r="E18" s="208">
        <v>5</v>
      </c>
      <c r="F18" s="208">
        <v>8</v>
      </c>
      <c r="G18" s="208">
        <v>4</v>
      </c>
      <c r="H18" s="208">
        <v>5</v>
      </c>
      <c r="I18" s="208">
        <v>4</v>
      </c>
      <c r="J18" s="208">
        <v>6</v>
      </c>
    </row>
    <row r="19" spans="1:10" x14ac:dyDescent="0.25">
      <c r="A19" s="207" t="s">
        <v>1278</v>
      </c>
      <c r="B19" s="208">
        <v>10</v>
      </c>
      <c r="C19" s="208">
        <v>11</v>
      </c>
      <c r="D19" s="208">
        <v>16</v>
      </c>
      <c r="E19" s="208">
        <v>17</v>
      </c>
      <c r="F19" s="208">
        <v>19</v>
      </c>
      <c r="G19" s="208">
        <v>25</v>
      </c>
      <c r="H19" s="208">
        <v>26</v>
      </c>
      <c r="I19" s="208">
        <v>18</v>
      </c>
      <c r="J19" s="208">
        <v>14</v>
      </c>
    </row>
    <row r="20" spans="1:10" x14ac:dyDescent="0.25">
      <c r="A20" s="207" t="s">
        <v>1279</v>
      </c>
      <c r="B20" s="208">
        <v>10</v>
      </c>
      <c r="C20" s="208">
        <v>7</v>
      </c>
      <c r="D20" s="208">
        <v>2</v>
      </c>
      <c r="E20" s="208">
        <v>4</v>
      </c>
      <c r="F20" s="208">
        <v>6</v>
      </c>
      <c r="G20" s="208">
        <v>5</v>
      </c>
      <c r="H20" s="208">
        <v>7</v>
      </c>
      <c r="I20" s="208">
        <v>8</v>
      </c>
      <c r="J20" s="208">
        <v>7</v>
      </c>
    </row>
    <row r="21" spans="1:10" x14ac:dyDescent="0.25">
      <c r="A21" s="207" t="s">
        <v>1280</v>
      </c>
      <c r="B21" s="208">
        <v>15</v>
      </c>
      <c r="C21" s="208">
        <v>17</v>
      </c>
      <c r="D21" s="208">
        <v>21</v>
      </c>
      <c r="E21" s="208">
        <v>25</v>
      </c>
      <c r="F21" s="208">
        <v>26</v>
      </c>
      <c r="G21" s="208">
        <v>31</v>
      </c>
      <c r="H21" s="208">
        <v>37</v>
      </c>
      <c r="I21" s="208">
        <v>36</v>
      </c>
      <c r="J21" s="208">
        <v>31</v>
      </c>
    </row>
    <row r="22" spans="1:10" x14ac:dyDescent="0.25">
      <c r="A22" s="205" t="s">
        <v>1281</v>
      </c>
      <c r="B22" s="206">
        <v>26</v>
      </c>
      <c r="C22" s="206">
        <v>26</v>
      </c>
      <c r="D22" s="206">
        <v>30</v>
      </c>
      <c r="E22" s="206">
        <v>21</v>
      </c>
      <c r="F22" s="206">
        <v>21</v>
      </c>
      <c r="G22" s="206">
        <v>18</v>
      </c>
      <c r="H22" s="206">
        <v>15</v>
      </c>
      <c r="I22" s="206">
        <v>21</v>
      </c>
      <c r="J22" s="206">
        <v>22</v>
      </c>
    </row>
    <row r="23" spans="1:10" x14ac:dyDescent="0.25">
      <c r="A23" s="207" t="s">
        <v>1282</v>
      </c>
      <c r="B23" s="208">
        <v>12</v>
      </c>
      <c r="C23" s="208">
        <v>8</v>
      </c>
      <c r="D23" s="208">
        <v>14</v>
      </c>
      <c r="E23" s="208">
        <v>25</v>
      </c>
      <c r="F23" s="208">
        <v>29</v>
      </c>
      <c r="G23" s="208">
        <v>34</v>
      </c>
      <c r="H23" s="208">
        <v>32</v>
      </c>
      <c r="I23" s="208">
        <v>26</v>
      </c>
      <c r="J23" s="208">
        <v>16</v>
      </c>
    </row>
    <row r="24" spans="1:10" x14ac:dyDescent="0.25">
      <c r="A24" s="207" t="s">
        <v>1283</v>
      </c>
      <c r="B24" s="208">
        <v>22</v>
      </c>
      <c r="C24" s="208">
        <v>24</v>
      </c>
      <c r="D24" s="208">
        <v>26</v>
      </c>
      <c r="E24" s="208">
        <v>42</v>
      </c>
      <c r="F24" s="208">
        <v>35</v>
      </c>
      <c r="G24" s="208">
        <v>36</v>
      </c>
      <c r="H24" s="208">
        <v>30</v>
      </c>
      <c r="I24" s="208">
        <v>23</v>
      </c>
      <c r="J24" s="208">
        <v>18</v>
      </c>
    </row>
    <row r="25" spans="1:10" x14ac:dyDescent="0.25">
      <c r="A25" s="207" t="s">
        <v>1284</v>
      </c>
      <c r="B25" s="208">
        <v>4</v>
      </c>
      <c r="C25" s="208">
        <v>11</v>
      </c>
      <c r="D25" s="208">
        <v>9</v>
      </c>
      <c r="E25" s="208">
        <v>18</v>
      </c>
      <c r="F25" s="208">
        <v>16</v>
      </c>
      <c r="G25" s="208">
        <v>17</v>
      </c>
      <c r="H25" s="208">
        <v>15</v>
      </c>
      <c r="I25" s="208">
        <v>13</v>
      </c>
      <c r="J25" s="208">
        <v>12</v>
      </c>
    </row>
    <row r="26" spans="1:10" x14ac:dyDescent="0.25">
      <c r="A26" s="207" t="s">
        <v>1285</v>
      </c>
      <c r="B26" s="208">
        <v>241</v>
      </c>
      <c r="C26" s="208">
        <v>233</v>
      </c>
      <c r="D26" s="208">
        <v>274</v>
      </c>
      <c r="E26" s="208">
        <v>277</v>
      </c>
      <c r="F26" s="208">
        <v>289</v>
      </c>
      <c r="G26" s="208">
        <v>262</v>
      </c>
      <c r="H26" s="208">
        <v>225</v>
      </c>
      <c r="I26" s="208">
        <v>238</v>
      </c>
      <c r="J26" s="208">
        <v>229</v>
      </c>
    </row>
    <row r="27" spans="1:10" x14ac:dyDescent="0.25">
      <c r="A27" s="205" t="s">
        <v>1286</v>
      </c>
      <c r="B27" s="206">
        <v>604</v>
      </c>
      <c r="C27" s="206">
        <v>688</v>
      </c>
      <c r="D27" s="1073">
        <v>684</v>
      </c>
      <c r="E27" s="1073">
        <v>644</v>
      </c>
      <c r="F27" s="1073">
        <v>592</v>
      </c>
      <c r="G27" s="1073">
        <v>583</v>
      </c>
      <c r="H27" s="1073">
        <v>496</v>
      </c>
      <c r="I27" s="1073">
        <v>502</v>
      </c>
      <c r="J27" s="1073">
        <v>501</v>
      </c>
    </row>
    <row r="28" spans="1:10" x14ac:dyDescent="0.25">
      <c r="A28" s="207" t="s">
        <v>1287</v>
      </c>
      <c r="B28" s="208">
        <v>3</v>
      </c>
      <c r="C28" s="208">
        <v>3</v>
      </c>
      <c r="D28" s="208">
        <v>12</v>
      </c>
      <c r="E28" s="208">
        <v>8</v>
      </c>
      <c r="F28" s="208">
        <v>6</v>
      </c>
      <c r="G28" s="208">
        <v>6</v>
      </c>
      <c r="H28" s="208">
        <v>6</v>
      </c>
      <c r="I28" s="208">
        <v>5</v>
      </c>
      <c r="J28" s="208">
        <v>6</v>
      </c>
    </row>
    <row r="29" spans="1:10" x14ac:dyDescent="0.25">
      <c r="A29" s="207" t="s">
        <v>1288</v>
      </c>
      <c r="B29" s="208">
        <v>8</v>
      </c>
      <c r="C29" s="208">
        <v>11</v>
      </c>
      <c r="D29" s="208">
        <v>21</v>
      </c>
      <c r="E29" s="208">
        <v>24</v>
      </c>
      <c r="F29" s="208">
        <v>19</v>
      </c>
      <c r="G29" s="208">
        <v>12</v>
      </c>
      <c r="H29" s="208">
        <v>11</v>
      </c>
      <c r="I29" s="208">
        <v>11</v>
      </c>
      <c r="J29" s="208">
        <v>19</v>
      </c>
    </row>
    <row r="30" spans="1:10" x14ac:dyDescent="0.25">
      <c r="A30" s="207" t="s">
        <v>1289</v>
      </c>
      <c r="B30" s="208">
        <v>1</v>
      </c>
      <c r="C30" s="208">
        <v>1</v>
      </c>
      <c r="D30" s="208">
        <v>2</v>
      </c>
      <c r="E30" s="208">
        <v>2</v>
      </c>
      <c r="F30" s="208">
        <v>4</v>
      </c>
      <c r="G30" s="208">
        <v>4</v>
      </c>
      <c r="H30" s="208">
        <v>1</v>
      </c>
      <c r="I30" s="208">
        <v>2</v>
      </c>
      <c r="J30" s="208">
        <v>5</v>
      </c>
    </row>
    <row r="31" spans="1:10" x14ac:dyDescent="0.25">
      <c r="A31" s="207" t="s">
        <v>1290</v>
      </c>
      <c r="B31" s="208">
        <v>14</v>
      </c>
      <c r="C31" s="208">
        <v>13</v>
      </c>
      <c r="D31" s="208">
        <v>14</v>
      </c>
      <c r="E31" s="208">
        <v>29</v>
      </c>
      <c r="F31" s="208">
        <v>36</v>
      </c>
      <c r="G31" s="208">
        <v>29</v>
      </c>
      <c r="H31" s="208">
        <v>33</v>
      </c>
      <c r="I31" s="208">
        <v>26</v>
      </c>
      <c r="J31" s="208">
        <v>26</v>
      </c>
    </row>
    <row r="32" spans="1:10" x14ac:dyDescent="0.25">
      <c r="A32" s="207" t="s">
        <v>1291</v>
      </c>
      <c r="B32" s="208">
        <v>10</v>
      </c>
      <c r="C32" s="208">
        <v>11</v>
      </c>
      <c r="D32" s="208">
        <v>17</v>
      </c>
      <c r="E32" s="208">
        <v>17</v>
      </c>
      <c r="F32" s="208">
        <v>22</v>
      </c>
      <c r="G32" s="208">
        <v>21</v>
      </c>
      <c r="H32" s="208">
        <v>23</v>
      </c>
      <c r="I32" s="208">
        <v>19</v>
      </c>
      <c r="J32" s="208">
        <v>16</v>
      </c>
    </row>
    <row r="33" spans="1:10" x14ac:dyDescent="0.25">
      <c r="A33" s="205" t="s">
        <v>1292</v>
      </c>
      <c r="B33" s="206">
        <v>156</v>
      </c>
      <c r="C33" s="206">
        <v>169</v>
      </c>
      <c r="D33" s="206">
        <v>159</v>
      </c>
      <c r="E33" s="206">
        <v>183</v>
      </c>
      <c r="F33" s="206">
        <v>187</v>
      </c>
      <c r="G33" s="206">
        <v>170</v>
      </c>
      <c r="H33" s="206">
        <v>172</v>
      </c>
      <c r="I33" s="206">
        <v>156</v>
      </c>
      <c r="J33" s="206">
        <v>132</v>
      </c>
    </row>
    <row r="34" spans="1:10" x14ac:dyDescent="0.25">
      <c r="A34" s="207" t="s">
        <v>1293</v>
      </c>
      <c r="B34" s="208">
        <v>2</v>
      </c>
      <c r="C34" s="208">
        <v>3</v>
      </c>
      <c r="D34" s="208">
        <v>3</v>
      </c>
      <c r="E34" s="208">
        <v>4</v>
      </c>
      <c r="F34" s="208">
        <v>6</v>
      </c>
      <c r="G34" s="208">
        <v>6</v>
      </c>
      <c r="H34" s="208">
        <v>5</v>
      </c>
      <c r="I34" s="208">
        <v>5</v>
      </c>
      <c r="J34" s="208">
        <v>3</v>
      </c>
    </row>
    <row r="35" spans="1:10" x14ac:dyDescent="0.25">
      <c r="A35" s="207" t="s">
        <v>1294</v>
      </c>
      <c r="B35" s="208">
        <v>121</v>
      </c>
      <c r="C35" s="208">
        <v>106</v>
      </c>
      <c r="D35" s="208">
        <v>122</v>
      </c>
      <c r="E35" s="208">
        <v>170</v>
      </c>
      <c r="F35" s="208">
        <v>164</v>
      </c>
      <c r="G35" s="208">
        <v>151</v>
      </c>
      <c r="H35" s="208">
        <v>164</v>
      </c>
      <c r="I35" s="208">
        <v>183</v>
      </c>
      <c r="J35" s="208">
        <v>175</v>
      </c>
    </row>
    <row r="36" spans="1:10" x14ac:dyDescent="0.25">
      <c r="A36" s="207" t="s">
        <v>1295</v>
      </c>
      <c r="B36" s="208">
        <v>3</v>
      </c>
      <c r="C36" s="208">
        <v>1</v>
      </c>
      <c r="D36" s="208">
        <v>6</v>
      </c>
      <c r="E36" s="208">
        <v>5</v>
      </c>
      <c r="F36" s="208">
        <v>7</v>
      </c>
      <c r="G36" s="208">
        <v>7</v>
      </c>
      <c r="H36" s="208">
        <v>5</v>
      </c>
      <c r="I36" s="208">
        <v>4</v>
      </c>
      <c r="J36" s="208">
        <v>4</v>
      </c>
    </row>
    <row r="37" spans="1:10" x14ac:dyDescent="0.25">
      <c r="A37" s="207" t="s">
        <v>1296</v>
      </c>
      <c r="B37" s="208">
        <v>3</v>
      </c>
      <c r="C37" s="208">
        <v>6</v>
      </c>
      <c r="D37" s="208">
        <v>4</v>
      </c>
      <c r="E37" s="208">
        <v>7</v>
      </c>
      <c r="F37" s="208">
        <v>7</v>
      </c>
      <c r="G37" s="208">
        <v>9</v>
      </c>
      <c r="H37" s="208">
        <v>6</v>
      </c>
      <c r="I37" s="208">
        <v>6</v>
      </c>
      <c r="J37" s="208">
        <v>5</v>
      </c>
    </row>
    <row r="38" spans="1:10" x14ac:dyDescent="0.25">
      <c r="A38" s="205" t="s">
        <v>1298</v>
      </c>
      <c r="B38" s="206">
        <v>25</v>
      </c>
      <c r="C38" s="206">
        <v>26</v>
      </c>
      <c r="D38" s="206">
        <v>24</v>
      </c>
      <c r="E38" s="206">
        <v>24</v>
      </c>
      <c r="F38" s="206">
        <v>16</v>
      </c>
      <c r="G38" s="206">
        <v>16</v>
      </c>
      <c r="H38" s="206">
        <v>14</v>
      </c>
      <c r="I38" s="206">
        <v>15</v>
      </c>
      <c r="J38" s="206">
        <v>10</v>
      </c>
    </row>
    <row r="39" spans="1:10" x14ac:dyDescent="0.25">
      <c r="A39" s="205" t="s">
        <v>1299</v>
      </c>
      <c r="B39" s="206">
        <v>60</v>
      </c>
      <c r="C39" s="206">
        <v>62</v>
      </c>
      <c r="D39" s="206">
        <v>64</v>
      </c>
      <c r="E39" s="206">
        <v>55</v>
      </c>
      <c r="F39" s="206">
        <v>52</v>
      </c>
      <c r="G39" s="206">
        <v>54</v>
      </c>
      <c r="H39" s="206">
        <v>55</v>
      </c>
      <c r="I39" s="206">
        <v>52</v>
      </c>
      <c r="J39" s="206">
        <v>52</v>
      </c>
    </row>
    <row r="40" spans="1:10" x14ac:dyDescent="0.25">
      <c r="A40" s="207" t="s">
        <v>1300</v>
      </c>
      <c r="B40" s="208">
        <v>23</v>
      </c>
      <c r="C40" s="208">
        <v>30</v>
      </c>
      <c r="D40" s="208">
        <v>25</v>
      </c>
      <c r="E40" s="208">
        <v>37</v>
      </c>
      <c r="F40" s="208">
        <v>29</v>
      </c>
      <c r="G40" s="208">
        <v>32</v>
      </c>
      <c r="H40" s="208">
        <v>26</v>
      </c>
      <c r="I40" s="208">
        <v>28</v>
      </c>
      <c r="J40" s="208">
        <v>28</v>
      </c>
    </row>
    <row r="41" spans="1:10" x14ac:dyDescent="0.25">
      <c r="A41" s="207" t="s">
        <v>1301</v>
      </c>
      <c r="B41" s="208">
        <v>20</v>
      </c>
      <c r="C41" s="208">
        <v>22</v>
      </c>
      <c r="D41" s="208">
        <v>27</v>
      </c>
      <c r="E41" s="208">
        <v>35</v>
      </c>
      <c r="F41" s="208">
        <v>41</v>
      </c>
      <c r="G41" s="208">
        <v>48</v>
      </c>
      <c r="H41" s="208">
        <v>55</v>
      </c>
      <c r="I41" s="208">
        <v>39</v>
      </c>
      <c r="J41" s="208">
        <v>37</v>
      </c>
    </row>
    <row r="42" spans="1:10" x14ac:dyDescent="0.25">
      <c r="A42" s="207" t="s">
        <v>1302</v>
      </c>
      <c r="B42" s="208">
        <v>40</v>
      </c>
      <c r="C42" s="208">
        <v>38</v>
      </c>
      <c r="D42" s="208">
        <v>33</v>
      </c>
      <c r="E42" s="208">
        <v>37</v>
      </c>
      <c r="F42" s="208">
        <v>45</v>
      </c>
      <c r="G42" s="208">
        <v>44</v>
      </c>
      <c r="H42" s="208">
        <v>47</v>
      </c>
      <c r="I42" s="208">
        <v>45</v>
      </c>
      <c r="J42" s="208">
        <v>41</v>
      </c>
    </row>
    <row r="43" spans="1:10" x14ac:dyDescent="0.25">
      <c r="A43" s="209" t="s">
        <v>1303</v>
      </c>
      <c r="B43" s="208">
        <v>112</v>
      </c>
      <c r="C43" s="208">
        <v>126</v>
      </c>
      <c r="D43" s="208">
        <v>156</v>
      </c>
      <c r="E43" s="208">
        <v>171</v>
      </c>
      <c r="F43" s="208">
        <v>196</v>
      </c>
      <c r="G43" s="208">
        <v>216</v>
      </c>
      <c r="H43" s="208">
        <v>225</v>
      </c>
      <c r="I43" s="208">
        <v>212</v>
      </c>
      <c r="J43" s="208">
        <v>201</v>
      </c>
    </row>
    <row r="44" spans="1:10" x14ac:dyDescent="0.25">
      <c r="A44" s="205" t="s">
        <v>1304</v>
      </c>
      <c r="B44" s="206">
        <v>44</v>
      </c>
      <c r="C44" s="206">
        <v>54</v>
      </c>
      <c r="D44" s="206">
        <v>58</v>
      </c>
      <c r="E44" s="206">
        <v>59</v>
      </c>
      <c r="F44" s="206">
        <v>51</v>
      </c>
      <c r="G44" s="206">
        <v>37</v>
      </c>
      <c r="H44" s="206">
        <v>31</v>
      </c>
      <c r="I44" s="206">
        <v>33</v>
      </c>
      <c r="J44" s="206">
        <v>31</v>
      </c>
    </row>
    <row r="45" spans="1:10" x14ac:dyDescent="0.25">
      <c r="A45" s="209" t="s">
        <v>1305</v>
      </c>
      <c r="B45" s="208">
        <v>80</v>
      </c>
      <c r="C45" s="208">
        <v>88</v>
      </c>
      <c r="D45" s="208">
        <v>95</v>
      </c>
      <c r="E45" s="208">
        <v>111</v>
      </c>
      <c r="F45" s="208">
        <v>126</v>
      </c>
      <c r="G45" s="208">
        <v>110</v>
      </c>
      <c r="H45" s="208">
        <v>108</v>
      </c>
      <c r="I45" s="208">
        <v>115</v>
      </c>
      <c r="J45" s="208">
        <v>117</v>
      </c>
    </row>
    <row r="46" spans="1:10" x14ac:dyDescent="0.25">
      <c r="A46" s="207" t="s">
        <v>1306</v>
      </c>
      <c r="B46" s="208">
        <v>13</v>
      </c>
      <c r="C46" s="208">
        <v>19</v>
      </c>
      <c r="D46" s="208">
        <v>34</v>
      </c>
      <c r="E46" s="208">
        <v>34</v>
      </c>
      <c r="F46" s="208">
        <v>30</v>
      </c>
      <c r="G46" s="208">
        <v>24</v>
      </c>
      <c r="H46" s="208">
        <v>24</v>
      </c>
      <c r="I46" s="208">
        <v>18</v>
      </c>
      <c r="J46" s="208">
        <v>20</v>
      </c>
    </row>
    <row r="47" spans="1:10" x14ac:dyDescent="0.25">
      <c r="A47" s="207" t="s">
        <v>1307</v>
      </c>
      <c r="B47" s="208">
        <v>20</v>
      </c>
      <c r="C47" s="208">
        <v>22</v>
      </c>
      <c r="D47" s="208">
        <v>19</v>
      </c>
      <c r="E47" s="208">
        <v>29</v>
      </c>
      <c r="F47" s="208">
        <v>30</v>
      </c>
      <c r="G47" s="208">
        <v>26</v>
      </c>
      <c r="H47" s="208">
        <v>26</v>
      </c>
      <c r="I47" s="208">
        <v>20</v>
      </c>
      <c r="J47" s="208">
        <v>18</v>
      </c>
    </row>
    <row r="48" spans="1:10" x14ac:dyDescent="0.25">
      <c r="A48" s="207" t="s">
        <v>1315</v>
      </c>
      <c r="B48" s="208">
        <v>12</v>
      </c>
      <c r="C48" s="208">
        <v>9</v>
      </c>
      <c r="D48" s="208">
        <v>9</v>
      </c>
      <c r="E48" s="208">
        <v>15</v>
      </c>
      <c r="F48" s="208">
        <v>10</v>
      </c>
      <c r="G48" s="208">
        <v>16</v>
      </c>
      <c r="H48" s="208">
        <v>18</v>
      </c>
      <c r="I48" s="208">
        <v>11</v>
      </c>
      <c r="J48" s="208">
        <v>11</v>
      </c>
    </row>
    <row r="49" spans="1:10" x14ac:dyDescent="0.25">
      <c r="A49" s="207" t="s">
        <v>1316</v>
      </c>
      <c r="B49" s="208">
        <v>33</v>
      </c>
      <c r="C49" s="208">
        <v>37</v>
      </c>
      <c r="D49" s="208">
        <v>38</v>
      </c>
      <c r="E49" s="208">
        <v>48</v>
      </c>
      <c r="F49" s="208">
        <v>58</v>
      </c>
      <c r="G49" s="208">
        <v>76</v>
      </c>
      <c r="H49" s="208">
        <v>73</v>
      </c>
      <c r="I49" s="208">
        <v>68</v>
      </c>
      <c r="J49" s="208">
        <v>72</v>
      </c>
    </row>
    <row r="50" spans="1:10" x14ac:dyDescent="0.25">
      <c r="A50" s="386"/>
      <c r="B50" s="387"/>
      <c r="C50" s="387"/>
      <c r="D50" s="387"/>
      <c r="E50" s="387"/>
      <c r="F50" s="387"/>
      <c r="G50" s="387"/>
      <c r="H50" s="387"/>
      <c r="I50" s="387"/>
      <c r="J50" s="387"/>
    </row>
    <row r="51" spans="1:10" x14ac:dyDescent="0.25">
      <c r="A51" s="207" t="s">
        <v>1317</v>
      </c>
      <c r="B51" s="208">
        <f t="shared" ref="B51:G51" si="0">SUM(B4:B49)</f>
        <v>2268</v>
      </c>
      <c r="C51" s="208">
        <f t="shared" si="0"/>
        <v>2424</v>
      </c>
      <c r="D51" s="208">
        <f t="shared" si="0"/>
        <v>2627</v>
      </c>
      <c r="E51" s="208">
        <f t="shared" si="0"/>
        <v>2837</v>
      </c>
      <c r="F51" s="208">
        <f t="shared" si="0"/>
        <v>2851</v>
      </c>
      <c r="G51" s="208">
        <f t="shared" si="0"/>
        <v>2807</v>
      </c>
      <c r="H51" s="208">
        <f>SUM(H4:H49)</f>
        <v>2649</v>
      </c>
      <c r="I51" s="208">
        <f>SUM(I4:I49)</f>
        <v>2551</v>
      </c>
      <c r="J51" s="208">
        <f>SUM(J4:J49)</f>
        <v>2462</v>
      </c>
    </row>
    <row r="52" spans="1:10" x14ac:dyDescent="0.25">
      <c r="A52" s="207" t="s">
        <v>1318</v>
      </c>
      <c r="B52" s="208">
        <v>81</v>
      </c>
      <c r="C52" s="208">
        <v>124</v>
      </c>
      <c r="D52" s="208">
        <v>152</v>
      </c>
      <c r="E52" s="208">
        <v>163</v>
      </c>
      <c r="F52" s="208">
        <v>158</v>
      </c>
      <c r="G52" s="208">
        <v>158</v>
      </c>
      <c r="H52" s="208">
        <v>135</v>
      </c>
      <c r="I52" s="208">
        <v>143</v>
      </c>
      <c r="J52" s="208">
        <v>136</v>
      </c>
    </row>
    <row r="53" spans="1:10" x14ac:dyDescent="0.25">
      <c r="A53" s="207" t="s">
        <v>1260</v>
      </c>
      <c r="B53" s="208">
        <v>59</v>
      </c>
      <c r="C53" s="208">
        <v>66</v>
      </c>
      <c r="D53" s="208">
        <v>59</v>
      </c>
      <c r="E53" s="208">
        <v>60</v>
      </c>
      <c r="F53" s="208">
        <v>60</v>
      </c>
      <c r="G53" s="208">
        <v>84</v>
      </c>
      <c r="H53" s="208">
        <v>93</v>
      </c>
      <c r="I53" s="208">
        <v>93</v>
      </c>
      <c r="J53" s="208">
        <v>103</v>
      </c>
    </row>
    <row r="54" spans="1:10" x14ac:dyDescent="0.25">
      <c r="A54" s="386"/>
      <c r="B54" s="387"/>
      <c r="C54" s="387"/>
      <c r="D54" s="387"/>
      <c r="E54" s="387"/>
      <c r="F54" s="387"/>
      <c r="G54" s="387"/>
      <c r="H54" s="387"/>
      <c r="I54" s="387"/>
      <c r="J54" s="387"/>
    </row>
    <row r="55" spans="1:10" x14ac:dyDescent="0.25">
      <c r="A55" s="205" t="s">
        <v>1003</v>
      </c>
      <c r="B55" s="206">
        <f t="shared" ref="B55:G55" si="1">SUM(B51:B53)</f>
        <v>2408</v>
      </c>
      <c r="C55" s="206">
        <f t="shared" si="1"/>
        <v>2614</v>
      </c>
      <c r="D55" s="206">
        <f t="shared" si="1"/>
        <v>2838</v>
      </c>
      <c r="E55" s="206">
        <f t="shared" si="1"/>
        <v>3060</v>
      </c>
      <c r="F55" s="206">
        <f t="shared" si="1"/>
        <v>3069</v>
      </c>
      <c r="G55" s="206">
        <f t="shared" si="1"/>
        <v>3049</v>
      </c>
      <c r="H55" s="206">
        <f>SUM(H51:H53)</f>
        <v>2877</v>
      </c>
      <c r="I55" s="206">
        <f>SUM(I51:I53)</f>
        <v>2787</v>
      </c>
      <c r="J55" s="206">
        <f>SUM(J51:J53)</f>
        <v>2701</v>
      </c>
    </row>
    <row r="56" spans="1:10" x14ac:dyDescent="0.25">
      <c r="D56" s="194"/>
      <c r="E56" s="194"/>
      <c r="F56" s="194"/>
      <c r="G56" s="194"/>
      <c r="H56" s="210"/>
    </row>
  </sheetData>
  <mergeCells count="1">
    <mergeCell ref="A1:J1"/>
  </mergeCells>
  <phoneticPr fontId="16" type="noConversion"/>
  <printOptions horizontalCentered="1" verticalCentered="1"/>
  <pageMargins left="0.75" right="0.75" top="1" bottom="1" header="0.5" footer="0.5"/>
  <pageSetup scale="86" orientation="portrait" r:id="rId1"/>
  <headerFooter alignWithMargins="0">
    <oddFooter>&amp;L&amp;9Source: Office of Institutional Research</oddFooter>
  </headerFooter>
  <webPublishItems count="1">
    <webPublishItem id="27457" divId="2001_2002 FACT BOOK FINAL COPY_27457" sourceType="sheet" destinationFile="C:\Documents and Settings\mkirkpatrick\My Documents\2005-2006 Fact Book\2005-2006 WEB PAGES\05-06geodistributionbyCOUNTY.htm"/>
  </webPublishItem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IU36"/>
  <sheetViews>
    <sheetView workbookViewId="0">
      <selection activeCell="B18" sqref="B18"/>
    </sheetView>
  </sheetViews>
  <sheetFormatPr defaultColWidth="7.88671875" defaultRowHeight="13.2" x14ac:dyDescent="0.25"/>
  <cols>
    <col min="1" max="9" width="7.88671875" style="215"/>
    <col min="10" max="10" width="7.6640625" style="215" customWidth="1"/>
    <col min="11" max="16384" width="7.88671875" style="215"/>
  </cols>
  <sheetData>
    <row r="1" spans="1:255" s="216" customFormat="1" ht="21.6" x14ac:dyDescent="0.4">
      <c r="A1" s="217" t="s">
        <v>1345</v>
      </c>
      <c r="B1" s="217"/>
      <c r="C1" s="217"/>
      <c r="D1" s="217"/>
      <c r="E1" s="217"/>
      <c r="F1" s="217"/>
      <c r="G1" s="217"/>
      <c r="H1" s="217"/>
      <c r="I1" s="217"/>
      <c r="J1" s="217"/>
      <c r="K1" s="217"/>
      <c r="L1" s="217"/>
      <c r="M1" s="217"/>
      <c r="N1" s="217"/>
      <c r="O1" s="217"/>
      <c r="P1" s="217"/>
      <c r="Q1" s="217"/>
      <c r="R1" s="217"/>
      <c r="S1" s="217"/>
    </row>
    <row r="2" spans="1:255" x14ac:dyDescent="0.25">
      <c r="A2" s="218"/>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c r="FL2" s="218"/>
      <c r="FM2" s="218"/>
      <c r="FN2" s="218"/>
      <c r="FO2" s="218"/>
      <c r="FP2" s="218"/>
      <c r="FQ2" s="218"/>
      <c r="FR2" s="218"/>
      <c r="FS2" s="218"/>
      <c r="FT2" s="218"/>
      <c r="FU2" s="218"/>
      <c r="FV2" s="218"/>
      <c r="FW2" s="218"/>
      <c r="FX2" s="218"/>
      <c r="FY2" s="218"/>
      <c r="FZ2" s="218"/>
      <c r="GA2" s="218"/>
      <c r="GB2" s="218"/>
      <c r="GC2" s="218"/>
      <c r="GD2" s="218"/>
      <c r="GE2" s="218"/>
      <c r="GF2" s="218"/>
      <c r="GG2" s="218"/>
      <c r="GH2" s="218"/>
      <c r="GI2" s="218"/>
      <c r="GJ2" s="218"/>
      <c r="GK2" s="218"/>
      <c r="GL2" s="218"/>
      <c r="GM2" s="218"/>
      <c r="GN2" s="218"/>
      <c r="GO2" s="218"/>
      <c r="GP2" s="218"/>
      <c r="GQ2" s="218"/>
      <c r="GR2" s="218"/>
      <c r="GS2" s="218"/>
      <c r="GT2" s="218"/>
      <c r="GU2" s="218"/>
      <c r="GV2" s="218"/>
      <c r="GW2" s="218"/>
      <c r="GX2" s="218"/>
      <c r="GY2" s="218"/>
      <c r="GZ2" s="218"/>
      <c r="HA2" s="218"/>
      <c r="HB2" s="218"/>
      <c r="HC2" s="218"/>
      <c r="HD2" s="218"/>
      <c r="HE2" s="218"/>
      <c r="HF2" s="218"/>
      <c r="HG2" s="218"/>
      <c r="HH2" s="218"/>
      <c r="HI2" s="218"/>
      <c r="HJ2" s="218"/>
      <c r="HK2" s="218"/>
      <c r="HL2" s="218"/>
      <c r="HM2" s="218"/>
      <c r="HN2" s="218"/>
      <c r="HO2" s="218"/>
      <c r="HP2" s="218"/>
      <c r="HQ2" s="218"/>
      <c r="HR2" s="218"/>
      <c r="HS2" s="218"/>
      <c r="HT2" s="218"/>
      <c r="HU2" s="218"/>
      <c r="HV2" s="218"/>
      <c r="HW2" s="218"/>
      <c r="HX2" s="218"/>
      <c r="HY2" s="218"/>
      <c r="HZ2" s="218"/>
      <c r="IA2" s="218"/>
      <c r="IB2" s="218"/>
      <c r="IC2" s="218"/>
      <c r="ID2" s="218"/>
      <c r="IE2" s="218"/>
      <c r="IF2" s="218"/>
      <c r="IG2" s="218"/>
      <c r="IH2" s="218"/>
      <c r="II2" s="218"/>
      <c r="IJ2" s="218"/>
      <c r="IK2" s="218"/>
      <c r="IL2" s="218"/>
      <c r="IM2" s="218"/>
      <c r="IN2" s="218"/>
      <c r="IO2" s="218"/>
      <c r="IP2" s="218"/>
      <c r="IQ2" s="218"/>
      <c r="IR2" s="218"/>
      <c r="IS2" s="218"/>
      <c r="IT2" s="218"/>
      <c r="IU2" s="218"/>
    </row>
    <row r="3" spans="1:255" ht="19.5" customHeight="1" x14ac:dyDescent="0.25">
      <c r="A3" s="219"/>
      <c r="B3" s="220" t="s">
        <v>1346</v>
      </c>
      <c r="C3" s="220"/>
      <c r="D3" s="220"/>
      <c r="E3" s="220"/>
      <c r="F3" s="220"/>
      <c r="G3" s="221"/>
      <c r="H3" s="220" t="s">
        <v>1347</v>
      </c>
      <c r="I3" s="220"/>
      <c r="J3" s="220"/>
      <c r="K3" s="220"/>
      <c r="L3" s="220"/>
      <c r="M3" s="221"/>
      <c r="N3" s="220" t="s">
        <v>1203</v>
      </c>
      <c r="O3" s="220"/>
      <c r="P3" s="220"/>
      <c r="Q3" s="220"/>
      <c r="R3" s="220"/>
      <c r="S3" s="221"/>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18"/>
      <c r="GD3" s="218"/>
      <c r="GE3" s="218"/>
      <c r="GF3" s="218"/>
      <c r="GG3" s="218"/>
      <c r="GH3" s="218"/>
      <c r="GI3" s="218"/>
      <c r="GJ3" s="218"/>
      <c r="GK3" s="218"/>
      <c r="GL3" s="218"/>
      <c r="GM3" s="218"/>
      <c r="GN3" s="218"/>
      <c r="GO3" s="218"/>
      <c r="GP3" s="218"/>
      <c r="GQ3" s="218"/>
      <c r="GR3" s="218"/>
      <c r="GS3" s="218"/>
      <c r="GT3" s="218"/>
      <c r="GU3" s="218"/>
      <c r="GV3" s="218"/>
      <c r="GW3" s="218"/>
      <c r="GX3" s="218"/>
      <c r="GY3" s="218"/>
      <c r="GZ3" s="218"/>
      <c r="HA3" s="218"/>
      <c r="HB3" s="218"/>
      <c r="HC3" s="218"/>
      <c r="HD3" s="218"/>
      <c r="HE3" s="218"/>
      <c r="HF3" s="218"/>
      <c r="HG3" s="218"/>
      <c r="HH3" s="218"/>
      <c r="HI3" s="218"/>
      <c r="HJ3" s="218"/>
      <c r="HK3" s="218"/>
      <c r="HL3" s="218"/>
      <c r="HM3" s="218"/>
      <c r="HN3" s="218"/>
      <c r="HO3" s="218"/>
      <c r="HP3" s="218"/>
      <c r="HQ3" s="218"/>
      <c r="HR3" s="218"/>
      <c r="HS3" s="218"/>
      <c r="HT3" s="218"/>
      <c r="HU3" s="218"/>
      <c r="HV3" s="218"/>
      <c r="HW3" s="218"/>
      <c r="HX3" s="218"/>
      <c r="HY3" s="218"/>
      <c r="HZ3" s="218"/>
      <c r="IA3" s="218"/>
      <c r="IB3" s="218"/>
      <c r="IC3" s="218"/>
      <c r="ID3" s="218"/>
      <c r="IE3" s="218"/>
      <c r="IF3" s="218"/>
      <c r="IG3" s="218"/>
      <c r="IH3" s="218"/>
      <c r="II3" s="218"/>
      <c r="IJ3" s="218"/>
      <c r="IK3" s="218"/>
      <c r="IL3" s="218"/>
      <c r="IM3" s="218"/>
      <c r="IN3" s="218"/>
      <c r="IO3" s="218"/>
      <c r="IP3" s="218"/>
      <c r="IQ3" s="218"/>
      <c r="IR3" s="218"/>
      <c r="IS3" s="218"/>
      <c r="IT3" s="218"/>
      <c r="IU3" s="218"/>
    </row>
    <row r="4" spans="1:255" ht="15.6" x14ac:dyDescent="0.25">
      <c r="A4" s="222" t="s">
        <v>825</v>
      </c>
      <c r="B4" s="223" t="s">
        <v>1075</v>
      </c>
      <c r="C4" s="224"/>
      <c r="D4" s="225" t="s">
        <v>1076</v>
      </c>
      <c r="E4" s="224"/>
      <c r="F4" s="225" t="s">
        <v>835</v>
      </c>
      <c r="G4" s="226"/>
      <c r="H4" s="227" t="s">
        <v>1075</v>
      </c>
      <c r="I4" s="228"/>
      <c r="J4" s="229" t="s">
        <v>1076</v>
      </c>
      <c r="K4" s="228"/>
      <c r="L4" s="229" t="s">
        <v>835</v>
      </c>
      <c r="M4" s="230"/>
      <c r="N4" s="227" t="s">
        <v>1075</v>
      </c>
      <c r="O4" s="228"/>
      <c r="P4" s="229" t="s">
        <v>1076</v>
      </c>
      <c r="Q4" s="228"/>
      <c r="R4" s="229" t="s">
        <v>835</v>
      </c>
      <c r="S4" s="230"/>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c r="CK4" s="218"/>
      <c r="CL4" s="218"/>
      <c r="CM4" s="218"/>
      <c r="CN4" s="218"/>
      <c r="CO4" s="218"/>
      <c r="CP4" s="218"/>
      <c r="CQ4" s="218"/>
      <c r="CR4" s="218"/>
      <c r="CS4" s="218"/>
      <c r="CT4" s="218"/>
      <c r="CU4" s="218"/>
      <c r="CV4" s="218"/>
      <c r="CW4" s="218"/>
      <c r="CX4" s="218"/>
      <c r="CY4" s="218"/>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c r="EP4" s="218"/>
      <c r="EQ4" s="218"/>
      <c r="ER4" s="218"/>
      <c r="ES4" s="218"/>
      <c r="ET4" s="218"/>
      <c r="EU4" s="218"/>
      <c r="EV4" s="218"/>
      <c r="EW4" s="218"/>
      <c r="EX4" s="218"/>
      <c r="EY4" s="218"/>
      <c r="EZ4" s="218"/>
      <c r="FA4" s="218"/>
      <c r="FB4" s="218"/>
      <c r="FC4" s="218"/>
      <c r="FD4" s="218"/>
      <c r="FE4" s="218"/>
      <c r="FF4" s="218"/>
      <c r="FG4" s="218"/>
      <c r="FH4" s="218"/>
      <c r="FI4" s="218"/>
      <c r="FJ4" s="218"/>
      <c r="FK4" s="218"/>
      <c r="FL4" s="218"/>
      <c r="FM4" s="218"/>
      <c r="FN4" s="218"/>
      <c r="FO4" s="218"/>
      <c r="FP4" s="218"/>
      <c r="FQ4" s="218"/>
      <c r="FR4" s="218"/>
      <c r="FS4" s="218"/>
      <c r="FT4" s="218"/>
      <c r="FU4" s="218"/>
      <c r="FV4" s="218"/>
      <c r="FW4" s="218"/>
      <c r="FX4" s="218"/>
      <c r="FY4" s="218"/>
      <c r="FZ4" s="218"/>
      <c r="GA4" s="218"/>
      <c r="GB4" s="218"/>
      <c r="GC4" s="218"/>
      <c r="GD4" s="218"/>
      <c r="GE4" s="218"/>
      <c r="GF4" s="218"/>
      <c r="GG4" s="218"/>
      <c r="GH4" s="218"/>
      <c r="GI4" s="218"/>
      <c r="GJ4" s="218"/>
      <c r="GK4" s="218"/>
      <c r="GL4" s="218"/>
      <c r="GM4" s="218"/>
      <c r="GN4" s="218"/>
      <c r="GO4" s="218"/>
      <c r="GP4" s="218"/>
      <c r="GQ4" s="218"/>
      <c r="GR4" s="218"/>
      <c r="GS4" s="218"/>
      <c r="GT4" s="218"/>
      <c r="GU4" s="218"/>
      <c r="GV4" s="218"/>
      <c r="GW4" s="218"/>
      <c r="GX4" s="218"/>
      <c r="GY4" s="218"/>
      <c r="GZ4" s="218"/>
      <c r="HA4" s="218"/>
      <c r="HB4" s="218"/>
      <c r="HC4" s="218"/>
      <c r="HD4" s="218"/>
      <c r="HE4" s="218"/>
      <c r="HF4" s="218"/>
      <c r="HG4" s="218"/>
      <c r="HH4" s="218"/>
      <c r="HI4" s="218"/>
      <c r="HJ4" s="218"/>
      <c r="HK4" s="218"/>
      <c r="HL4" s="218"/>
      <c r="HM4" s="218"/>
      <c r="HN4" s="218"/>
      <c r="HO4" s="218"/>
      <c r="HP4" s="218"/>
      <c r="HQ4" s="218"/>
      <c r="HR4" s="218"/>
      <c r="HS4" s="218"/>
      <c r="HT4" s="218"/>
      <c r="HU4" s="218"/>
      <c r="HV4" s="218"/>
      <c r="HW4" s="218"/>
      <c r="HX4" s="218"/>
      <c r="HY4" s="218"/>
      <c r="HZ4" s="218"/>
      <c r="IA4" s="218"/>
      <c r="IB4" s="218"/>
      <c r="IC4" s="218"/>
      <c r="ID4" s="218"/>
      <c r="IE4" s="218"/>
      <c r="IF4" s="218"/>
      <c r="IG4" s="218"/>
      <c r="IH4" s="218"/>
      <c r="II4" s="218"/>
      <c r="IJ4" s="218"/>
      <c r="IK4" s="218"/>
      <c r="IL4" s="218"/>
      <c r="IM4" s="218"/>
      <c r="IN4" s="218"/>
      <c r="IO4" s="218"/>
      <c r="IP4" s="218"/>
      <c r="IQ4" s="218"/>
      <c r="IR4" s="218"/>
      <c r="IS4" s="218"/>
      <c r="IT4" s="218"/>
      <c r="IU4" s="218"/>
    </row>
    <row r="5" spans="1:255" x14ac:dyDescent="0.25">
      <c r="A5" s="231"/>
      <c r="B5" s="232" t="s">
        <v>1348</v>
      </c>
      <c r="C5" s="233" t="s">
        <v>1211</v>
      </c>
      <c r="D5" s="232" t="s">
        <v>1348</v>
      </c>
      <c r="E5" s="233" t="s">
        <v>1211</v>
      </c>
      <c r="F5" s="232" t="s">
        <v>1348</v>
      </c>
      <c r="G5" s="234" t="s">
        <v>1211</v>
      </c>
      <c r="H5" s="235" t="s">
        <v>1348</v>
      </c>
      <c r="I5" s="236" t="s">
        <v>1211</v>
      </c>
      <c r="J5" s="235" t="s">
        <v>1348</v>
      </c>
      <c r="K5" s="236" t="s">
        <v>1211</v>
      </c>
      <c r="L5" s="235" t="s">
        <v>1348</v>
      </c>
      <c r="M5" s="237" t="s">
        <v>1211</v>
      </c>
      <c r="N5" s="235" t="s">
        <v>1348</v>
      </c>
      <c r="O5" s="236" t="s">
        <v>1211</v>
      </c>
      <c r="P5" s="235" t="s">
        <v>1348</v>
      </c>
      <c r="Q5" s="236" t="s">
        <v>1211</v>
      </c>
      <c r="R5" s="235" t="s">
        <v>1348</v>
      </c>
      <c r="S5" s="237" t="s">
        <v>1211</v>
      </c>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CY5" s="218"/>
      <c r="CZ5" s="218"/>
      <c r="DA5" s="218"/>
      <c r="DB5" s="218"/>
      <c r="DC5" s="218"/>
      <c r="DD5" s="218"/>
      <c r="DE5" s="218"/>
      <c r="DF5" s="218"/>
      <c r="DG5" s="218"/>
      <c r="DH5" s="218"/>
      <c r="DI5" s="218"/>
      <c r="DJ5" s="218"/>
      <c r="DK5" s="218"/>
      <c r="DL5" s="218"/>
      <c r="DM5" s="218"/>
      <c r="DN5" s="218"/>
      <c r="DO5" s="218"/>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218"/>
      <c r="EU5" s="218"/>
      <c r="EV5" s="218"/>
      <c r="EW5" s="218"/>
      <c r="EX5" s="218"/>
      <c r="EY5" s="218"/>
      <c r="EZ5" s="218"/>
      <c r="FA5" s="218"/>
      <c r="FB5" s="218"/>
      <c r="FC5" s="218"/>
      <c r="FD5" s="218"/>
      <c r="FE5" s="218"/>
      <c r="FF5" s="218"/>
      <c r="FG5" s="218"/>
      <c r="FH5" s="218"/>
      <c r="FI5" s="218"/>
      <c r="FJ5" s="218"/>
      <c r="FK5" s="218"/>
      <c r="FL5" s="218"/>
      <c r="FM5" s="218"/>
      <c r="FN5" s="218"/>
      <c r="FO5" s="218"/>
      <c r="FP5" s="218"/>
      <c r="FQ5" s="218"/>
      <c r="FR5" s="218"/>
      <c r="FS5" s="218"/>
      <c r="FT5" s="218"/>
      <c r="FU5" s="218"/>
      <c r="FV5" s="218"/>
      <c r="FW5" s="218"/>
      <c r="FX5" s="218"/>
      <c r="FY5" s="218"/>
      <c r="FZ5" s="218"/>
      <c r="GA5" s="218"/>
      <c r="GB5" s="218"/>
      <c r="GC5" s="218"/>
      <c r="GD5" s="218"/>
      <c r="GE5" s="218"/>
      <c r="GF5" s="218"/>
      <c r="GG5" s="218"/>
      <c r="GH5" s="218"/>
      <c r="GI5" s="218"/>
      <c r="GJ5" s="218"/>
      <c r="GK5" s="218"/>
      <c r="GL5" s="218"/>
      <c r="GM5" s="218"/>
      <c r="GN5" s="218"/>
      <c r="GO5" s="218"/>
      <c r="GP5" s="218"/>
      <c r="GQ5" s="218"/>
      <c r="GR5" s="218"/>
      <c r="GS5" s="218"/>
      <c r="GT5" s="218"/>
      <c r="GU5" s="218"/>
      <c r="GV5" s="218"/>
      <c r="GW5" s="218"/>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c r="IR5" s="218"/>
      <c r="IS5" s="218"/>
      <c r="IT5" s="218"/>
      <c r="IU5" s="218"/>
    </row>
    <row r="6" spans="1:255" x14ac:dyDescent="0.25">
      <c r="A6" s="374"/>
      <c r="B6" s="375"/>
      <c r="C6" s="367"/>
      <c r="D6" s="375"/>
      <c r="E6" s="367"/>
      <c r="F6" s="375"/>
      <c r="G6" s="376"/>
      <c r="H6" s="375"/>
      <c r="I6" s="367"/>
      <c r="J6" s="375"/>
      <c r="K6" s="367"/>
      <c r="L6" s="375"/>
      <c r="M6" s="376"/>
      <c r="N6" s="375"/>
      <c r="O6" s="367"/>
      <c r="P6" s="375"/>
      <c r="Q6" s="367"/>
      <c r="R6" s="375"/>
      <c r="S6" s="377"/>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218"/>
      <c r="CB6" s="218"/>
      <c r="CC6" s="218"/>
      <c r="CD6" s="218"/>
      <c r="CE6" s="218"/>
      <c r="CF6" s="218"/>
      <c r="CG6" s="218"/>
      <c r="CH6" s="218"/>
      <c r="CI6" s="218"/>
      <c r="CJ6" s="218"/>
      <c r="CK6" s="218"/>
      <c r="CL6" s="218"/>
      <c r="CM6" s="218"/>
      <c r="CN6" s="218"/>
      <c r="CO6" s="218"/>
      <c r="CP6" s="218"/>
      <c r="CQ6" s="218"/>
      <c r="CR6" s="218"/>
      <c r="CS6" s="218"/>
      <c r="CT6" s="218"/>
      <c r="CU6" s="218"/>
      <c r="CV6" s="218"/>
      <c r="CW6" s="218"/>
      <c r="CX6" s="218"/>
      <c r="CY6" s="218"/>
      <c r="CZ6" s="218"/>
      <c r="DA6" s="218"/>
      <c r="DB6" s="218"/>
      <c r="DC6" s="218"/>
      <c r="DD6" s="218"/>
      <c r="DE6" s="218"/>
      <c r="DF6" s="218"/>
      <c r="DG6" s="218"/>
      <c r="DH6" s="218"/>
      <c r="DI6" s="218"/>
      <c r="DJ6" s="218"/>
      <c r="DK6" s="218"/>
      <c r="DL6" s="218"/>
      <c r="DM6" s="218"/>
      <c r="DN6" s="218"/>
      <c r="DO6" s="218"/>
      <c r="DP6" s="218"/>
      <c r="DQ6" s="218"/>
      <c r="DR6" s="218"/>
      <c r="DS6" s="218"/>
      <c r="DT6" s="218"/>
      <c r="DU6" s="218"/>
      <c r="DV6" s="218"/>
      <c r="DW6" s="218"/>
      <c r="DX6" s="218"/>
      <c r="DY6" s="218"/>
      <c r="DZ6" s="218"/>
      <c r="EA6" s="218"/>
      <c r="EB6" s="218"/>
      <c r="EC6" s="218"/>
      <c r="ED6" s="218"/>
      <c r="EE6" s="218"/>
      <c r="EF6" s="218"/>
      <c r="EG6" s="218"/>
      <c r="EH6" s="218"/>
      <c r="EI6" s="218"/>
      <c r="EJ6" s="218"/>
      <c r="EK6" s="218"/>
      <c r="EL6" s="218"/>
      <c r="EM6" s="218"/>
      <c r="EN6" s="218"/>
      <c r="EO6" s="218"/>
      <c r="EP6" s="218"/>
      <c r="EQ6" s="218"/>
      <c r="ER6" s="218"/>
      <c r="ES6" s="218"/>
      <c r="ET6" s="218"/>
      <c r="EU6" s="218"/>
      <c r="EV6" s="218"/>
      <c r="EW6" s="218"/>
      <c r="EX6" s="218"/>
      <c r="EY6" s="218"/>
      <c r="EZ6" s="218"/>
      <c r="FA6" s="218"/>
      <c r="FB6" s="218"/>
      <c r="FC6" s="218"/>
      <c r="FD6" s="218"/>
      <c r="FE6" s="218"/>
      <c r="FF6" s="218"/>
      <c r="FG6" s="218"/>
      <c r="FH6" s="218"/>
      <c r="FI6" s="218"/>
      <c r="FJ6" s="218"/>
      <c r="FK6" s="218"/>
      <c r="FL6" s="218"/>
      <c r="FM6" s="218"/>
      <c r="FN6" s="218"/>
      <c r="FO6" s="218"/>
      <c r="FP6" s="218"/>
      <c r="FQ6" s="218"/>
      <c r="FR6" s="218"/>
      <c r="FS6" s="218"/>
      <c r="FT6" s="218"/>
      <c r="FU6" s="218"/>
      <c r="FV6" s="218"/>
      <c r="FW6" s="218"/>
      <c r="FX6" s="218"/>
      <c r="FY6" s="218"/>
      <c r="FZ6" s="218"/>
      <c r="GA6" s="218"/>
      <c r="GB6" s="218"/>
      <c r="GC6" s="218"/>
      <c r="GD6" s="218"/>
      <c r="GE6" s="218"/>
      <c r="GF6" s="218"/>
      <c r="GG6" s="218"/>
      <c r="GH6" s="218"/>
      <c r="GI6" s="218"/>
      <c r="GJ6" s="218"/>
      <c r="GK6" s="218"/>
      <c r="GL6" s="218"/>
      <c r="GM6" s="218"/>
      <c r="GN6" s="218"/>
      <c r="GO6" s="218"/>
      <c r="GP6" s="218"/>
      <c r="GQ6" s="218"/>
      <c r="GR6" s="218"/>
      <c r="GS6" s="218"/>
      <c r="GT6" s="218"/>
      <c r="GU6" s="218"/>
      <c r="GV6" s="218"/>
      <c r="GW6" s="218"/>
      <c r="GX6" s="218"/>
      <c r="GY6" s="218"/>
      <c r="GZ6" s="218"/>
      <c r="HA6" s="218"/>
      <c r="HB6" s="218"/>
      <c r="HC6" s="218"/>
      <c r="HD6" s="218"/>
      <c r="HE6" s="218"/>
      <c r="HF6" s="218"/>
      <c r="HG6" s="218"/>
      <c r="HH6" s="218"/>
      <c r="HI6" s="218"/>
      <c r="HJ6" s="218"/>
      <c r="HK6" s="218"/>
      <c r="HL6" s="218"/>
      <c r="HM6" s="218"/>
      <c r="HN6" s="218"/>
      <c r="HO6" s="218"/>
      <c r="HP6" s="218"/>
      <c r="HQ6" s="218"/>
      <c r="HR6" s="218"/>
      <c r="HS6" s="218"/>
      <c r="HT6" s="218"/>
      <c r="HU6" s="218"/>
      <c r="HV6" s="218"/>
      <c r="HW6" s="218"/>
      <c r="HX6" s="218"/>
      <c r="HY6" s="218"/>
      <c r="HZ6" s="218"/>
      <c r="IA6" s="218"/>
      <c r="IB6" s="218"/>
      <c r="IC6" s="218"/>
      <c r="ID6" s="218"/>
      <c r="IE6" s="218"/>
      <c r="IF6" s="218"/>
      <c r="IG6" s="218"/>
      <c r="IH6" s="218"/>
      <c r="II6" s="218"/>
      <c r="IJ6" s="218"/>
      <c r="IK6" s="218"/>
      <c r="IL6" s="218"/>
      <c r="IM6" s="218"/>
      <c r="IN6" s="218"/>
      <c r="IO6" s="218"/>
      <c r="IP6" s="218"/>
      <c r="IQ6" s="218"/>
      <c r="IR6" s="218"/>
      <c r="IS6" s="218"/>
      <c r="IT6" s="218"/>
      <c r="IU6" s="218"/>
    </row>
    <row r="7" spans="1:255" x14ac:dyDescent="0.25">
      <c r="A7" s="238">
        <v>2011</v>
      </c>
      <c r="B7" s="346">
        <v>2820</v>
      </c>
      <c r="C7" s="347">
        <f>B7/R7</f>
        <v>0.9188660801564027</v>
      </c>
      <c r="D7" s="346">
        <v>30</v>
      </c>
      <c r="E7" s="347">
        <f>D7/R7</f>
        <v>9.7751710654936461E-3</v>
      </c>
      <c r="F7" s="346">
        <f>B7+D7</f>
        <v>2850</v>
      </c>
      <c r="G7" s="348">
        <f>F7/R7</f>
        <v>0.92864125122189634</v>
      </c>
      <c r="H7" s="346">
        <v>218</v>
      </c>
      <c r="I7" s="347">
        <f>H7/R7</f>
        <v>7.1032909742587164E-2</v>
      </c>
      <c r="J7" s="346">
        <v>1</v>
      </c>
      <c r="K7" s="347">
        <f>J7/R7</f>
        <v>3.2583903551645487E-4</v>
      </c>
      <c r="L7" s="346">
        <f>H7+J7</f>
        <v>219</v>
      </c>
      <c r="M7" s="348">
        <f>L7/R7</f>
        <v>7.1358748778103623E-2</v>
      </c>
      <c r="N7" s="346">
        <f>B7+H7</f>
        <v>3038</v>
      </c>
      <c r="O7" s="347">
        <f>N7/R7</f>
        <v>0.98989898989898994</v>
      </c>
      <c r="P7" s="346">
        <f>D7+J7</f>
        <v>31</v>
      </c>
      <c r="Q7" s="347">
        <f>P7/R7</f>
        <v>1.0101010101010102E-2</v>
      </c>
      <c r="R7" s="346">
        <f>N7+P7</f>
        <v>3069</v>
      </c>
      <c r="S7" s="349">
        <f>SUM(G7,M7)</f>
        <v>1</v>
      </c>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218"/>
      <c r="CI7" s="218"/>
      <c r="CJ7" s="218"/>
      <c r="CK7" s="218"/>
      <c r="CL7" s="218"/>
      <c r="CM7" s="218"/>
      <c r="CN7" s="218"/>
      <c r="CO7" s="218"/>
      <c r="CP7" s="218"/>
      <c r="CQ7" s="218"/>
      <c r="CR7" s="218"/>
      <c r="CS7" s="218"/>
      <c r="CT7" s="218"/>
      <c r="CU7" s="218"/>
      <c r="CV7" s="218"/>
      <c r="CW7" s="218"/>
      <c r="CX7" s="218"/>
      <c r="CY7" s="218"/>
      <c r="CZ7" s="218"/>
      <c r="DA7" s="218"/>
      <c r="DB7" s="218"/>
      <c r="DC7" s="218"/>
      <c r="DD7" s="218"/>
      <c r="DE7" s="218"/>
      <c r="DF7" s="218"/>
      <c r="DG7" s="218"/>
      <c r="DH7" s="218"/>
      <c r="DI7" s="218"/>
      <c r="DJ7" s="218"/>
      <c r="DK7" s="218"/>
      <c r="DL7" s="218"/>
      <c r="DM7" s="218"/>
      <c r="DN7" s="218"/>
      <c r="DO7" s="218"/>
      <c r="DP7" s="218"/>
      <c r="DQ7" s="218"/>
      <c r="DR7" s="218"/>
      <c r="DS7" s="218"/>
      <c r="DT7" s="218"/>
      <c r="DU7" s="218"/>
      <c r="DV7" s="218"/>
      <c r="DW7" s="218"/>
      <c r="DX7" s="218"/>
      <c r="DY7" s="218"/>
      <c r="DZ7" s="218"/>
      <c r="EA7" s="218"/>
      <c r="EB7" s="218"/>
      <c r="EC7" s="218"/>
      <c r="ED7" s="218"/>
      <c r="EE7" s="218"/>
      <c r="EF7" s="218"/>
      <c r="EG7" s="218"/>
      <c r="EH7" s="218"/>
      <c r="EI7" s="218"/>
      <c r="EJ7" s="218"/>
      <c r="EK7" s="218"/>
      <c r="EL7" s="218"/>
      <c r="EM7" s="218"/>
      <c r="EN7" s="218"/>
      <c r="EO7" s="218"/>
      <c r="EP7" s="218"/>
      <c r="EQ7" s="218"/>
      <c r="ER7" s="218"/>
      <c r="ES7" s="218"/>
      <c r="ET7" s="218"/>
      <c r="EU7" s="218"/>
      <c r="EV7" s="218"/>
      <c r="EW7" s="218"/>
      <c r="EX7" s="218"/>
      <c r="EY7" s="218"/>
      <c r="EZ7" s="218"/>
      <c r="FA7" s="218"/>
      <c r="FB7" s="218"/>
      <c r="FC7" s="218"/>
      <c r="FD7" s="218"/>
      <c r="FE7" s="218"/>
      <c r="FF7" s="218"/>
      <c r="FG7" s="218"/>
      <c r="FH7" s="218"/>
      <c r="FI7" s="218"/>
      <c r="FJ7" s="218"/>
      <c r="FK7" s="218"/>
      <c r="FL7" s="218"/>
      <c r="FM7" s="218"/>
      <c r="FN7" s="218"/>
      <c r="FO7" s="218"/>
      <c r="FP7" s="218"/>
      <c r="FQ7" s="218"/>
      <c r="FR7" s="218"/>
      <c r="FS7" s="218"/>
      <c r="FT7" s="218"/>
      <c r="FU7" s="218"/>
      <c r="FV7" s="218"/>
      <c r="FW7" s="218"/>
      <c r="FX7" s="218"/>
      <c r="FY7" s="218"/>
      <c r="FZ7" s="218"/>
      <c r="GA7" s="218"/>
      <c r="GB7" s="218"/>
      <c r="GC7" s="218"/>
      <c r="GD7" s="218"/>
      <c r="GE7" s="218"/>
      <c r="GF7" s="218"/>
      <c r="GG7" s="218"/>
      <c r="GH7" s="218"/>
      <c r="GI7" s="218"/>
      <c r="GJ7" s="218"/>
      <c r="GK7" s="218"/>
      <c r="GL7" s="218"/>
      <c r="GM7" s="218"/>
      <c r="GN7" s="218"/>
      <c r="GO7" s="218"/>
      <c r="GP7" s="218"/>
      <c r="GQ7" s="218"/>
      <c r="GR7" s="218"/>
      <c r="GS7" s="218"/>
      <c r="GT7" s="218"/>
      <c r="GU7" s="218"/>
      <c r="GV7" s="218"/>
      <c r="GW7" s="218"/>
      <c r="GX7" s="218"/>
      <c r="GY7" s="218"/>
      <c r="GZ7" s="218"/>
      <c r="HA7" s="218"/>
      <c r="HB7" s="218"/>
      <c r="HC7" s="218"/>
      <c r="HD7" s="218"/>
      <c r="HE7" s="218"/>
      <c r="HF7" s="218"/>
      <c r="HG7" s="218"/>
      <c r="HH7" s="218"/>
      <c r="HI7" s="218"/>
      <c r="HJ7" s="218"/>
      <c r="HK7" s="218"/>
      <c r="HL7" s="218"/>
      <c r="HM7" s="218"/>
      <c r="HN7" s="218"/>
      <c r="HO7" s="218"/>
      <c r="HP7" s="218"/>
      <c r="HQ7" s="218"/>
      <c r="HR7" s="218"/>
      <c r="HS7" s="218"/>
      <c r="HT7" s="218"/>
      <c r="HU7" s="218"/>
      <c r="HV7" s="218"/>
      <c r="HW7" s="218"/>
      <c r="HX7" s="218"/>
      <c r="HY7" s="218"/>
      <c r="HZ7" s="218"/>
      <c r="IA7" s="218"/>
      <c r="IB7" s="218"/>
      <c r="IC7" s="218"/>
      <c r="ID7" s="218"/>
      <c r="IE7" s="218"/>
      <c r="IF7" s="218"/>
      <c r="IG7" s="218"/>
      <c r="IH7" s="218"/>
      <c r="II7" s="218"/>
      <c r="IJ7" s="218"/>
      <c r="IK7" s="218"/>
      <c r="IL7" s="218"/>
      <c r="IM7" s="218"/>
      <c r="IN7" s="218"/>
      <c r="IO7" s="218"/>
      <c r="IP7" s="218"/>
      <c r="IQ7" s="218"/>
      <c r="IR7" s="218"/>
      <c r="IS7" s="218"/>
      <c r="IT7" s="218"/>
      <c r="IU7" s="218"/>
    </row>
    <row r="8" spans="1:255" ht="12.75" customHeight="1" x14ac:dyDescent="0.25">
      <c r="A8" s="374"/>
      <c r="B8" s="375"/>
      <c r="C8" s="367"/>
      <c r="D8" s="375"/>
      <c r="E8" s="367"/>
      <c r="F8" s="375"/>
      <c r="G8" s="376"/>
      <c r="H8" s="375"/>
      <c r="I8" s="367"/>
      <c r="J8" s="375"/>
      <c r="K8" s="367"/>
      <c r="L8" s="375"/>
      <c r="M8" s="376"/>
      <c r="N8" s="375"/>
      <c r="O8" s="367"/>
      <c r="P8" s="375"/>
      <c r="Q8" s="367"/>
      <c r="R8" s="375"/>
      <c r="S8" s="377"/>
      <c r="T8" s="218"/>
      <c r="U8" s="218"/>
      <c r="V8" s="218"/>
      <c r="W8" s="218"/>
      <c r="X8" s="218"/>
      <c r="Y8" s="218"/>
      <c r="Z8" s="218"/>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218"/>
      <c r="CB8" s="218"/>
      <c r="CC8" s="218"/>
      <c r="CD8" s="218"/>
      <c r="CE8" s="218"/>
      <c r="CF8" s="218"/>
      <c r="CG8" s="218"/>
      <c r="CH8" s="218"/>
      <c r="CI8" s="218"/>
      <c r="CJ8" s="218"/>
      <c r="CK8" s="218"/>
      <c r="CL8" s="218"/>
      <c r="CM8" s="218"/>
      <c r="CN8" s="218"/>
      <c r="CO8" s="218"/>
      <c r="CP8" s="218"/>
      <c r="CQ8" s="218"/>
      <c r="CR8" s="218"/>
      <c r="CS8" s="218"/>
      <c r="CT8" s="218"/>
      <c r="CU8" s="218"/>
      <c r="CV8" s="218"/>
      <c r="CW8" s="218"/>
      <c r="CX8" s="218"/>
      <c r="CY8" s="218"/>
      <c r="CZ8" s="218"/>
      <c r="DA8" s="218"/>
      <c r="DB8" s="218"/>
      <c r="DC8" s="218"/>
      <c r="DD8" s="218"/>
      <c r="DE8" s="218"/>
      <c r="DF8" s="218"/>
      <c r="DG8" s="218"/>
      <c r="DH8" s="218"/>
      <c r="DI8" s="218"/>
      <c r="DJ8" s="218"/>
      <c r="DK8" s="218"/>
      <c r="DL8" s="218"/>
      <c r="DM8" s="218"/>
      <c r="DN8" s="218"/>
      <c r="DO8" s="218"/>
      <c r="DP8" s="218"/>
      <c r="DQ8" s="218"/>
      <c r="DR8" s="218"/>
      <c r="DS8" s="218"/>
      <c r="DT8" s="218"/>
      <c r="DU8" s="218"/>
      <c r="DV8" s="218"/>
      <c r="DW8" s="218"/>
      <c r="DX8" s="218"/>
      <c r="DY8" s="218"/>
      <c r="DZ8" s="218"/>
      <c r="EA8" s="218"/>
      <c r="EB8" s="218"/>
      <c r="EC8" s="218"/>
      <c r="ED8" s="218"/>
      <c r="EE8" s="218"/>
      <c r="EF8" s="218"/>
      <c r="EG8" s="218"/>
      <c r="EH8" s="218"/>
      <c r="EI8" s="218"/>
      <c r="EJ8" s="218"/>
      <c r="EK8" s="218"/>
      <c r="EL8" s="218"/>
      <c r="EM8" s="218"/>
      <c r="EN8" s="218"/>
      <c r="EO8" s="218"/>
      <c r="EP8" s="218"/>
      <c r="EQ8" s="218"/>
      <c r="ER8" s="218"/>
      <c r="ES8" s="218"/>
      <c r="ET8" s="218"/>
      <c r="EU8" s="218"/>
      <c r="EV8" s="218"/>
      <c r="EW8" s="218"/>
      <c r="EX8" s="218"/>
      <c r="EY8" s="218"/>
      <c r="EZ8" s="218"/>
      <c r="FA8" s="218"/>
      <c r="FB8" s="218"/>
      <c r="FC8" s="218"/>
      <c r="FD8" s="218"/>
      <c r="FE8" s="218"/>
      <c r="FF8" s="218"/>
      <c r="FG8" s="218"/>
      <c r="FH8" s="218"/>
      <c r="FI8" s="218"/>
      <c r="FJ8" s="218"/>
      <c r="FK8" s="218"/>
      <c r="FL8" s="218"/>
      <c r="FM8" s="218"/>
      <c r="FN8" s="218"/>
      <c r="FO8" s="218"/>
      <c r="FP8" s="218"/>
      <c r="FQ8" s="218"/>
      <c r="FR8" s="218"/>
      <c r="FS8" s="218"/>
      <c r="FT8" s="218"/>
      <c r="FU8" s="218"/>
      <c r="FV8" s="218"/>
      <c r="FW8" s="218"/>
      <c r="FX8" s="218"/>
      <c r="FY8" s="218"/>
      <c r="FZ8" s="218"/>
      <c r="GA8" s="218"/>
      <c r="GB8" s="218"/>
      <c r="GC8" s="218"/>
      <c r="GD8" s="218"/>
      <c r="GE8" s="218"/>
      <c r="GF8" s="218"/>
      <c r="GG8" s="218"/>
      <c r="GH8" s="218"/>
      <c r="GI8" s="218"/>
      <c r="GJ8" s="218"/>
      <c r="GK8" s="218"/>
      <c r="GL8" s="218"/>
      <c r="GM8" s="218"/>
      <c r="GN8" s="218"/>
      <c r="GO8" s="218"/>
      <c r="GP8" s="218"/>
      <c r="GQ8" s="218"/>
      <c r="GR8" s="218"/>
      <c r="GS8" s="218"/>
      <c r="GT8" s="218"/>
      <c r="GU8" s="218"/>
      <c r="GV8" s="218"/>
      <c r="GW8" s="218"/>
      <c r="GX8" s="218"/>
      <c r="GY8" s="218"/>
      <c r="GZ8" s="218"/>
      <c r="HA8" s="218"/>
      <c r="HB8" s="218"/>
      <c r="HC8" s="218"/>
      <c r="HD8" s="218"/>
      <c r="HE8" s="218"/>
      <c r="HF8" s="218"/>
      <c r="HG8" s="218"/>
      <c r="HH8" s="218"/>
      <c r="HI8" s="218"/>
      <c r="HJ8" s="218"/>
      <c r="HK8" s="218"/>
      <c r="HL8" s="218"/>
      <c r="HM8" s="218"/>
      <c r="HN8" s="218"/>
      <c r="HO8" s="218"/>
      <c r="HP8" s="218"/>
      <c r="HQ8" s="218"/>
      <c r="HR8" s="218"/>
      <c r="HS8" s="218"/>
      <c r="HT8" s="218"/>
      <c r="HU8" s="218"/>
      <c r="HV8" s="218"/>
      <c r="HW8" s="218"/>
      <c r="HX8" s="218"/>
      <c r="HY8" s="218"/>
      <c r="HZ8" s="218"/>
      <c r="IA8" s="218"/>
      <c r="IB8" s="218"/>
      <c r="IC8" s="218"/>
      <c r="ID8" s="218"/>
      <c r="IE8" s="218"/>
      <c r="IF8" s="218"/>
      <c r="IG8" s="218"/>
      <c r="IH8" s="218"/>
      <c r="II8" s="218"/>
      <c r="IJ8" s="218"/>
      <c r="IK8" s="218"/>
      <c r="IL8" s="218"/>
      <c r="IM8" s="218"/>
      <c r="IN8" s="218"/>
      <c r="IO8" s="218"/>
      <c r="IP8" s="218"/>
      <c r="IQ8" s="218"/>
      <c r="IR8" s="218"/>
      <c r="IS8" s="218"/>
      <c r="IT8" s="218"/>
      <c r="IU8" s="218"/>
    </row>
    <row r="9" spans="1:255" x14ac:dyDescent="0.25">
      <c r="A9" s="238">
        <v>2012</v>
      </c>
      <c r="B9" s="346">
        <v>2760</v>
      </c>
      <c r="C9" s="347">
        <f>B9/R9</f>
        <v>0.90521482453263369</v>
      </c>
      <c r="D9" s="346">
        <v>75</v>
      </c>
      <c r="E9" s="347">
        <f>D9/R9</f>
        <v>2.4598228927517219E-2</v>
      </c>
      <c r="F9" s="346">
        <f>B9+D9</f>
        <v>2835</v>
      </c>
      <c r="G9" s="348">
        <f>F9/R9</f>
        <v>0.92981305346015086</v>
      </c>
      <c r="H9" s="346">
        <v>209</v>
      </c>
      <c r="I9" s="347">
        <f>H9/R9</f>
        <v>6.8547064611347977E-2</v>
      </c>
      <c r="J9" s="346">
        <v>5</v>
      </c>
      <c r="K9" s="347">
        <f>J9/R9</f>
        <v>1.6398819285011479E-3</v>
      </c>
      <c r="L9" s="346">
        <f>H9+J9</f>
        <v>214</v>
      </c>
      <c r="M9" s="348">
        <f>L9/R9</f>
        <v>7.0186946539849138E-2</v>
      </c>
      <c r="N9" s="346">
        <f>B9+H9</f>
        <v>2969</v>
      </c>
      <c r="O9" s="347">
        <f>N9/R9</f>
        <v>0.97376188914398165</v>
      </c>
      <c r="P9" s="346">
        <f>D9+J9</f>
        <v>80</v>
      </c>
      <c r="Q9" s="347">
        <f>P9/R9</f>
        <v>2.6238110856018366E-2</v>
      </c>
      <c r="R9" s="346">
        <f>N9+P9</f>
        <v>3049</v>
      </c>
      <c r="S9" s="349">
        <f>SUM(G9,M9)</f>
        <v>1</v>
      </c>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8"/>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8"/>
      <c r="GW9" s="218"/>
      <c r="GX9" s="218"/>
      <c r="GY9" s="218"/>
      <c r="GZ9" s="218"/>
      <c r="HA9" s="218"/>
      <c r="HB9" s="218"/>
      <c r="HC9" s="218"/>
      <c r="HD9" s="218"/>
      <c r="HE9" s="218"/>
      <c r="HF9" s="218"/>
      <c r="HG9" s="218"/>
      <c r="HH9" s="218"/>
      <c r="HI9" s="218"/>
      <c r="HJ9" s="218"/>
      <c r="HK9" s="218"/>
      <c r="HL9" s="218"/>
      <c r="HM9" s="218"/>
      <c r="HN9" s="218"/>
      <c r="HO9" s="218"/>
      <c r="HP9" s="218"/>
      <c r="HQ9" s="218"/>
      <c r="HR9" s="218"/>
      <c r="HS9" s="218"/>
      <c r="HT9" s="218"/>
      <c r="HU9" s="218"/>
      <c r="HV9" s="218"/>
      <c r="HW9" s="218"/>
      <c r="HX9" s="218"/>
      <c r="HY9" s="218"/>
      <c r="HZ9" s="218"/>
      <c r="IA9" s="218"/>
      <c r="IB9" s="218"/>
      <c r="IC9" s="218"/>
      <c r="ID9" s="218"/>
      <c r="IE9" s="218"/>
      <c r="IF9" s="218"/>
      <c r="IG9" s="218"/>
      <c r="IH9" s="218"/>
      <c r="II9" s="218"/>
      <c r="IJ9" s="218"/>
      <c r="IK9" s="218"/>
      <c r="IL9" s="218"/>
      <c r="IM9" s="218"/>
      <c r="IN9" s="218"/>
      <c r="IO9" s="218"/>
      <c r="IP9" s="218"/>
      <c r="IQ9" s="218"/>
      <c r="IR9" s="218"/>
      <c r="IS9" s="218"/>
      <c r="IT9" s="218"/>
      <c r="IU9" s="218"/>
    </row>
    <row r="10" spans="1:255" x14ac:dyDescent="0.25">
      <c r="A10" s="374"/>
      <c r="B10" s="375"/>
      <c r="C10" s="367"/>
      <c r="D10" s="375"/>
      <c r="E10" s="367"/>
      <c r="F10" s="375"/>
      <c r="G10" s="376"/>
      <c r="H10" s="375"/>
      <c r="I10" s="367"/>
      <c r="J10" s="375"/>
      <c r="K10" s="367"/>
      <c r="L10" s="375"/>
      <c r="M10" s="376"/>
      <c r="N10" s="375"/>
      <c r="O10" s="367"/>
      <c r="P10" s="375"/>
      <c r="Q10" s="367"/>
      <c r="R10" s="375"/>
      <c r="S10" s="377"/>
      <c r="T10" s="243"/>
      <c r="U10" s="243"/>
      <c r="V10" s="243"/>
      <c r="W10" s="243"/>
      <c r="X10" s="243"/>
      <c r="Y10" s="243"/>
      <c r="Z10" s="243"/>
      <c r="AA10" s="243"/>
      <c r="AB10" s="243"/>
      <c r="AC10" s="243"/>
      <c r="AD10" s="243"/>
      <c r="AE10" s="243"/>
      <c r="AF10" s="243"/>
      <c r="AG10" s="243"/>
      <c r="AH10" s="243"/>
      <c r="AI10" s="243"/>
      <c r="AJ10" s="243"/>
      <c r="AK10" s="243"/>
      <c r="AL10" s="243"/>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c r="BQ10" s="243"/>
      <c r="BR10" s="243"/>
      <c r="BS10" s="243"/>
      <c r="BT10" s="243"/>
      <c r="BU10" s="243"/>
      <c r="BV10" s="243"/>
      <c r="BW10" s="243"/>
      <c r="BX10" s="243"/>
      <c r="BY10" s="243"/>
      <c r="BZ10" s="243"/>
      <c r="CA10" s="243"/>
      <c r="CB10" s="243"/>
      <c r="CC10" s="243"/>
      <c r="CD10" s="243"/>
      <c r="CE10" s="243"/>
      <c r="CF10" s="243"/>
      <c r="CG10" s="243"/>
      <c r="CH10" s="243"/>
      <c r="CI10" s="243"/>
      <c r="CJ10" s="243"/>
      <c r="CK10" s="243"/>
      <c r="CL10" s="243"/>
      <c r="CM10" s="243"/>
      <c r="CN10" s="243"/>
      <c r="CO10" s="243"/>
      <c r="CP10" s="243"/>
      <c r="CQ10" s="243"/>
      <c r="CR10" s="243"/>
      <c r="CS10" s="243"/>
      <c r="CT10" s="243"/>
      <c r="CU10" s="243"/>
      <c r="CV10" s="243"/>
      <c r="CW10" s="243"/>
      <c r="CX10" s="243"/>
      <c r="CY10" s="243"/>
      <c r="CZ10" s="243"/>
      <c r="DA10" s="243"/>
      <c r="DB10" s="243"/>
      <c r="DC10" s="243"/>
      <c r="DD10" s="243"/>
      <c r="DE10" s="243"/>
      <c r="DF10" s="243"/>
      <c r="DG10" s="243"/>
      <c r="DH10" s="243"/>
      <c r="DI10" s="243"/>
      <c r="DJ10" s="243"/>
      <c r="DK10" s="243"/>
      <c r="DL10" s="243"/>
      <c r="DM10" s="243"/>
      <c r="DN10" s="243"/>
      <c r="DO10" s="243"/>
      <c r="DP10" s="243"/>
      <c r="DQ10" s="243"/>
      <c r="DR10" s="243"/>
      <c r="DS10" s="243"/>
      <c r="DT10" s="243"/>
      <c r="DU10" s="243"/>
      <c r="DV10" s="243"/>
      <c r="DW10" s="243"/>
      <c r="DX10" s="243"/>
      <c r="DY10" s="243"/>
      <c r="DZ10" s="243"/>
      <c r="EA10" s="243"/>
      <c r="EB10" s="243"/>
      <c r="EC10" s="243"/>
      <c r="ED10" s="243"/>
      <c r="EE10" s="243"/>
      <c r="EF10" s="243"/>
      <c r="EG10" s="243"/>
      <c r="EH10" s="243"/>
      <c r="EI10" s="243"/>
      <c r="EJ10" s="243"/>
      <c r="EK10" s="243"/>
      <c r="EL10" s="243"/>
      <c r="EM10" s="243"/>
      <c r="EN10" s="243"/>
      <c r="EO10" s="243"/>
      <c r="EP10" s="243"/>
      <c r="EQ10" s="243"/>
      <c r="ER10" s="243"/>
      <c r="ES10" s="243"/>
      <c r="ET10" s="243"/>
      <c r="EU10" s="243"/>
      <c r="EV10" s="243"/>
      <c r="EW10" s="243"/>
      <c r="EX10" s="243"/>
      <c r="EY10" s="243"/>
      <c r="EZ10" s="243"/>
      <c r="FA10" s="243"/>
      <c r="FB10" s="243"/>
      <c r="FC10" s="243"/>
      <c r="FD10" s="243"/>
      <c r="FE10" s="243"/>
      <c r="FF10" s="243"/>
      <c r="FG10" s="243"/>
      <c r="FH10" s="243"/>
      <c r="FI10" s="243"/>
      <c r="FJ10" s="243"/>
      <c r="FK10" s="243"/>
      <c r="FL10" s="243"/>
      <c r="FM10" s="243"/>
      <c r="FN10" s="243"/>
      <c r="FO10" s="243"/>
      <c r="FP10" s="243"/>
      <c r="FQ10" s="243"/>
      <c r="FR10" s="243"/>
      <c r="FS10" s="243"/>
      <c r="FT10" s="243"/>
      <c r="FU10" s="243"/>
      <c r="FV10" s="243"/>
      <c r="FW10" s="243"/>
      <c r="FX10" s="243"/>
      <c r="FY10" s="243"/>
      <c r="FZ10" s="243"/>
      <c r="GA10" s="243"/>
      <c r="GB10" s="243"/>
      <c r="GC10" s="243"/>
      <c r="GD10" s="243"/>
      <c r="GE10" s="243"/>
      <c r="GF10" s="243"/>
      <c r="GG10" s="243"/>
      <c r="GH10" s="243"/>
      <c r="GI10" s="243"/>
      <c r="GJ10" s="243"/>
      <c r="GK10" s="243"/>
      <c r="GL10" s="243"/>
      <c r="GM10" s="243"/>
      <c r="GN10" s="243"/>
      <c r="GO10" s="243"/>
      <c r="GP10" s="243"/>
      <c r="GQ10" s="243"/>
      <c r="GR10" s="243"/>
      <c r="GS10" s="243"/>
      <c r="GT10" s="243"/>
      <c r="GU10" s="243"/>
      <c r="GV10" s="243"/>
      <c r="GW10" s="243"/>
      <c r="GX10" s="243"/>
      <c r="GY10" s="243"/>
      <c r="GZ10" s="243"/>
      <c r="HA10" s="243"/>
      <c r="HB10" s="243"/>
      <c r="HC10" s="243"/>
      <c r="HD10" s="243"/>
      <c r="HE10" s="243"/>
      <c r="HF10" s="243"/>
      <c r="HG10" s="243"/>
      <c r="HH10" s="243"/>
      <c r="HI10" s="243"/>
      <c r="HJ10" s="243"/>
      <c r="HK10" s="243"/>
      <c r="HL10" s="243"/>
      <c r="HM10" s="243"/>
      <c r="HN10" s="243"/>
      <c r="HO10" s="243"/>
      <c r="HP10" s="243"/>
      <c r="HQ10" s="243"/>
      <c r="HR10" s="243"/>
      <c r="HS10" s="243"/>
      <c r="HT10" s="243"/>
      <c r="HU10" s="243"/>
      <c r="HV10" s="243"/>
      <c r="HW10" s="243"/>
      <c r="HX10" s="243"/>
      <c r="HY10" s="243"/>
      <c r="HZ10" s="243"/>
      <c r="IA10" s="243"/>
      <c r="IB10" s="243"/>
      <c r="IC10" s="243"/>
      <c r="ID10" s="243"/>
      <c r="IE10" s="243"/>
      <c r="IF10" s="243"/>
      <c r="IG10" s="243"/>
      <c r="IH10" s="243"/>
      <c r="II10" s="243"/>
      <c r="IJ10" s="243"/>
      <c r="IK10" s="243"/>
      <c r="IL10" s="243"/>
      <c r="IM10" s="243"/>
      <c r="IN10" s="243"/>
      <c r="IO10" s="243"/>
      <c r="IP10" s="243"/>
      <c r="IQ10" s="243"/>
      <c r="IR10" s="243"/>
      <c r="IS10" s="243"/>
      <c r="IT10" s="243"/>
      <c r="IU10" s="243"/>
    </row>
    <row r="11" spans="1:255" x14ac:dyDescent="0.25">
      <c r="A11" s="238">
        <v>2013</v>
      </c>
      <c r="B11" s="346">
        <v>2577</v>
      </c>
      <c r="C11" s="347">
        <f>B11/R11</f>
        <v>0.89572471324296143</v>
      </c>
      <c r="D11" s="346">
        <v>79</v>
      </c>
      <c r="E11" s="347">
        <f>D11/R11</f>
        <v>2.7459158846020161E-2</v>
      </c>
      <c r="F11" s="346">
        <f>B11+D11</f>
        <v>2656</v>
      </c>
      <c r="G11" s="348">
        <f>F11/R11</f>
        <v>0.92318387208898156</v>
      </c>
      <c r="H11" s="346">
        <v>215</v>
      </c>
      <c r="I11" s="347">
        <f>H11/R11</f>
        <v>7.4730622175877656E-2</v>
      </c>
      <c r="J11" s="346">
        <v>6</v>
      </c>
      <c r="K11" s="347">
        <f>J11/R11</f>
        <v>2.0855057351407717E-3</v>
      </c>
      <c r="L11" s="346">
        <f>H11+J11</f>
        <v>221</v>
      </c>
      <c r="M11" s="348">
        <f>L11/R11</f>
        <v>7.6816127911018425E-2</v>
      </c>
      <c r="N11" s="346">
        <f>B11+H11</f>
        <v>2792</v>
      </c>
      <c r="O11" s="347">
        <f>N11/R11</f>
        <v>0.9704553354188391</v>
      </c>
      <c r="P11" s="346">
        <f>D11+J11</f>
        <v>85</v>
      </c>
      <c r="Q11" s="347">
        <f>P11/R11</f>
        <v>2.954466458116093E-2</v>
      </c>
      <c r="R11" s="346">
        <f>N11+P11</f>
        <v>2877</v>
      </c>
      <c r="S11" s="349">
        <f>SUM(G11,M11)</f>
        <v>1</v>
      </c>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218"/>
      <c r="CD11" s="218"/>
      <c r="CE11" s="218"/>
      <c r="CF11" s="218"/>
      <c r="CG11" s="218"/>
      <c r="CH11" s="218"/>
      <c r="CI11" s="218"/>
      <c r="CJ11" s="218"/>
      <c r="CK11" s="218"/>
      <c r="CL11" s="218"/>
      <c r="CM11" s="218"/>
      <c r="CN11" s="218"/>
      <c r="CO11" s="218"/>
      <c r="CP11" s="218"/>
      <c r="CQ11" s="218"/>
      <c r="CR11" s="218"/>
      <c r="CS11" s="218"/>
      <c r="CT11" s="218"/>
      <c r="CU11" s="218"/>
      <c r="CV11" s="218"/>
      <c r="CW11" s="218"/>
      <c r="CX11" s="218"/>
      <c r="CY11" s="218"/>
      <c r="CZ11" s="218"/>
      <c r="DA11" s="218"/>
      <c r="DB11" s="218"/>
      <c r="DC11" s="218"/>
      <c r="DD11" s="218"/>
      <c r="DE11" s="218"/>
      <c r="DF11" s="218"/>
      <c r="DG11" s="218"/>
      <c r="DH11" s="218"/>
      <c r="DI11" s="218"/>
      <c r="DJ11" s="218"/>
      <c r="DK11" s="218"/>
      <c r="DL11" s="218"/>
      <c r="DM11" s="218"/>
      <c r="DN11" s="218"/>
      <c r="DO11" s="218"/>
      <c r="DP11" s="218"/>
      <c r="DQ11" s="218"/>
      <c r="DR11" s="218"/>
      <c r="DS11" s="218"/>
      <c r="DT11" s="218"/>
      <c r="DU11" s="218"/>
      <c r="DV11" s="218"/>
      <c r="DW11" s="218"/>
      <c r="DX11" s="218"/>
      <c r="DY11" s="218"/>
      <c r="DZ11" s="218"/>
      <c r="EA11" s="218"/>
      <c r="EB11" s="218"/>
      <c r="EC11" s="218"/>
      <c r="ED11" s="218"/>
      <c r="EE11" s="218"/>
      <c r="EF11" s="218"/>
      <c r="EG11" s="218"/>
      <c r="EH11" s="218"/>
      <c r="EI11" s="218"/>
      <c r="EJ11" s="218"/>
      <c r="EK11" s="218"/>
      <c r="EL11" s="218"/>
      <c r="EM11" s="218"/>
      <c r="EN11" s="218"/>
      <c r="EO11" s="218"/>
      <c r="EP11" s="218"/>
      <c r="EQ11" s="218"/>
      <c r="ER11" s="218"/>
      <c r="ES11" s="218"/>
      <c r="ET11" s="218"/>
      <c r="EU11" s="218"/>
      <c r="EV11" s="218"/>
      <c r="EW11" s="218"/>
      <c r="EX11" s="218"/>
      <c r="EY11" s="218"/>
      <c r="EZ11" s="218"/>
      <c r="FA11" s="218"/>
      <c r="FB11" s="218"/>
      <c r="FC11" s="218"/>
      <c r="FD11" s="218"/>
      <c r="FE11" s="218"/>
      <c r="FF11" s="218"/>
      <c r="FG11" s="218"/>
      <c r="FH11" s="218"/>
      <c r="FI11" s="218"/>
      <c r="FJ11" s="218"/>
      <c r="FK11" s="218"/>
      <c r="FL11" s="218"/>
      <c r="FM11" s="218"/>
      <c r="FN11" s="218"/>
      <c r="FO11" s="218"/>
      <c r="FP11" s="218"/>
      <c r="FQ11" s="218"/>
      <c r="FR11" s="218"/>
      <c r="FS11" s="218"/>
      <c r="FT11" s="218"/>
      <c r="FU11" s="218"/>
      <c r="FV11" s="218"/>
      <c r="FW11" s="218"/>
      <c r="FX11" s="218"/>
      <c r="FY11" s="218"/>
      <c r="FZ11" s="218"/>
      <c r="GA11" s="218"/>
      <c r="GB11" s="218"/>
      <c r="GC11" s="218"/>
      <c r="GD11" s="218"/>
      <c r="GE11" s="218"/>
      <c r="GF11" s="218"/>
      <c r="GG11" s="218"/>
      <c r="GH11" s="218"/>
      <c r="GI11" s="218"/>
      <c r="GJ11" s="218"/>
      <c r="GK11" s="218"/>
      <c r="GL11" s="218"/>
      <c r="GM11" s="218"/>
      <c r="GN11" s="218"/>
      <c r="GO11" s="218"/>
      <c r="GP11" s="218"/>
      <c r="GQ11" s="218"/>
      <c r="GR11" s="218"/>
      <c r="GS11" s="218"/>
      <c r="GT11" s="218"/>
      <c r="GU11" s="218"/>
      <c r="GV11" s="218"/>
      <c r="GW11" s="218"/>
      <c r="GX11" s="218"/>
      <c r="GY11" s="218"/>
      <c r="GZ11" s="218"/>
      <c r="HA11" s="218"/>
      <c r="HB11" s="218"/>
      <c r="HC11" s="218"/>
      <c r="HD11" s="218"/>
      <c r="HE11" s="218"/>
      <c r="HF11" s="218"/>
      <c r="HG11" s="218"/>
      <c r="HH11" s="218"/>
      <c r="HI11" s="218"/>
      <c r="HJ11" s="218"/>
      <c r="HK11" s="218"/>
      <c r="HL11" s="218"/>
      <c r="HM11" s="218"/>
      <c r="HN11" s="218"/>
      <c r="HO11" s="218"/>
      <c r="HP11" s="218"/>
      <c r="HQ11" s="218"/>
      <c r="HR11" s="218"/>
      <c r="HS11" s="218"/>
      <c r="HT11" s="218"/>
      <c r="HU11" s="218"/>
      <c r="HV11" s="218"/>
      <c r="HW11" s="218"/>
      <c r="HX11" s="218"/>
      <c r="HY11" s="218"/>
      <c r="HZ11" s="218"/>
      <c r="IA11" s="218"/>
      <c r="IB11" s="218"/>
      <c r="IC11" s="218"/>
      <c r="ID11" s="218"/>
      <c r="IE11" s="218"/>
      <c r="IF11" s="218"/>
      <c r="IG11" s="218"/>
      <c r="IH11" s="218"/>
      <c r="II11" s="218"/>
      <c r="IJ11" s="218"/>
      <c r="IK11" s="218"/>
      <c r="IL11" s="218"/>
      <c r="IM11" s="218"/>
      <c r="IN11" s="218"/>
      <c r="IO11" s="218"/>
      <c r="IP11" s="218"/>
      <c r="IQ11" s="218"/>
      <c r="IR11" s="218"/>
      <c r="IS11" s="218"/>
      <c r="IT11" s="218"/>
      <c r="IU11" s="218"/>
    </row>
    <row r="12" spans="1:255" x14ac:dyDescent="0.25">
      <c r="A12" s="374"/>
      <c r="B12" s="375"/>
      <c r="C12" s="367"/>
      <c r="D12" s="375"/>
      <c r="E12" s="367"/>
      <c r="F12" s="375"/>
      <c r="G12" s="376"/>
      <c r="H12" s="375"/>
      <c r="I12" s="367"/>
      <c r="J12" s="375"/>
      <c r="K12" s="367"/>
      <c r="L12" s="375"/>
      <c r="M12" s="376"/>
      <c r="N12" s="375"/>
      <c r="O12" s="367"/>
      <c r="P12" s="375"/>
      <c r="Q12" s="367"/>
      <c r="R12" s="375"/>
      <c r="S12" s="377"/>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218"/>
      <c r="CD12" s="218"/>
      <c r="CE12" s="218"/>
      <c r="CF12" s="218"/>
      <c r="CG12" s="218"/>
      <c r="CH12" s="218"/>
      <c r="CI12" s="218"/>
      <c r="CJ12" s="218"/>
      <c r="CK12" s="218"/>
      <c r="CL12" s="218"/>
      <c r="CM12" s="218"/>
      <c r="CN12" s="218"/>
      <c r="CO12" s="218"/>
      <c r="CP12" s="218"/>
      <c r="CQ12" s="218"/>
      <c r="CR12" s="218"/>
      <c r="CS12" s="218"/>
      <c r="CT12" s="218"/>
      <c r="CU12" s="218"/>
      <c r="CV12" s="218"/>
      <c r="CW12" s="218"/>
      <c r="CX12" s="218"/>
      <c r="CY12" s="218"/>
      <c r="CZ12" s="218"/>
      <c r="DA12" s="218"/>
      <c r="DB12" s="218"/>
      <c r="DC12" s="218"/>
      <c r="DD12" s="218"/>
      <c r="DE12" s="218"/>
      <c r="DF12" s="218"/>
      <c r="DG12" s="218"/>
      <c r="DH12" s="218"/>
      <c r="DI12" s="218"/>
      <c r="DJ12" s="218"/>
      <c r="DK12" s="218"/>
      <c r="DL12" s="218"/>
      <c r="DM12" s="218"/>
      <c r="DN12" s="218"/>
      <c r="DO12" s="218"/>
      <c r="DP12" s="218"/>
      <c r="DQ12" s="218"/>
      <c r="DR12" s="218"/>
      <c r="DS12" s="218"/>
      <c r="DT12" s="218"/>
      <c r="DU12" s="218"/>
      <c r="DV12" s="218"/>
      <c r="DW12" s="218"/>
      <c r="DX12" s="218"/>
      <c r="DY12" s="218"/>
      <c r="DZ12" s="218"/>
      <c r="EA12" s="218"/>
      <c r="EB12" s="218"/>
      <c r="EC12" s="218"/>
      <c r="ED12" s="218"/>
      <c r="EE12" s="218"/>
      <c r="EF12" s="218"/>
      <c r="EG12" s="218"/>
      <c r="EH12" s="218"/>
      <c r="EI12" s="218"/>
      <c r="EJ12" s="218"/>
      <c r="EK12" s="218"/>
      <c r="EL12" s="218"/>
      <c r="EM12" s="218"/>
      <c r="EN12" s="218"/>
      <c r="EO12" s="218"/>
      <c r="EP12" s="218"/>
      <c r="EQ12" s="218"/>
      <c r="ER12" s="218"/>
      <c r="ES12" s="218"/>
      <c r="ET12" s="218"/>
      <c r="EU12" s="218"/>
      <c r="EV12" s="218"/>
      <c r="EW12" s="218"/>
      <c r="EX12" s="218"/>
      <c r="EY12" s="218"/>
      <c r="EZ12" s="218"/>
      <c r="FA12" s="218"/>
      <c r="FB12" s="218"/>
      <c r="FC12" s="218"/>
      <c r="FD12" s="218"/>
      <c r="FE12" s="218"/>
      <c r="FF12" s="218"/>
      <c r="FG12" s="218"/>
      <c r="FH12" s="218"/>
      <c r="FI12" s="218"/>
      <c r="FJ12" s="218"/>
      <c r="FK12" s="218"/>
      <c r="FL12" s="218"/>
      <c r="FM12" s="218"/>
      <c r="FN12" s="218"/>
      <c r="FO12" s="218"/>
      <c r="FP12" s="218"/>
      <c r="FQ12" s="218"/>
      <c r="FR12" s="218"/>
      <c r="FS12" s="218"/>
      <c r="FT12" s="218"/>
      <c r="FU12" s="218"/>
      <c r="FV12" s="218"/>
      <c r="FW12" s="218"/>
      <c r="FX12" s="218"/>
      <c r="FY12" s="218"/>
      <c r="FZ12" s="218"/>
      <c r="GA12" s="218"/>
      <c r="GB12" s="218"/>
      <c r="GC12" s="218"/>
      <c r="GD12" s="218"/>
      <c r="GE12" s="218"/>
      <c r="GF12" s="218"/>
      <c r="GG12" s="218"/>
      <c r="GH12" s="218"/>
      <c r="GI12" s="218"/>
      <c r="GJ12" s="218"/>
      <c r="GK12" s="218"/>
      <c r="GL12" s="218"/>
      <c r="GM12" s="218"/>
      <c r="GN12" s="218"/>
      <c r="GO12" s="218"/>
      <c r="GP12" s="218"/>
      <c r="GQ12" s="218"/>
      <c r="GR12" s="218"/>
      <c r="GS12" s="218"/>
      <c r="GT12" s="218"/>
      <c r="GU12" s="218"/>
      <c r="GV12" s="218"/>
      <c r="GW12" s="218"/>
      <c r="GX12" s="218"/>
      <c r="GY12" s="218"/>
      <c r="GZ12" s="218"/>
      <c r="HA12" s="218"/>
      <c r="HB12" s="218"/>
      <c r="HC12" s="218"/>
      <c r="HD12" s="218"/>
      <c r="HE12" s="218"/>
      <c r="HF12" s="218"/>
      <c r="HG12" s="218"/>
      <c r="HH12" s="218"/>
      <c r="HI12" s="218"/>
      <c r="HJ12" s="218"/>
      <c r="HK12" s="218"/>
      <c r="HL12" s="218"/>
      <c r="HM12" s="218"/>
      <c r="HN12" s="218"/>
      <c r="HO12" s="218"/>
      <c r="HP12" s="218"/>
      <c r="HQ12" s="218"/>
      <c r="HR12" s="218"/>
      <c r="HS12" s="218"/>
      <c r="HT12" s="218"/>
      <c r="HU12" s="218"/>
      <c r="HV12" s="218"/>
      <c r="HW12" s="218"/>
      <c r="HX12" s="218"/>
      <c r="HY12" s="218"/>
      <c r="HZ12" s="218"/>
      <c r="IA12" s="218"/>
      <c r="IB12" s="218"/>
      <c r="IC12" s="218"/>
      <c r="ID12" s="218"/>
      <c r="IE12" s="218"/>
      <c r="IF12" s="218"/>
      <c r="IG12" s="218"/>
      <c r="IH12" s="218"/>
      <c r="II12" s="218"/>
      <c r="IJ12" s="218"/>
      <c r="IK12" s="218"/>
      <c r="IL12" s="218"/>
      <c r="IM12" s="218"/>
      <c r="IN12" s="218"/>
      <c r="IO12" s="218"/>
      <c r="IP12" s="218"/>
      <c r="IQ12" s="218"/>
      <c r="IR12" s="218"/>
      <c r="IS12" s="218"/>
      <c r="IT12" s="218"/>
      <c r="IU12" s="218"/>
    </row>
    <row r="13" spans="1:255" x14ac:dyDescent="0.25">
      <c r="A13" s="238">
        <v>2014</v>
      </c>
      <c r="B13" s="346">
        <v>2485</v>
      </c>
      <c r="C13" s="347">
        <f>B13/R13</f>
        <v>0.89163975601004664</v>
      </c>
      <c r="D13" s="346">
        <v>67</v>
      </c>
      <c r="E13" s="347">
        <f>D13/R13</f>
        <v>2.4040186580552566E-2</v>
      </c>
      <c r="F13" s="346">
        <f>B13+D13</f>
        <v>2552</v>
      </c>
      <c r="G13" s="348">
        <f>F13/R13</f>
        <v>0.91567994259059926</v>
      </c>
      <c r="H13" s="346">
        <v>232</v>
      </c>
      <c r="I13" s="347">
        <f>H13/R13</f>
        <v>8.3243631144599928E-2</v>
      </c>
      <c r="J13" s="346">
        <v>3</v>
      </c>
      <c r="K13" s="347">
        <f>J13/R13</f>
        <v>1.076426264800861E-3</v>
      </c>
      <c r="L13" s="346">
        <f>H13+J13</f>
        <v>235</v>
      </c>
      <c r="M13" s="348">
        <f>L13/R13</f>
        <v>8.4320057409400795E-2</v>
      </c>
      <c r="N13" s="346">
        <f>B13+H13</f>
        <v>2717</v>
      </c>
      <c r="O13" s="347">
        <f>N13/R13</f>
        <v>0.97488338715464662</v>
      </c>
      <c r="P13" s="346">
        <f>D13+J13</f>
        <v>70</v>
      </c>
      <c r="Q13" s="347">
        <f>P13/R13</f>
        <v>2.5116612845353426E-2</v>
      </c>
      <c r="R13" s="346">
        <f>N13+P13</f>
        <v>2787</v>
      </c>
      <c r="S13" s="349">
        <f>SUM(G13,M13)</f>
        <v>1</v>
      </c>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18"/>
      <c r="CH13" s="218"/>
      <c r="CI13" s="218"/>
      <c r="CJ13" s="218"/>
      <c r="CK13" s="218"/>
      <c r="CL13" s="218"/>
      <c r="CM13" s="218"/>
      <c r="CN13" s="218"/>
      <c r="CO13" s="218"/>
      <c r="CP13" s="218"/>
      <c r="CQ13" s="218"/>
      <c r="CR13" s="218"/>
      <c r="CS13" s="218"/>
      <c r="CT13" s="218"/>
      <c r="CU13" s="218"/>
      <c r="CV13" s="218"/>
      <c r="CW13" s="218"/>
      <c r="CX13" s="218"/>
      <c r="CY13" s="218"/>
      <c r="CZ13" s="218"/>
      <c r="DA13" s="218"/>
      <c r="DB13" s="218"/>
      <c r="DC13" s="218"/>
      <c r="DD13" s="218"/>
      <c r="DE13" s="218"/>
      <c r="DF13" s="218"/>
      <c r="DG13" s="218"/>
      <c r="DH13" s="218"/>
      <c r="DI13" s="218"/>
      <c r="DJ13" s="218"/>
      <c r="DK13" s="218"/>
      <c r="DL13" s="218"/>
      <c r="DM13" s="218"/>
      <c r="DN13" s="218"/>
      <c r="DO13" s="218"/>
      <c r="DP13" s="218"/>
      <c r="DQ13" s="218"/>
      <c r="DR13" s="218"/>
      <c r="DS13" s="218"/>
      <c r="DT13" s="218"/>
      <c r="DU13" s="218"/>
      <c r="DV13" s="218"/>
      <c r="DW13" s="218"/>
      <c r="DX13" s="218"/>
      <c r="DY13" s="218"/>
      <c r="DZ13" s="218"/>
      <c r="EA13" s="218"/>
      <c r="EB13" s="218"/>
      <c r="EC13" s="218"/>
      <c r="ED13" s="218"/>
      <c r="EE13" s="218"/>
      <c r="EF13" s="218"/>
      <c r="EG13" s="218"/>
      <c r="EH13" s="218"/>
      <c r="EI13" s="218"/>
      <c r="EJ13" s="218"/>
      <c r="EK13" s="218"/>
      <c r="EL13" s="218"/>
      <c r="EM13" s="218"/>
      <c r="EN13" s="218"/>
      <c r="EO13" s="218"/>
      <c r="EP13" s="218"/>
      <c r="EQ13" s="218"/>
      <c r="ER13" s="218"/>
      <c r="ES13" s="218"/>
      <c r="ET13" s="218"/>
      <c r="EU13" s="218"/>
      <c r="EV13" s="218"/>
      <c r="EW13" s="218"/>
      <c r="EX13" s="218"/>
      <c r="EY13" s="218"/>
      <c r="EZ13" s="218"/>
      <c r="FA13" s="218"/>
      <c r="FB13" s="218"/>
      <c r="FC13" s="218"/>
      <c r="FD13" s="218"/>
      <c r="FE13" s="218"/>
      <c r="FF13" s="218"/>
      <c r="FG13" s="218"/>
      <c r="FH13" s="218"/>
      <c r="FI13" s="218"/>
      <c r="FJ13" s="218"/>
      <c r="FK13" s="218"/>
      <c r="FL13" s="218"/>
      <c r="FM13" s="218"/>
      <c r="FN13" s="218"/>
      <c r="FO13" s="218"/>
      <c r="FP13" s="218"/>
      <c r="FQ13" s="218"/>
      <c r="FR13" s="218"/>
      <c r="FS13" s="218"/>
      <c r="FT13" s="218"/>
      <c r="FU13" s="218"/>
      <c r="FV13" s="218"/>
      <c r="FW13" s="218"/>
      <c r="FX13" s="218"/>
      <c r="FY13" s="218"/>
      <c r="FZ13" s="218"/>
      <c r="GA13" s="218"/>
      <c r="GB13" s="218"/>
      <c r="GC13" s="218"/>
      <c r="GD13" s="218"/>
      <c r="GE13" s="218"/>
      <c r="GF13" s="218"/>
      <c r="GG13" s="218"/>
      <c r="GH13" s="218"/>
      <c r="GI13" s="218"/>
      <c r="GJ13" s="218"/>
      <c r="GK13" s="218"/>
      <c r="GL13" s="218"/>
      <c r="GM13" s="218"/>
      <c r="GN13" s="218"/>
      <c r="GO13" s="218"/>
      <c r="GP13" s="218"/>
      <c r="GQ13" s="218"/>
      <c r="GR13" s="218"/>
      <c r="GS13" s="218"/>
      <c r="GT13" s="218"/>
      <c r="GU13" s="218"/>
      <c r="GV13" s="218"/>
      <c r="GW13" s="218"/>
      <c r="GX13" s="218"/>
      <c r="GY13" s="218"/>
      <c r="GZ13" s="218"/>
      <c r="HA13" s="218"/>
      <c r="HB13" s="218"/>
      <c r="HC13" s="218"/>
      <c r="HD13" s="218"/>
      <c r="HE13" s="218"/>
      <c r="HF13" s="218"/>
      <c r="HG13" s="218"/>
      <c r="HH13" s="218"/>
      <c r="HI13" s="218"/>
      <c r="HJ13" s="218"/>
      <c r="HK13" s="218"/>
      <c r="HL13" s="218"/>
      <c r="HM13" s="218"/>
      <c r="HN13" s="218"/>
      <c r="HO13" s="218"/>
      <c r="HP13" s="218"/>
      <c r="HQ13" s="218"/>
      <c r="HR13" s="218"/>
      <c r="HS13" s="218"/>
      <c r="HT13" s="218"/>
      <c r="HU13" s="218"/>
      <c r="HV13" s="218"/>
      <c r="HW13" s="218"/>
      <c r="HX13" s="218"/>
      <c r="HY13" s="218"/>
      <c r="HZ13" s="218"/>
      <c r="IA13" s="218"/>
      <c r="IB13" s="218"/>
      <c r="IC13" s="218"/>
      <c r="ID13" s="218"/>
      <c r="IE13" s="218"/>
      <c r="IF13" s="218"/>
      <c r="IG13" s="218"/>
      <c r="IH13" s="218"/>
      <c r="II13" s="218"/>
      <c r="IJ13" s="218"/>
      <c r="IK13" s="218"/>
      <c r="IL13" s="218"/>
      <c r="IM13" s="218"/>
      <c r="IN13" s="218"/>
      <c r="IO13" s="218"/>
      <c r="IP13" s="218"/>
      <c r="IQ13" s="218"/>
      <c r="IR13" s="218"/>
      <c r="IS13" s="218"/>
      <c r="IT13" s="218"/>
      <c r="IU13" s="218"/>
    </row>
    <row r="14" spans="1:255" x14ac:dyDescent="0.25">
      <c r="A14" s="374"/>
      <c r="B14" s="375"/>
      <c r="C14" s="367"/>
      <c r="D14" s="375"/>
      <c r="E14" s="367"/>
      <c r="F14" s="375"/>
      <c r="G14" s="376"/>
      <c r="H14" s="375"/>
      <c r="I14" s="367"/>
      <c r="J14" s="375"/>
      <c r="K14" s="367"/>
      <c r="L14" s="375"/>
      <c r="M14" s="376"/>
      <c r="N14" s="375"/>
      <c r="O14" s="367"/>
      <c r="P14" s="375"/>
      <c r="Q14" s="367"/>
      <c r="R14" s="375"/>
      <c r="S14" s="377"/>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18"/>
      <c r="CD14" s="218"/>
      <c r="CE14" s="218"/>
      <c r="CF14" s="218"/>
      <c r="CG14" s="218"/>
      <c r="CH14" s="218"/>
      <c r="CI14" s="218"/>
      <c r="CJ14" s="218"/>
      <c r="CK14" s="218"/>
      <c r="CL14" s="218"/>
      <c r="CM14" s="218"/>
      <c r="CN14" s="218"/>
      <c r="CO14" s="218"/>
      <c r="CP14" s="218"/>
      <c r="CQ14" s="218"/>
      <c r="CR14" s="218"/>
      <c r="CS14" s="218"/>
      <c r="CT14" s="218"/>
      <c r="CU14" s="218"/>
      <c r="CV14" s="218"/>
      <c r="CW14" s="218"/>
      <c r="CX14" s="218"/>
      <c r="CY14" s="218"/>
      <c r="CZ14" s="218"/>
      <c r="DA14" s="218"/>
      <c r="DB14" s="218"/>
      <c r="DC14" s="218"/>
      <c r="DD14" s="218"/>
      <c r="DE14" s="218"/>
      <c r="DF14" s="218"/>
      <c r="DG14" s="218"/>
      <c r="DH14" s="218"/>
      <c r="DI14" s="218"/>
      <c r="DJ14" s="218"/>
      <c r="DK14" s="218"/>
      <c r="DL14" s="218"/>
      <c r="DM14" s="218"/>
      <c r="DN14" s="218"/>
      <c r="DO14" s="218"/>
      <c r="DP14" s="218"/>
      <c r="DQ14" s="218"/>
      <c r="DR14" s="218"/>
      <c r="DS14" s="218"/>
      <c r="DT14" s="218"/>
      <c r="DU14" s="218"/>
      <c r="DV14" s="218"/>
      <c r="DW14" s="218"/>
      <c r="DX14" s="218"/>
      <c r="DY14" s="218"/>
      <c r="DZ14" s="218"/>
      <c r="EA14" s="218"/>
      <c r="EB14" s="218"/>
      <c r="EC14" s="218"/>
      <c r="ED14" s="218"/>
      <c r="EE14" s="218"/>
      <c r="EF14" s="218"/>
      <c r="EG14" s="218"/>
      <c r="EH14" s="218"/>
      <c r="EI14" s="218"/>
      <c r="EJ14" s="218"/>
      <c r="EK14" s="218"/>
      <c r="EL14" s="218"/>
      <c r="EM14" s="218"/>
      <c r="EN14" s="218"/>
      <c r="EO14" s="218"/>
      <c r="EP14" s="218"/>
      <c r="EQ14" s="218"/>
      <c r="ER14" s="218"/>
      <c r="ES14" s="218"/>
      <c r="ET14" s="218"/>
      <c r="EU14" s="218"/>
      <c r="EV14" s="218"/>
      <c r="EW14" s="218"/>
      <c r="EX14" s="218"/>
      <c r="EY14" s="218"/>
      <c r="EZ14" s="218"/>
      <c r="FA14" s="218"/>
      <c r="FB14" s="218"/>
      <c r="FC14" s="218"/>
      <c r="FD14" s="218"/>
      <c r="FE14" s="218"/>
      <c r="FF14" s="218"/>
      <c r="FG14" s="218"/>
      <c r="FH14" s="218"/>
      <c r="FI14" s="218"/>
      <c r="FJ14" s="218"/>
      <c r="FK14" s="218"/>
      <c r="FL14" s="218"/>
      <c r="FM14" s="218"/>
      <c r="FN14" s="218"/>
      <c r="FO14" s="218"/>
      <c r="FP14" s="218"/>
      <c r="FQ14" s="218"/>
      <c r="FR14" s="218"/>
      <c r="FS14" s="218"/>
      <c r="FT14" s="218"/>
      <c r="FU14" s="218"/>
      <c r="FV14" s="218"/>
      <c r="FW14" s="218"/>
      <c r="FX14" s="218"/>
      <c r="FY14" s="218"/>
      <c r="FZ14" s="218"/>
      <c r="GA14" s="218"/>
      <c r="GB14" s="218"/>
      <c r="GC14" s="218"/>
      <c r="GD14" s="218"/>
      <c r="GE14" s="218"/>
      <c r="GF14" s="218"/>
      <c r="GG14" s="218"/>
      <c r="GH14" s="218"/>
      <c r="GI14" s="218"/>
      <c r="GJ14" s="218"/>
      <c r="GK14" s="218"/>
      <c r="GL14" s="218"/>
      <c r="GM14" s="218"/>
      <c r="GN14" s="218"/>
      <c r="GO14" s="218"/>
      <c r="GP14" s="218"/>
      <c r="GQ14" s="218"/>
      <c r="GR14" s="218"/>
      <c r="GS14" s="218"/>
      <c r="GT14" s="218"/>
      <c r="GU14" s="218"/>
      <c r="GV14" s="218"/>
      <c r="GW14" s="218"/>
      <c r="GX14" s="218"/>
      <c r="GY14" s="218"/>
      <c r="GZ14" s="218"/>
      <c r="HA14" s="218"/>
      <c r="HB14" s="218"/>
      <c r="HC14" s="218"/>
      <c r="HD14" s="218"/>
      <c r="HE14" s="218"/>
      <c r="HF14" s="218"/>
      <c r="HG14" s="218"/>
      <c r="HH14" s="218"/>
      <c r="HI14" s="218"/>
      <c r="HJ14" s="218"/>
      <c r="HK14" s="218"/>
      <c r="HL14" s="218"/>
      <c r="HM14" s="218"/>
      <c r="HN14" s="218"/>
      <c r="HO14" s="218"/>
      <c r="HP14" s="218"/>
      <c r="HQ14" s="218"/>
      <c r="HR14" s="218"/>
      <c r="HS14" s="218"/>
      <c r="HT14" s="218"/>
      <c r="HU14" s="218"/>
      <c r="HV14" s="218"/>
      <c r="HW14" s="218"/>
      <c r="HX14" s="218"/>
      <c r="HY14" s="218"/>
      <c r="HZ14" s="218"/>
      <c r="IA14" s="218"/>
      <c r="IB14" s="218"/>
      <c r="IC14" s="218"/>
      <c r="ID14" s="218"/>
      <c r="IE14" s="218"/>
      <c r="IF14" s="218"/>
      <c r="IG14" s="218"/>
      <c r="IH14" s="218"/>
      <c r="II14" s="218"/>
      <c r="IJ14" s="218"/>
      <c r="IK14" s="218"/>
      <c r="IL14" s="218"/>
      <c r="IM14" s="218"/>
      <c r="IN14" s="218"/>
      <c r="IO14" s="218"/>
      <c r="IP14" s="218"/>
      <c r="IQ14" s="218"/>
      <c r="IR14" s="218"/>
      <c r="IS14" s="218"/>
      <c r="IT14" s="218"/>
      <c r="IU14" s="218"/>
    </row>
    <row r="15" spans="1:255" ht="13.5" customHeight="1" x14ac:dyDescent="0.25">
      <c r="A15" s="238">
        <v>2015</v>
      </c>
      <c r="B15" s="346">
        <v>2422</v>
      </c>
      <c r="C15" s="347">
        <f>B15/R15</f>
        <v>0.89670492410218439</v>
      </c>
      <c r="D15" s="346">
        <v>40</v>
      </c>
      <c r="E15" s="347">
        <f>D15/R15</f>
        <v>1.4809329877823029E-2</v>
      </c>
      <c r="F15" s="346">
        <f>B15+D15</f>
        <v>2462</v>
      </c>
      <c r="G15" s="348">
        <f>F15/R15</f>
        <v>0.91151425398000741</v>
      </c>
      <c r="H15" s="346">
        <v>237</v>
      </c>
      <c r="I15" s="347">
        <f>H15/R15</f>
        <v>8.774527952610145E-2</v>
      </c>
      <c r="J15" s="346">
        <v>2</v>
      </c>
      <c r="K15" s="347">
        <f>J15/R15</f>
        <v>7.4046649389115145E-4</v>
      </c>
      <c r="L15" s="346">
        <f>H15+J15</f>
        <v>239</v>
      </c>
      <c r="M15" s="348">
        <f>L15/R15</f>
        <v>8.8485746019992595E-2</v>
      </c>
      <c r="N15" s="346">
        <f>B15+H15</f>
        <v>2659</v>
      </c>
      <c r="O15" s="347">
        <f>N15/R15</f>
        <v>0.98445020362828584</v>
      </c>
      <c r="P15" s="346">
        <f>D15+J15</f>
        <v>42</v>
      </c>
      <c r="Q15" s="347">
        <f>P15/R15</f>
        <v>1.554979637171418E-2</v>
      </c>
      <c r="R15" s="346">
        <f>N15+P15</f>
        <v>2701</v>
      </c>
      <c r="S15" s="349">
        <f>SUM(G15,M15)</f>
        <v>1</v>
      </c>
      <c r="T15" s="218"/>
      <c r="U15" s="218"/>
      <c r="V15" s="218"/>
      <c r="W15" s="218"/>
      <c r="X15" s="218"/>
      <c r="Y15" s="218"/>
      <c r="Z15" s="218"/>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c r="BT15" s="218"/>
      <c r="BU15" s="218"/>
      <c r="BV15" s="218"/>
      <c r="BW15" s="218"/>
      <c r="BX15" s="218"/>
      <c r="BY15" s="218"/>
      <c r="BZ15" s="218"/>
      <c r="CA15" s="218"/>
      <c r="CB15" s="218"/>
      <c r="CC15" s="218"/>
      <c r="CD15" s="218"/>
      <c r="CE15" s="218"/>
      <c r="CF15" s="218"/>
      <c r="CG15" s="218"/>
      <c r="CH15" s="218"/>
      <c r="CI15" s="218"/>
      <c r="CJ15" s="218"/>
      <c r="CK15" s="218"/>
      <c r="CL15" s="218"/>
      <c r="CM15" s="218"/>
      <c r="CN15" s="218"/>
      <c r="CO15" s="218"/>
      <c r="CP15" s="218"/>
      <c r="CQ15" s="218"/>
      <c r="CR15" s="218"/>
      <c r="CS15" s="218"/>
      <c r="CT15" s="218"/>
      <c r="CU15" s="218"/>
      <c r="CV15" s="218"/>
      <c r="CW15" s="218"/>
      <c r="CX15" s="218"/>
      <c r="CY15" s="218"/>
      <c r="CZ15" s="218"/>
      <c r="DA15" s="218"/>
      <c r="DB15" s="218"/>
      <c r="DC15" s="218"/>
      <c r="DD15" s="218"/>
      <c r="DE15" s="218"/>
      <c r="DF15" s="218"/>
      <c r="DG15" s="218"/>
      <c r="DH15" s="218"/>
      <c r="DI15" s="218"/>
      <c r="DJ15" s="218"/>
      <c r="DK15" s="218"/>
      <c r="DL15" s="218"/>
      <c r="DM15" s="218"/>
      <c r="DN15" s="218"/>
      <c r="DO15" s="218"/>
      <c r="DP15" s="218"/>
      <c r="DQ15" s="218"/>
      <c r="DR15" s="218"/>
      <c r="DS15" s="218"/>
      <c r="DT15" s="218"/>
      <c r="DU15" s="218"/>
      <c r="DV15" s="218"/>
      <c r="DW15" s="218"/>
      <c r="DX15" s="218"/>
      <c r="DY15" s="218"/>
      <c r="DZ15" s="218"/>
      <c r="EA15" s="218"/>
      <c r="EB15" s="218"/>
      <c r="EC15" s="218"/>
      <c r="ED15" s="218"/>
      <c r="EE15" s="218"/>
      <c r="EF15" s="218"/>
      <c r="EG15" s="218"/>
      <c r="EH15" s="218"/>
      <c r="EI15" s="218"/>
      <c r="EJ15" s="218"/>
      <c r="EK15" s="218"/>
      <c r="EL15" s="218"/>
      <c r="EM15" s="218"/>
      <c r="EN15" s="218"/>
      <c r="EO15" s="218"/>
      <c r="EP15" s="218"/>
      <c r="EQ15" s="218"/>
      <c r="ER15" s="218"/>
      <c r="ES15" s="218"/>
      <c r="ET15" s="218"/>
      <c r="EU15" s="218"/>
      <c r="EV15" s="218"/>
      <c r="EW15" s="218"/>
      <c r="EX15" s="218"/>
      <c r="EY15" s="218"/>
      <c r="EZ15" s="218"/>
      <c r="FA15" s="218"/>
      <c r="FB15" s="218"/>
      <c r="FC15" s="218"/>
      <c r="FD15" s="218"/>
      <c r="FE15" s="218"/>
      <c r="FF15" s="218"/>
      <c r="FG15" s="218"/>
      <c r="FH15" s="218"/>
      <c r="FI15" s="218"/>
      <c r="FJ15" s="218"/>
      <c r="FK15" s="218"/>
      <c r="FL15" s="218"/>
      <c r="FM15" s="218"/>
      <c r="FN15" s="218"/>
      <c r="FO15" s="218"/>
      <c r="FP15" s="218"/>
      <c r="FQ15" s="218"/>
      <c r="FR15" s="218"/>
      <c r="FS15" s="218"/>
      <c r="FT15" s="218"/>
      <c r="FU15" s="218"/>
      <c r="FV15" s="218"/>
      <c r="FW15" s="218"/>
      <c r="FX15" s="218"/>
      <c r="FY15" s="218"/>
      <c r="FZ15" s="218"/>
      <c r="GA15" s="218"/>
      <c r="GB15" s="218"/>
      <c r="GC15" s="218"/>
      <c r="GD15" s="218"/>
      <c r="GE15" s="218"/>
      <c r="GF15" s="218"/>
      <c r="GG15" s="218"/>
      <c r="GH15" s="218"/>
      <c r="GI15" s="218"/>
      <c r="GJ15" s="218"/>
      <c r="GK15" s="218"/>
      <c r="GL15" s="218"/>
      <c r="GM15" s="218"/>
      <c r="GN15" s="218"/>
      <c r="GO15" s="218"/>
      <c r="GP15" s="218"/>
      <c r="GQ15" s="218"/>
      <c r="GR15" s="218"/>
      <c r="GS15" s="218"/>
      <c r="GT15" s="218"/>
      <c r="GU15" s="218"/>
      <c r="GV15" s="218"/>
      <c r="GW15" s="218"/>
      <c r="GX15" s="218"/>
      <c r="GY15" s="218"/>
      <c r="GZ15" s="218"/>
      <c r="HA15" s="218"/>
      <c r="HB15" s="218"/>
      <c r="HC15" s="218"/>
      <c r="HD15" s="218"/>
      <c r="HE15" s="218"/>
      <c r="HF15" s="218"/>
      <c r="HG15" s="218"/>
      <c r="HH15" s="218"/>
      <c r="HI15" s="218"/>
      <c r="HJ15" s="218"/>
      <c r="HK15" s="218"/>
      <c r="HL15" s="218"/>
      <c r="HM15" s="218"/>
      <c r="HN15" s="218"/>
      <c r="HO15" s="218"/>
      <c r="HP15" s="218"/>
      <c r="HQ15" s="218"/>
      <c r="HR15" s="218"/>
      <c r="HS15" s="218"/>
      <c r="HT15" s="218"/>
      <c r="HU15" s="218"/>
      <c r="HV15" s="218"/>
      <c r="HW15" s="218"/>
      <c r="HX15" s="218"/>
      <c r="HY15" s="218"/>
      <c r="HZ15" s="218"/>
      <c r="IA15" s="218"/>
      <c r="IB15" s="218"/>
      <c r="IC15" s="218"/>
      <c r="ID15" s="218"/>
      <c r="IE15" s="218"/>
      <c r="IF15" s="218"/>
      <c r="IG15" s="218"/>
      <c r="IH15" s="218"/>
      <c r="II15" s="218"/>
      <c r="IJ15" s="218"/>
      <c r="IK15" s="218"/>
      <c r="IL15" s="218"/>
      <c r="IM15" s="218"/>
      <c r="IN15" s="218"/>
      <c r="IO15" s="218"/>
      <c r="IP15" s="218"/>
      <c r="IQ15" s="218"/>
      <c r="IR15" s="218"/>
      <c r="IS15" s="218"/>
      <c r="IT15" s="218"/>
      <c r="IU15" s="218"/>
    </row>
    <row r="16" spans="1:255" ht="13.5" customHeight="1" x14ac:dyDescent="0.25">
      <c r="A16" s="243"/>
      <c r="B16" s="769"/>
      <c r="C16" s="770"/>
      <c r="D16" s="769"/>
      <c r="E16" s="770"/>
      <c r="F16" s="769"/>
      <c r="G16" s="770"/>
      <c r="H16" s="769"/>
      <c r="I16" s="770"/>
      <c r="J16" s="769"/>
      <c r="K16" s="770"/>
      <c r="L16" s="769"/>
      <c r="M16" s="770"/>
      <c r="N16" s="769"/>
      <c r="O16" s="770"/>
      <c r="P16" s="769"/>
      <c r="Q16" s="770"/>
      <c r="R16" s="769"/>
      <c r="S16" s="771"/>
      <c r="T16" s="218"/>
      <c r="U16" s="218"/>
      <c r="V16" s="218"/>
      <c r="W16" s="218"/>
      <c r="X16" s="218"/>
      <c r="Y16" s="218"/>
      <c r="Z16" s="218"/>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218"/>
      <c r="CF16" s="218"/>
      <c r="CG16" s="218"/>
      <c r="CH16" s="218"/>
      <c r="CI16" s="218"/>
      <c r="CJ16" s="218"/>
      <c r="CK16" s="218"/>
      <c r="CL16" s="218"/>
      <c r="CM16" s="218"/>
      <c r="CN16" s="218"/>
      <c r="CO16" s="218"/>
      <c r="CP16" s="218"/>
      <c r="CQ16" s="218"/>
      <c r="CR16" s="218"/>
      <c r="CS16" s="218"/>
      <c r="CT16" s="218"/>
      <c r="CU16" s="218"/>
      <c r="CV16" s="218"/>
      <c r="CW16" s="218"/>
      <c r="CX16" s="218"/>
      <c r="CY16" s="218"/>
      <c r="CZ16" s="218"/>
      <c r="DA16" s="218"/>
      <c r="DB16" s="218"/>
      <c r="DC16" s="218"/>
      <c r="DD16" s="218"/>
      <c r="DE16" s="218"/>
      <c r="DF16" s="218"/>
      <c r="DG16" s="218"/>
      <c r="DH16" s="218"/>
      <c r="DI16" s="218"/>
      <c r="DJ16" s="218"/>
      <c r="DK16" s="218"/>
      <c r="DL16" s="218"/>
      <c r="DM16" s="218"/>
      <c r="DN16" s="218"/>
      <c r="DO16" s="218"/>
      <c r="DP16" s="218"/>
      <c r="DQ16" s="218"/>
      <c r="DR16" s="218"/>
      <c r="DS16" s="218"/>
      <c r="DT16" s="218"/>
      <c r="DU16" s="218"/>
      <c r="DV16" s="218"/>
      <c r="DW16" s="218"/>
      <c r="DX16" s="218"/>
      <c r="DY16" s="218"/>
      <c r="DZ16" s="218"/>
      <c r="EA16" s="218"/>
      <c r="EB16" s="218"/>
      <c r="EC16" s="218"/>
      <c r="ED16" s="218"/>
      <c r="EE16" s="218"/>
      <c r="EF16" s="218"/>
      <c r="EG16" s="218"/>
      <c r="EH16" s="218"/>
      <c r="EI16" s="218"/>
      <c r="EJ16" s="218"/>
      <c r="EK16" s="218"/>
      <c r="EL16" s="218"/>
      <c r="EM16" s="218"/>
      <c r="EN16" s="218"/>
      <c r="EO16" s="218"/>
      <c r="EP16" s="218"/>
      <c r="EQ16" s="218"/>
      <c r="ER16" s="218"/>
      <c r="ES16" s="218"/>
      <c r="ET16" s="218"/>
      <c r="EU16" s="218"/>
      <c r="EV16" s="218"/>
      <c r="EW16" s="218"/>
      <c r="EX16" s="218"/>
      <c r="EY16" s="218"/>
      <c r="EZ16" s="218"/>
      <c r="FA16" s="218"/>
      <c r="FB16" s="218"/>
      <c r="FC16" s="218"/>
      <c r="FD16" s="218"/>
      <c r="FE16" s="218"/>
      <c r="FF16" s="218"/>
      <c r="FG16" s="218"/>
      <c r="FH16" s="218"/>
      <c r="FI16" s="218"/>
      <c r="FJ16" s="218"/>
      <c r="FK16" s="218"/>
      <c r="FL16" s="218"/>
      <c r="FM16" s="218"/>
      <c r="FN16" s="218"/>
      <c r="FO16" s="218"/>
      <c r="FP16" s="218"/>
      <c r="FQ16" s="218"/>
      <c r="FR16" s="218"/>
      <c r="FS16" s="218"/>
      <c r="FT16" s="218"/>
      <c r="FU16" s="218"/>
      <c r="FV16" s="218"/>
      <c r="FW16" s="218"/>
      <c r="FX16" s="218"/>
      <c r="FY16" s="218"/>
      <c r="FZ16" s="218"/>
      <c r="GA16" s="218"/>
      <c r="GB16" s="218"/>
      <c r="GC16" s="218"/>
      <c r="GD16" s="218"/>
      <c r="GE16" s="218"/>
      <c r="GF16" s="218"/>
      <c r="GG16" s="218"/>
      <c r="GH16" s="218"/>
      <c r="GI16" s="218"/>
      <c r="GJ16" s="218"/>
      <c r="GK16" s="218"/>
      <c r="GL16" s="218"/>
      <c r="GM16" s="218"/>
      <c r="GN16" s="218"/>
      <c r="GO16" s="218"/>
      <c r="GP16" s="218"/>
      <c r="GQ16" s="218"/>
      <c r="GR16" s="218"/>
      <c r="GS16" s="218"/>
      <c r="GT16" s="218"/>
      <c r="GU16" s="218"/>
      <c r="GV16" s="218"/>
      <c r="GW16" s="218"/>
      <c r="GX16" s="218"/>
      <c r="GY16" s="218"/>
      <c r="GZ16" s="218"/>
      <c r="HA16" s="218"/>
      <c r="HB16" s="218"/>
      <c r="HC16" s="218"/>
      <c r="HD16" s="218"/>
      <c r="HE16" s="218"/>
      <c r="HF16" s="218"/>
      <c r="HG16" s="218"/>
      <c r="HH16" s="218"/>
      <c r="HI16" s="218"/>
      <c r="HJ16" s="218"/>
      <c r="HK16" s="218"/>
      <c r="HL16" s="218"/>
      <c r="HM16" s="218"/>
      <c r="HN16" s="218"/>
      <c r="HO16" s="218"/>
      <c r="HP16" s="218"/>
      <c r="HQ16" s="218"/>
      <c r="HR16" s="218"/>
      <c r="HS16" s="218"/>
      <c r="HT16" s="218"/>
      <c r="HU16" s="218"/>
      <c r="HV16" s="218"/>
      <c r="HW16" s="218"/>
      <c r="HX16" s="218"/>
      <c r="HY16" s="218"/>
      <c r="HZ16" s="218"/>
      <c r="IA16" s="218"/>
      <c r="IB16" s="218"/>
      <c r="IC16" s="218"/>
      <c r="ID16" s="218"/>
      <c r="IE16" s="218"/>
      <c r="IF16" s="218"/>
      <c r="IG16" s="218"/>
      <c r="IH16" s="218"/>
      <c r="II16" s="218"/>
      <c r="IJ16" s="218"/>
      <c r="IK16" s="218"/>
      <c r="IL16" s="218"/>
      <c r="IM16" s="218"/>
      <c r="IN16" s="218"/>
      <c r="IO16" s="218"/>
      <c r="IP16" s="218"/>
      <c r="IQ16" s="218"/>
      <c r="IR16" s="218"/>
      <c r="IS16" s="218"/>
      <c r="IT16" s="218"/>
      <c r="IU16" s="218"/>
    </row>
    <row r="17" spans="1:255" x14ac:dyDescent="0.25">
      <c r="A17" s="218"/>
      <c r="B17" s="218"/>
      <c r="C17" s="218"/>
      <c r="D17" s="218"/>
      <c r="E17" s="218"/>
      <c r="F17" s="218"/>
      <c r="G17" s="218"/>
      <c r="H17" s="218"/>
      <c r="I17" s="218"/>
      <c r="J17" s="218"/>
      <c r="K17" s="218"/>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8"/>
      <c r="BK17" s="218"/>
      <c r="BL17" s="218"/>
      <c r="BM17" s="218"/>
      <c r="BN17" s="218"/>
      <c r="BO17" s="218"/>
      <c r="BP17" s="218"/>
      <c r="BQ17" s="218"/>
      <c r="BR17" s="218"/>
      <c r="BS17" s="218"/>
      <c r="BT17" s="218"/>
      <c r="BU17" s="218"/>
      <c r="BV17" s="218"/>
      <c r="BW17" s="218"/>
      <c r="BX17" s="218"/>
      <c r="BY17" s="218"/>
      <c r="BZ17" s="218"/>
      <c r="CA17" s="218"/>
      <c r="CB17" s="218"/>
      <c r="CC17" s="218"/>
      <c r="CD17" s="218"/>
      <c r="CE17" s="218"/>
      <c r="CF17" s="218"/>
      <c r="CG17" s="218"/>
      <c r="CH17" s="218"/>
      <c r="CI17" s="218"/>
      <c r="CJ17" s="218"/>
      <c r="CK17" s="218"/>
      <c r="CL17" s="218"/>
      <c r="CM17" s="218"/>
      <c r="CN17" s="218"/>
      <c r="CO17" s="218"/>
      <c r="CP17" s="218"/>
      <c r="CQ17" s="218"/>
      <c r="CR17" s="218"/>
      <c r="CS17" s="218"/>
      <c r="CT17" s="218"/>
      <c r="CU17" s="218"/>
      <c r="CV17" s="218"/>
      <c r="CW17" s="218"/>
      <c r="CX17" s="218"/>
      <c r="CY17" s="218"/>
      <c r="CZ17" s="218"/>
      <c r="DA17" s="218"/>
      <c r="DB17" s="218"/>
      <c r="DC17" s="218"/>
      <c r="DD17" s="218"/>
      <c r="DE17" s="218"/>
      <c r="DF17" s="218"/>
      <c r="DG17" s="218"/>
      <c r="DH17" s="218"/>
      <c r="DI17" s="218"/>
      <c r="DJ17" s="218"/>
      <c r="DK17" s="218"/>
      <c r="DL17" s="218"/>
      <c r="DM17" s="218"/>
      <c r="DN17" s="218"/>
      <c r="DO17" s="218"/>
      <c r="DP17" s="218"/>
      <c r="DQ17" s="218"/>
      <c r="DR17" s="218"/>
      <c r="DS17" s="218"/>
      <c r="DT17" s="218"/>
      <c r="DU17" s="218"/>
      <c r="DV17" s="218"/>
      <c r="DW17" s="218"/>
      <c r="DX17" s="218"/>
      <c r="DY17" s="218"/>
      <c r="DZ17" s="218"/>
      <c r="EA17" s="218"/>
      <c r="EB17" s="218"/>
      <c r="EC17" s="218"/>
      <c r="ED17" s="218"/>
      <c r="EE17" s="218"/>
      <c r="EF17" s="218"/>
      <c r="EG17" s="218"/>
      <c r="EH17" s="218"/>
      <c r="EI17" s="218"/>
      <c r="EJ17" s="218"/>
      <c r="EK17" s="218"/>
      <c r="EL17" s="218"/>
      <c r="EM17" s="218"/>
      <c r="EN17" s="218"/>
      <c r="EO17" s="218"/>
      <c r="EP17" s="218"/>
      <c r="EQ17" s="218"/>
      <c r="ER17" s="218"/>
      <c r="ES17" s="218"/>
      <c r="ET17" s="218"/>
      <c r="EU17" s="218"/>
      <c r="EV17" s="218"/>
      <c r="EW17" s="218"/>
      <c r="EX17" s="218"/>
      <c r="EY17" s="218"/>
      <c r="EZ17" s="218"/>
      <c r="FA17" s="218"/>
      <c r="FB17" s="218"/>
      <c r="FC17" s="218"/>
      <c r="FD17" s="218"/>
      <c r="FE17" s="218"/>
      <c r="FF17" s="218"/>
      <c r="FG17" s="218"/>
      <c r="FH17" s="218"/>
      <c r="FI17" s="218"/>
      <c r="FJ17" s="218"/>
      <c r="FK17" s="218"/>
      <c r="FL17" s="218"/>
      <c r="FM17" s="218"/>
      <c r="FN17" s="218"/>
      <c r="FO17" s="218"/>
      <c r="FP17" s="218"/>
      <c r="FQ17" s="218"/>
      <c r="FR17" s="218"/>
      <c r="FS17" s="218"/>
      <c r="FT17" s="218"/>
      <c r="FU17" s="218"/>
      <c r="FV17" s="218"/>
      <c r="FW17" s="218"/>
      <c r="FX17" s="218"/>
      <c r="FY17" s="218"/>
      <c r="FZ17" s="218"/>
      <c r="GA17" s="218"/>
      <c r="GB17" s="218"/>
      <c r="GC17" s="218"/>
      <c r="GD17" s="218"/>
      <c r="GE17" s="218"/>
      <c r="GF17" s="218"/>
      <c r="GG17" s="218"/>
      <c r="GH17" s="218"/>
      <c r="GI17" s="218"/>
      <c r="GJ17" s="218"/>
      <c r="GK17" s="218"/>
      <c r="GL17" s="218"/>
      <c r="GM17" s="218"/>
      <c r="GN17" s="218"/>
      <c r="GO17" s="218"/>
      <c r="GP17" s="218"/>
      <c r="GQ17" s="218"/>
      <c r="GR17" s="218"/>
      <c r="GS17" s="218"/>
      <c r="GT17" s="218"/>
      <c r="GU17" s="218"/>
      <c r="GV17" s="218"/>
      <c r="GW17" s="218"/>
      <c r="GX17" s="218"/>
      <c r="GY17" s="218"/>
      <c r="GZ17" s="218"/>
      <c r="HA17" s="218"/>
      <c r="HB17" s="218"/>
      <c r="HC17" s="218"/>
      <c r="HD17" s="218"/>
      <c r="HE17" s="218"/>
      <c r="HF17" s="218"/>
      <c r="HG17" s="218"/>
      <c r="HH17" s="218"/>
      <c r="HI17" s="218"/>
      <c r="HJ17" s="218"/>
      <c r="HK17" s="218"/>
      <c r="HL17" s="218"/>
      <c r="HM17" s="218"/>
      <c r="HN17" s="218"/>
      <c r="HO17" s="218"/>
      <c r="HP17" s="218"/>
      <c r="HQ17" s="218"/>
      <c r="HR17" s="218"/>
      <c r="HS17" s="218"/>
      <c r="HT17" s="218"/>
      <c r="HU17" s="218"/>
      <c r="HV17" s="218"/>
      <c r="HW17" s="218"/>
      <c r="HX17" s="218"/>
      <c r="HY17" s="218"/>
      <c r="HZ17" s="218"/>
      <c r="IA17" s="218"/>
      <c r="IB17" s="218"/>
      <c r="IC17" s="218"/>
      <c r="ID17" s="218"/>
      <c r="IE17" s="218"/>
      <c r="IF17" s="218"/>
      <c r="IG17" s="218"/>
      <c r="IH17" s="218"/>
      <c r="II17" s="218"/>
      <c r="IJ17" s="218"/>
      <c r="IK17" s="218"/>
      <c r="IL17" s="218"/>
      <c r="IM17" s="218"/>
      <c r="IN17" s="218"/>
      <c r="IO17" s="218"/>
      <c r="IP17" s="218"/>
      <c r="IQ17" s="218"/>
      <c r="IR17" s="218"/>
      <c r="IS17" s="218"/>
      <c r="IT17" s="218"/>
      <c r="IU17" s="218"/>
    </row>
    <row r="18" spans="1:255" ht="21.6" x14ac:dyDescent="0.4">
      <c r="A18" s="217" t="s">
        <v>1349</v>
      </c>
      <c r="B18" s="217"/>
      <c r="C18" s="217"/>
      <c r="D18" s="217"/>
      <c r="E18" s="217"/>
      <c r="F18" s="217"/>
      <c r="G18" s="217"/>
      <c r="H18" s="217"/>
      <c r="I18" s="217"/>
      <c r="J18" s="217"/>
      <c r="K18" s="217"/>
      <c r="L18" s="217"/>
      <c r="M18" s="217"/>
      <c r="N18" s="217"/>
      <c r="O18" s="217"/>
      <c r="P18" s="217"/>
      <c r="Q18" s="217"/>
      <c r="R18" s="217"/>
      <c r="S18" s="217"/>
      <c r="T18" s="218"/>
      <c r="U18" s="218"/>
      <c r="V18" s="218"/>
      <c r="W18" s="218"/>
      <c r="X18" s="218"/>
      <c r="Y18" s="218"/>
      <c r="Z18" s="218"/>
      <c r="AA18" s="218"/>
      <c r="AB18" s="218"/>
      <c r="AC18" s="218"/>
      <c r="AD18" s="218"/>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18"/>
      <c r="BM18" s="218"/>
      <c r="BN18" s="218"/>
      <c r="BO18" s="218"/>
      <c r="BP18" s="218"/>
      <c r="BQ18" s="218"/>
      <c r="BR18" s="218"/>
      <c r="BS18" s="218"/>
      <c r="BT18" s="218"/>
      <c r="BU18" s="218"/>
      <c r="BV18" s="218"/>
      <c r="BW18" s="218"/>
      <c r="BX18" s="218"/>
      <c r="BY18" s="218"/>
      <c r="BZ18" s="218"/>
      <c r="CA18" s="218"/>
      <c r="CB18" s="218"/>
      <c r="CC18" s="218"/>
      <c r="CD18" s="218"/>
      <c r="CE18" s="218"/>
      <c r="CF18" s="218"/>
      <c r="CG18" s="218"/>
      <c r="CH18" s="218"/>
      <c r="CI18" s="218"/>
      <c r="CJ18" s="218"/>
      <c r="CK18" s="218"/>
      <c r="CL18" s="218"/>
      <c r="CM18" s="218"/>
      <c r="CN18" s="218"/>
      <c r="CO18" s="218"/>
      <c r="CP18" s="218"/>
      <c r="CQ18" s="218"/>
      <c r="CR18" s="218"/>
      <c r="CS18" s="218"/>
      <c r="CT18" s="218"/>
      <c r="CU18" s="218"/>
      <c r="CV18" s="218"/>
      <c r="CW18" s="218"/>
      <c r="CX18" s="218"/>
      <c r="CY18" s="218"/>
      <c r="CZ18" s="218"/>
      <c r="DA18" s="218"/>
      <c r="DB18" s="218"/>
      <c r="DC18" s="218"/>
      <c r="DD18" s="218"/>
      <c r="DE18" s="218"/>
      <c r="DF18" s="218"/>
      <c r="DG18" s="218"/>
      <c r="DH18" s="218"/>
      <c r="DI18" s="218"/>
      <c r="DJ18" s="218"/>
      <c r="DK18" s="218"/>
      <c r="DL18" s="218"/>
      <c r="DM18" s="218"/>
      <c r="DN18" s="218"/>
      <c r="DO18" s="218"/>
      <c r="DP18" s="218"/>
      <c r="DQ18" s="218"/>
      <c r="DR18" s="218"/>
      <c r="DS18" s="218"/>
      <c r="DT18" s="218"/>
      <c r="DU18" s="218"/>
      <c r="DV18" s="218"/>
      <c r="DW18" s="218"/>
      <c r="DX18" s="218"/>
      <c r="DY18" s="218"/>
      <c r="DZ18" s="218"/>
      <c r="EA18" s="218"/>
      <c r="EB18" s="218"/>
      <c r="EC18" s="218"/>
      <c r="ED18" s="218"/>
      <c r="EE18" s="218"/>
      <c r="EF18" s="218"/>
      <c r="EG18" s="218"/>
      <c r="EH18" s="218"/>
      <c r="EI18" s="218"/>
      <c r="EJ18" s="218"/>
      <c r="EK18" s="218"/>
      <c r="EL18" s="218"/>
      <c r="EM18" s="218"/>
      <c r="EN18" s="218"/>
      <c r="EO18" s="218"/>
      <c r="EP18" s="218"/>
      <c r="EQ18" s="218"/>
      <c r="ER18" s="218"/>
      <c r="ES18" s="218"/>
      <c r="ET18" s="218"/>
      <c r="EU18" s="218"/>
      <c r="EV18" s="218"/>
      <c r="EW18" s="218"/>
      <c r="EX18" s="218"/>
      <c r="EY18" s="218"/>
      <c r="EZ18" s="218"/>
      <c r="FA18" s="218"/>
      <c r="FB18" s="218"/>
      <c r="FC18" s="218"/>
      <c r="FD18" s="218"/>
      <c r="FE18" s="218"/>
      <c r="FF18" s="218"/>
      <c r="FG18" s="218"/>
      <c r="FH18" s="218"/>
      <c r="FI18" s="218"/>
      <c r="FJ18" s="218"/>
      <c r="FK18" s="218"/>
      <c r="FL18" s="218"/>
      <c r="FM18" s="218"/>
      <c r="FN18" s="218"/>
      <c r="FO18" s="218"/>
      <c r="FP18" s="218"/>
      <c r="FQ18" s="218"/>
      <c r="FR18" s="218"/>
      <c r="FS18" s="218"/>
      <c r="FT18" s="218"/>
      <c r="FU18" s="218"/>
      <c r="FV18" s="218"/>
      <c r="FW18" s="218"/>
      <c r="FX18" s="218"/>
      <c r="FY18" s="218"/>
      <c r="FZ18" s="218"/>
      <c r="GA18" s="218"/>
      <c r="GB18" s="218"/>
      <c r="GC18" s="218"/>
      <c r="GD18" s="218"/>
      <c r="GE18" s="218"/>
      <c r="GF18" s="218"/>
      <c r="GG18" s="218"/>
      <c r="GH18" s="218"/>
      <c r="GI18" s="218"/>
      <c r="GJ18" s="218"/>
      <c r="GK18" s="218"/>
      <c r="GL18" s="218"/>
      <c r="GM18" s="218"/>
      <c r="GN18" s="218"/>
      <c r="GO18" s="218"/>
      <c r="GP18" s="218"/>
      <c r="GQ18" s="218"/>
      <c r="GR18" s="218"/>
      <c r="GS18" s="218"/>
      <c r="GT18" s="218"/>
      <c r="GU18" s="218"/>
      <c r="GV18" s="218"/>
      <c r="GW18" s="218"/>
      <c r="GX18" s="218"/>
      <c r="GY18" s="218"/>
      <c r="GZ18" s="218"/>
      <c r="HA18" s="218"/>
      <c r="HB18" s="218"/>
      <c r="HC18" s="218"/>
      <c r="HD18" s="218"/>
      <c r="HE18" s="218"/>
      <c r="HF18" s="218"/>
      <c r="HG18" s="218"/>
      <c r="HH18" s="218"/>
      <c r="HI18" s="218"/>
      <c r="HJ18" s="218"/>
      <c r="HK18" s="218"/>
      <c r="HL18" s="218"/>
      <c r="HM18" s="218"/>
      <c r="HN18" s="218"/>
      <c r="HO18" s="218"/>
      <c r="HP18" s="218"/>
      <c r="HQ18" s="218"/>
      <c r="HR18" s="218"/>
      <c r="HS18" s="218"/>
      <c r="HT18" s="218"/>
      <c r="HU18" s="218"/>
      <c r="HV18" s="218"/>
      <c r="HW18" s="218"/>
      <c r="HX18" s="218"/>
      <c r="HY18" s="218"/>
      <c r="HZ18" s="218"/>
      <c r="IA18" s="218"/>
      <c r="IB18" s="218"/>
      <c r="IC18" s="218"/>
      <c r="ID18" s="218"/>
      <c r="IE18" s="218"/>
      <c r="IF18" s="218"/>
      <c r="IG18" s="218"/>
      <c r="IH18" s="218"/>
      <c r="II18" s="218"/>
      <c r="IJ18" s="218"/>
      <c r="IK18" s="218"/>
      <c r="IL18" s="218"/>
      <c r="IM18" s="218"/>
      <c r="IN18" s="218"/>
      <c r="IO18" s="218"/>
      <c r="IP18" s="218"/>
      <c r="IQ18" s="218"/>
      <c r="IR18" s="218"/>
      <c r="IS18" s="218"/>
      <c r="IT18" s="218"/>
      <c r="IU18" s="218"/>
    </row>
    <row r="19" spans="1:255" x14ac:dyDescent="0.25">
      <c r="A19" s="218"/>
      <c r="B19" s="218"/>
      <c r="C19" s="218"/>
      <c r="D19" s="218"/>
      <c r="E19" s="218"/>
      <c r="F19" s="218"/>
      <c r="G19" s="218"/>
      <c r="H19" s="218"/>
      <c r="I19" s="218"/>
      <c r="J19" s="218"/>
      <c r="K19" s="21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c r="BQ19" s="218"/>
      <c r="BR19" s="218"/>
      <c r="BS19" s="218"/>
      <c r="BT19" s="218"/>
      <c r="BU19" s="218"/>
      <c r="BV19" s="218"/>
      <c r="BW19" s="218"/>
      <c r="BX19" s="218"/>
      <c r="BY19" s="218"/>
      <c r="BZ19" s="218"/>
      <c r="CA19" s="218"/>
      <c r="CB19" s="218"/>
      <c r="CC19" s="218"/>
      <c r="CD19" s="218"/>
      <c r="CE19" s="218"/>
      <c r="CF19" s="218"/>
      <c r="CG19" s="218"/>
      <c r="CH19" s="218"/>
      <c r="CI19" s="218"/>
      <c r="CJ19" s="218"/>
      <c r="CK19" s="218"/>
      <c r="CL19" s="218"/>
      <c r="CM19" s="218"/>
      <c r="CN19" s="218"/>
      <c r="CO19" s="218"/>
      <c r="CP19" s="218"/>
      <c r="CQ19" s="218"/>
      <c r="CR19" s="218"/>
      <c r="CS19" s="218"/>
      <c r="CT19" s="218"/>
      <c r="CU19" s="218"/>
      <c r="CV19" s="218"/>
      <c r="CW19" s="218"/>
      <c r="CX19" s="218"/>
      <c r="CY19" s="218"/>
      <c r="CZ19" s="218"/>
      <c r="DA19" s="218"/>
      <c r="DB19" s="218"/>
      <c r="DC19" s="218"/>
      <c r="DD19" s="218"/>
      <c r="DE19" s="218"/>
      <c r="DF19" s="218"/>
      <c r="DG19" s="218"/>
      <c r="DH19" s="218"/>
      <c r="DI19" s="218"/>
      <c r="DJ19" s="218"/>
      <c r="DK19" s="218"/>
      <c r="DL19" s="218"/>
      <c r="DM19" s="218"/>
      <c r="DN19" s="218"/>
      <c r="DO19" s="218"/>
      <c r="DP19" s="218"/>
      <c r="DQ19" s="218"/>
      <c r="DR19" s="218"/>
      <c r="DS19" s="218"/>
      <c r="DT19" s="218"/>
      <c r="DU19" s="218"/>
      <c r="DV19" s="218"/>
      <c r="DW19" s="218"/>
      <c r="DX19" s="218"/>
      <c r="DY19" s="218"/>
      <c r="DZ19" s="218"/>
      <c r="EA19" s="218"/>
      <c r="EB19" s="218"/>
      <c r="EC19" s="218"/>
      <c r="ED19" s="218"/>
      <c r="EE19" s="218"/>
      <c r="EF19" s="218"/>
      <c r="EG19" s="218"/>
      <c r="EH19" s="218"/>
      <c r="EI19" s="218"/>
      <c r="EJ19" s="218"/>
      <c r="EK19" s="218"/>
      <c r="EL19" s="218"/>
      <c r="EM19" s="218"/>
      <c r="EN19" s="218"/>
      <c r="EO19" s="218"/>
      <c r="EP19" s="218"/>
      <c r="EQ19" s="218"/>
      <c r="ER19" s="218"/>
      <c r="ES19" s="218"/>
      <c r="ET19" s="218"/>
      <c r="EU19" s="218"/>
      <c r="EV19" s="218"/>
      <c r="EW19" s="218"/>
      <c r="EX19" s="218"/>
      <c r="EY19" s="218"/>
      <c r="EZ19" s="218"/>
      <c r="FA19" s="218"/>
      <c r="FB19" s="218"/>
      <c r="FC19" s="218"/>
      <c r="FD19" s="218"/>
      <c r="FE19" s="218"/>
      <c r="FF19" s="218"/>
      <c r="FG19" s="218"/>
      <c r="FH19" s="218"/>
      <c r="FI19" s="218"/>
      <c r="FJ19" s="218"/>
      <c r="FK19" s="218"/>
      <c r="FL19" s="218"/>
      <c r="FM19" s="218"/>
      <c r="FN19" s="218"/>
      <c r="FO19" s="218"/>
      <c r="FP19" s="218"/>
      <c r="FQ19" s="218"/>
      <c r="FR19" s="218"/>
      <c r="FS19" s="218"/>
      <c r="FT19" s="218"/>
      <c r="FU19" s="218"/>
      <c r="FV19" s="218"/>
      <c r="FW19" s="218"/>
      <c r="FX19" s="218"/>
      <c r="FY19" s="218"/>
      <c r="FZ19" s="218"/>
      <c r="GA19" s="218"/>
      <c r="GB19" s="218"/>
      <c r="GC19" s="218"/>
      <c r="GD19" s="218"/>
      <c r="GE19" s="218"/>
      <c r="GF19" s="218"/>
      <c r="GG19" s="218"/>
      <c r="GH19" s="218"/>
      <c r="GI19" s="218"/>
      <c r="GJ19" s="218"/>
      <c r="GK19" s="218"/>
      <c r="GL19" s="218"/>
      <c r="GM19" s="218"/>
      <c r="GN19" s="218"/>
      <c r="GO19" s="218"/>
      <c r="GP19" s="218"/>
      <c r="GQ19" s="218"/>
      <c r="GR19" s="218"/>
      <c r="GS19" s="218"/>
      <c r="GT19" s="218"/>
      <c r="GU19" s="218"/>
      <c r="GV19" s="218"/>
      <c r="GW19" s="218"/>
      <c r="GX19" s="218"/>
      <c r="GY19" s="218"/>
      <c r="GZ19" s="218"/>
      <c r="HA19" s="218"/>
      <c r="HB19" s="218"/>
      <c r="HC19" s="218"/>
      <c r="HD19" s="218"/>
      <c r="HE19" s="218"/>
      <c r="HF19" s="218"/>
      <c r="HG19" s="218"/>
      <c r="HH19" s="218"/>
      <c r="HI19" s="218"/>
      <c r="HJ19" s="218"/>
      <c r="HK19" s="218"/>
      <c r="HL19" s="218"/>
      <c r="HM19" s="218"/>
      <c r="HN19" s="218"/>
      <c r="HO19" s="218"/>
      <c r="HP19" s="218"/>
      <c r="HQ19" s="218"/>
      <c r="HR19" s="218"/>
      <c r="HS19" s="218"/>
      <c r="HT19" s="218"/>
      <c r="HU19" s="218"/>
      <c r="HV19" s="218"/>
      <c r="HW19" s="218"/>
      <c r="HX19" s="218"/>
      <c r="HY19" s="218"/>
      <c r="HZ19" s="218"/>
      <c r="IA19" s="218"/>
      <c r="IB19" s="218"/>
      <c r="IC19" s="218"/>
      <c r="ID19" s="218"/>
      <c r="IE19" s="218"/>
      <c r="IF19" s="218"/>
      <c r="IG19" s="218"/>
      <c r="IH19" s="218"/>
      <c r="II19" s="218"/>
      <c r="IJ19" s="218"/>
      <c r="IK19" s="218"/>
      <c r="IL19" s="218"/>
      <c r="IM19" s="218"/>
      <c r="IN19" s="218"/>
      <c r="IO19" s="218"/>
      <c r="IP19" s="218"/>
      <c r="IQ19" s="218"/>
      <c r="IR19" s="218"/>
      <c r="IS19" s="218"/>
      <c r="IT19" s="218"/>
      <c r="IU19" s="218"/>
    </row>
    <row r="20" spans="1:255" ht="17.399999999999999" x14ac:dyDescent="0.25">
      <c r="A20" s="219"/>
      <c r="B20" s="220" t="s">
        <v>1346</v>
      </c>
      <c r="C20" s="220"/>
      <c r="D20" s="220"/>
      <c r="E20" s="220"/>
      <c r="F20" s="220"/>
      <c r="G20" s="221"/>
      <c r="H20" s="220" t="s">
        <v>1347</v>
      </c>
      <c r="I20" s="220"/>
      <c r="J20" s="220"/>
      <c r="K20" s="220"/>
      <c r="L20" s="220"/>
      <c r="M20" s="221"/>
      <c r="N20" s="244" t="s">
        <v>1203</v>
      </c>
      <c r="O20" s="244"/>
      <c r="P20" s="244"/>
      <c r="Q20" s="244"/>
      <c r="R20" s="244"/>
      <c r="S20" s="245"/>
      <c r="T20" s="218"/>
      <c r="U20" s="218"/>
      <c r="V20" s="218"/>
      <c r="W20" s="218"/>
      <c r="X20" s="218"/>
      <c r="Y20" s="218"/>
      <c r="Z20" s="218"/>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c r="BR20" s="218"/>
      <c r="BS20" s="218"/>
      <c r="BT20" s="218"/>
      <c r="BU20" s="218"/>
      <c r="BV20" s="218"/>
      <c r="BW20" s="218"/>
      <c r="BX20" s="218"/>
      <c r="BY20" s="218"/>
      <c r="BZ20" s="218"/>
      <c r="CA20" s="218"/>
      <c r="CB20" s="218"/>
      <c r="CC20" s="218"/>
      <c r="CD20" s="218"/>
      <c r="CE20" s="218"/>
      <c r="CF20" s="218"/>
      <c r="CG20" s="218"/>
      <c r="CH20" s="218"/>
      <c r="CI20" s="218"/>
      <c r="CJ20" s="218"/>
      <c r="CK20" s="218"/>
      <c r="CL20" s="218"/>
      <c r="CM20" s="218"/>
      <c r="CN20" s="218"/>
      <c r="CO20" s="218"/>
      <c r="CP20" s="218"/>
      <c r="CQ20" s="218"/>
      <c r="CR20" s="218"/>
      <c r="CS20" s="218"/>
      <c r="CT20" s="218"/>
      <c r="CU20" s="218"/>
      <c r="CV20" s="218"/>
      <c r="CW20" s="218"/>
      <c r="CX20" s="218"/>
      <c r="CY20" s="218"/>
      <c r="CZ20" s="218"/>
      <c r="DA20" s="218"/>
      <c r="DB20" s="218"/>
      <c r="DC20" s="218"/>
      <c r="DD20" s="218"/>
      <c r="DE20" s="218"/>
      <c r="DF20" s="218"/>
      <c r="DG20" s="218"/>
      <c r="DH20" s="218"/>
      <c r="DI20" s="218"/>
      <c r="DJ20" s="218"/>
      <c r="DK20" s="218"/>
      <c r="DL20" s="218"/>
      <c r="DM20" s="218"/>
      <c r="DN20" s="218"/>
      <c r="DO20" s="218"/>
      <c r="DP20" s="218"/>
      <c r="DQ20" s="218"/>
      <c r="DR20" s="218"/>
      <c r="DS20" s="218"/>
      <c r="DT20" s="218"/>
      <c r="DU20" s="218"/>
      <c r="DV20" s="218"/>
      <c r="DW20" s="218"/>
      <c r="DX20" s="218"/>
      <c r="DY20" s="218"/>
      <c r="DZ20" s="218"/>
      <c r="EA20" s="218"/>
      <c r="EB20" s="218"/>
      <c r="EC20" s="218"/>
      <c r="ED20" s="218"/>
      <c r="EE20" s="218"/>
      <c r="EF20" s="218"/>
      <c r="EG20" s="218"/>
      <c r="EH20" s="218"/>
      <c r="EI20" s="218"/>
      <c r="EJ20" s="218"/>
      <c r="EK20" s="218"/>
      <c r="EL20" s="218"/>
      <c r="EM20" s="218"/>
      <c r="EN20" s="218"/>
      <c r="EO20" s="218"/>
      <c r="EP20" s="218"/>
      <c r="EQ20" s="218"/>
      <c r="ER20" s="218"/>
      <c r="ES20" s="218"/>
      <c r="ET20" s="218"/>
      <c r="EU20" s="218"/>
      <c r="EV20" s="218"/>
      <c r="EW20" s="218"/>
      <c r="EX20" s="218"/>
      <c r="EY20" s="218"/>
      <c r="EZ20" s="218"/>
      <c r="FA20" s="218"/>
      <c r="FB20" s="218"/>
      <c r="FC20" s="218"/>
      <c r="FD20" s="218"/>
      <c r="FE20" s="218"/>
      <c r="FF20" s="218"/>
      <c r="FG20" s="218"/>
      <c r="FH20" s="218"/>
      <c r="FI20" s="218"/>
      <c r="FJ20" s="218"/>
      <c r="FK20" s="218"/>
      <c r="FL20" s="218"/>
      <c r="FM20" s="218"/>
      <c r="FN20" s="218"/>
      <c r="FO20" s="218"/>
      <c r="FP20" s="218"/>
      <c r="FQ20" s="218"/>
      <c r="FR20" s="218"/>
      <c r="FS20" s="218"/>
      <c r="FT20" s="218"/>
      <c r="FU20" s="218"/>
      <c r="FV20" s="218"/>
      <c r="FW20" s="218"/>
      <c r="FX20" s="218"/>
      <c r="FY20" s="218"/>
      <c r="FZ20" s="218"/>
      <c r="GA20" s="218"/>
      <c r="GB20" s="218"/>
      <c r="GC20" s="218"/>
      <c r="GD20" s="218"/>
      <c r="GE20" s="218"/>
      <c r="GF20" s="218"/>
      <c r="GG20" s="218"/>
      <c r="GH20" s="218"/>
      <c r="GI20" s="218"/>
      <c r="GJ20" s="218"/>
      <c r="GK20" s="218"/>
      <c r="GL20" s="218"/>
      <c r="GM20" s="218"/>
      <c r="GN20" s="218"/>
      <c r="GO20" s="218"/>
      <c r="GP20" s="218"/>
      <c r="GQ20" s="218"/>
      <c r="GR20" s="218"/>
      <c r="GS20" s="218"/>
      <c r="GT20" s="218"/>
      <c r="GU20" s="218"/>
      <c r="GV20" s="218"/>
      <c r="GW20" s="218"/>
      <c r="GX20" s="218"/>
      <c r="GY20" s="218"/>
      <c r="GZ20" s="218"/>
      <c r="HA20" s="218"/>
      <c r="HB20" s="218"/>
      <c r="HC20" s="218"/>
      <c r="HD20" s="218"/>
      <c r="HE20" s="218"/>
      <c r="HF20" s="218"/>
      <c r="HG20" s="218"/>
      <c r="HH20" s="218"/>
      <c r="HI20" s="218"/>
      <c r="HJ20" s="218"/>
      <c r="HK20" s="218"/>
      <c r="HL20" s="218"/>
      <c r="HM20" s="218"/>
      <c r="HN20" s="218"/>
      <c r="HO20" s="218"/>
      <c r="HP20" s="218"/>
      <c r="HQ20" s="218"/>
      <c r="HR20" s="218"/>
      <c r="HS20" s="218"/>
      <c r="HT20" s="218"/>
      <c r="HU20" s="218"/>
      <c r="HV20" s="218"/>
      <c r="HW20" s="218"/>
      <c r="HX20" s="218"/>
      <c r="HY20" s="218"/>
      <c r="HZ20" s="218"/>
      <c r="IA20" s="218"/>
      <c r="IB20" s="218"/>
      <c r="IC20" s="218"/>
      <c r="ID20" s="218"/>
      <c r="IE20" s="218"/>
      <c r="IF20" s="218"/>
      <c r="IG20" s="218"/>
      <c r="IH20" s="218"/>
      <c r="II20" s="218"/>
      <c r="IJ20" s="218"/>
      <c r="IK20" s="218"/>
      <c r="IL20" s="218"/>
      <c r="IM20" s="218"/>
      <c r="IN20" s="218"/>
      <c r="IO20" s="218"/>
      <c r="IP20" s="218"/>
      <c r="IQ20" s="218"/>
      <c r="IR20" s="218"/>
      <c r="IS20" s="218"/>
      <c r="IT20" s="218"/>
      <c r="IU20" s="218"/>
    </row>
    <row r="21" spans="1:255" ht="15.6" x14ac:dyDescent="0.25">
      <c r="A21" s="222" t="s">
        <v>825</v>
      </c>
      <c r="B21" s="223" t="s">
        <v>1075</v>
      </c>
      <c r="C21" s="224"/>
      <c r="D21" s="225" t="s">
        <v>1076</v>
      </c>
      <c r="E21" s="224"/>
      <c r="F21" s="225" t="s">
        <v>835</v>
      </c>
      <c r="G21" s="226"/>
      <c r="H21" s="227" t="s">
        <v>1075</v>
      </c>
      <c r="I21" s="228"/>
      <c r="J21" s="229" t="s">
        <v>1076</v>
      </c>
      <c r="K21" s="228"/>
      <c r="L21" s="229" t="s">
        <v>835</v>
      </c>
      <c r="M21" s="230"/>
      <c r="N21" s="227" t="s">
        <v>1075</v>
      </c>
      <c r="O21" s="228"/>
      <c r="P21" s="229" t="s">
        <v>1076</v>
      </c>
      <c r="Q21" s="228"/>
      <c r="R21" s="229" t="s">
        <v>835</v>
      </c>
      <c r="S21" s="230"/>
      <c r="T21" s="218"/>
      <c r="U21" s="218"/>
      <c r="V21" s="145"/>
      <c r="W21" s="145"/>
      <c r="X21" s="218"/>
      <c r="Y21" s="218"/>
      <c r="Z21" s="218"/>
      <c r="AA21" s="218"/>
      <c r="AB21" s="218"/>
      <c r="AC21" s="218"/>
      <c r="AD21" s="218"/>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c r="CJ21" s="218"/>
      <c r="CK21" s="218"/>
      <c r="CL21" s="218"/>
      <c r="CM21" s="218"/>
      <c r="CN21" s="218"/>
      <c r="CO21" s="218"/>
      <c r="CP21" s="218"/>
      <c r="CQ21" s="218"/>
      <c r="CR21" s="218"/>
      <c r="CS21" s="218"/>
      <c r="CT21" s="218"/>
      <c r="CU21" s="218"/>
      <c r="CV21" s="218"/>
      <c r="CW21" s="218"/>
      <c r="CX21" s="218"/>
      <c r="CY21" s="218"/>
      <c r="CZ21" s="218"/>
      <c r="DA21" s="218"/>
      <c r="DB21" s="218"/>
      <c r="DC21" s="218"/>
      <c r="DD21" s="218"/>
      <c r="DE21" s="218"/>
      <c r="DF21" s="218"/>
      <c r="DG21" s="218"/>
      <c r="DH21" s="218"/>
      <c r="DI21" s="218"/>
      <c r="DJ21" s="218"/>
      <c r="DK21" s="218"/>
      <c r="DL21" s="218"/>
      <c r="DM21" s="218"/>
      <c r="DN21" s="218"/>
      <c r="DO21" s="218"/>
      <c r="DP21" s="218"/>
      <c r="DQ21" s="218"/>
      <c r="DR21" s="218"/>
      <c r="DS21" s="218"/>
      <c r="DT21" s="218"/>
      <c r="DU21" s="218"/>
      <c r="DV21" s="218"/>
      <c r="DW21" s="218"/>
      <c r="DX21" s="218"/>
      <c r="DY21" s="218"/>
      <c r="DZ21" s="218"/>
      <c r="EA21" s="218"/>
      <c r="EB21" s="218"/>
      <c r="EC21" s="218"/>
      <c r="ED21" s="218"/>
      <c r="EE21" s="218"/>
      <c r="EF21" s="218"/>
      <c r="EG21" s="218"/>
      <c r="EH21" s="218"/>
      <c r="EI21" s="218"/>
      <c r="EJ21" s="218"/>
      <c r="EK21" s="218"/>
      <c r="EL21" s="218"/>
      <c r="EM21" s="218"/>
      <c r="EN21" s="218"/>
      <c r="EO21" s="218"/>
      <c r="EP21" s="218"/>
      <c r="EQ21" s="218"/>
      <c r="ER21" s="218"/>
      <c r="ES21" s="218"/>
      <c r="ET21" s="218"/>
      <c r="EU21" s="218"/>
      <c r="EV21" s="218"/>
      <c r="EW21" s="218"/>
      <c r="EX21" s="218"/>
      <c r="EY21" s="218"/>
      <c r="EZ21" s="218"/>
      <c r="FA21" s="218"/>
      <c r="FB21" s="218"/>
      <c r="FC21" s="218"/>
      <c r="FD21" s="218"/>
      <c r="FE21" s="218"/>
      <c r="FF21" s="218"/>
      <c r="FG21" s="218"/>
      <c r="FH21" s="218"/>
      <c r="FI21" s="218"/>
      <c r="FJ21" s="218"/>
      <c r="FK21" s="218"/>
      <c r="FL21" s="218"/>
      <c r="FM21" s="218"/>
      <c r="FN21" s="218"/>
      <c r="FO21" s="218"/>
      <c r="FP21" s="218"/>
      <c r="FQ21" s="218"/>
      <c r="FR21" s="218"/>
      <c r="FS21" s="218"/>
      <c r="FT21" s="218"/>
      <c r="FU21" s="218"/>
      <c r="FV21" s="218"/>
      <c r="FW21" s="218"/>
      <c r="FX21" s="218"/>
      <c r="FY21" s="218"/>
      <c r="FZ21" s="218"/>
      <c r="GA21" s="218"/>
      <c r="GB21" s="218"/>
      <c r="GC21" s="218"/>
      <c r="GD21" s="218"/>
      <c r="GE21" s="218"/>
      <c r="GF21" s="218"/>
      <c r="GG21" s="218"/>
      <c r="GH21" s="218"/>
      <c r="GI21" s="218"/>
      <c r="GJ21" s="218"/>
      <c r="GK21" s="218"/>
      <c r="GL21" s="218"/>
      <c r="GM21" s="218"/>
      <c r="GN21" s="218"/>
      <c r="GO21" s="218"/>
      <c r="GP21" s="218"/>
      <c r="GQ21" s="218"/>
      <c r="GR21" s="218"/>
      <c r="GS21" s="218"/>
      <c r="GT21" s="218"/>
      <c r="GU21" s="218"/>
      <c r="GV21" s="218"/>
      <c r="GW21" s="218"/>
      <c r="GX21" s="218"/>
      <c r="GY21" s="218"/>
      <c r="GZ21" s="218"/>
      <c r="HA21" s="218"/>
      <c r="HB21" s="218"/>
      <c r="HC21" s="218"/>
      <c r="HD21" s="218"/>
      <c r="HE21" s="218"/>
      <c r="HF21" s="218"/>
      <c r="HG21" s="218"/>
      <c r="HH21" s="218"/>
      <c r="HI21" s="218"/>
      <c r="HJ21" s="218"/>
      <c r="HK21" s="218"/>
      <c r="HL21" s="218"/>
      <c r="HM21" s="218"/>
      <c r="HN21" s="218"/>
      <c r="HO21" s="218"/>
      <c r="HP21" s="218"/>
      <c r="HQ21" s="218"/>
      <c r="HR21" s="218"/>
      <c r="HS21" s="218"/>
      <c r="HT21" s="218"/>
      <c r="HU21" s="218"/>
      <c r="HV21" s="218"/>
      <c r="HW21" s="218"/>
      <c r="HX21" s="218"/>
      <c r="HY21" s="218"/>
      <c r="HZ21" s="218"/>
      <c r="IA21" s="218"/>
      <c r="IB21" s="218"/>
      <c r="IC21" s="218"/>
      <c r="ID21" s="218"/>
      <c r="IE21" s="218"/>
      <c r="IF21" s="218"/>
      <c r="IG21" s="218"/>
      <c r="IH21" s="218"/>
      <c r="II21" s="218"/>
      <c r="IJ21" s="218"/>
      <c r="IK21" s="218"/>
      <c r="IL21" s="218"/>
      <c r="IM21" s="218"/>
      <c r="IN21" s="218"/>
      <c r="IO21" s="218"/>
      <c r="IP21" s="218"/>
      <c r="IQ21" s="218"/>
      <c r="IR21" s="218"/>
      <c r="IS21" s="218"/>
      <c r="IT21" s="218"/>
      <c r="IU21" s="218"/>
    </row>
    <row r="22" spans="1:255" x14ac:dyDescent="0.25">
      <c r="A22" s="231"/>
      <c r="B22" s="232" t="s">
        <v>1348</v>
      </c>
      <c r="C22" s="233" t="s">
        <v>1211</v>
      </c>
      <c r="D22" s="232" t="s">
        <v>1348</v>
      </c>
      <c r="E22" s="233" t="s">
        <v>1211</v>
      </c>
      <c r="F22" s="232" t="s">
        <v>1348</v>
      </c>
      <c r="G22" s="234" t="s">
        <v>1211</v>
      </c>
      <c r="H22" s="235" t="s">
        <v>1348</v>
      </c>
      <c r="I22" s="236" t="s">
        <v>1211</v>
      </c>
      <c r="J22" s="235" t="s">
        <v>1348</v>
      </c>
      <c r="K22" s="236" t="s">
        <v>1211</v>
      </c>
      <c r="L22" s="235" t="s">
        <v>1348</v>
      </c>
      <c r="M22" s="237" t="s">
        <v>1211</v>
      </c>
      <c r="N22" s="235" t="s">
        <v>1348</v>
      </c>
      <c r="O22" s="236" t="s">
        <v>1211</v>
      </c>
      <c r="P22" s="235" t="s">
        <v>1348</v>
      </c>
      <c r="Q22" s="236" t="s">
        <v>1211</v>
      </c>
      <c r="R22" s="235" t="s">
        <v>1348</v>
      </c>
      <c r="S22" s="246" t="s">
        <v>1211</v>
      </c>
      <c r="T22" s="218"/>
      <c r="U22" s="218"/>
      <c r="V22" s="145"/>
      <c r="W22" s="145"/>
      <c r="X22" s="218"/>
      <c r="Y22" s="218"/>
      <c r="Z22" s="218"/>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c r="BR22" s="218"/>
      <c r="BS22" s="218"/>
      <c r="BT22" s="218"/>
      <c r="BU22" s="218"/>
      <c r="BV22" s="218"/>
      <c r="BW22" s="218"/>
      <c r="BX22" s="218"/>
      <c r="BY22" s="218"/>
      <c r="BZ22" s="218"/>
      <c r="CA22" s="218"/>
      <c r="CB22" s="218"/>
      <c r="CC22" s="218"/>
      <c r="CD22" s="218"/>
      <c r="CE22" s="218"/>
      <c r="CF22" s="218"/>
      <c r="CG22" s="218"/>
      <c r="CH22" s="218"/>
      <c r="CI22" s="218"/>
      <c r="CJ22" s="218"/>
      <c r="CK22" s="218"/>
      <c r="CL22" s="218"/>
      <c r="CM22" s="218"/>
      <c r="CN22" s="218"/>
      <c r="CO22" s="218"/>
      <c r="CP22" s="218"/>
      <c r="CQ22" s="218"/>
      <c r="CR22" s="218"/>
      <c r="CS22" s="218"/>
      <c r="CT22" s="218"/>
      <c r="CU22" s="218"/>
      <c r="CV22" s="218"/>
      <c r="CW22" s="218"/>
      <c r="CX22" s="218"/>
      <c r="CY22" s="218"/>
      <c r="CZ22" s="218"/>
      <c r="DA22" s="218"/>
      <c r="DB22" s="218"/>
      <c r="DC22" s="218"/>
      <c r="DD22" s="218"/>
      <c r="DE22" s="218"/>
      <c r="DF22" s="218"/>
      <c r="DG22" s="218"/>
      <c r="DH22" s="218"/>
      <c r="DI22" s="218"/>
      <c r="DJ22" s="218"/>
      <c r="DK22" s="218"/>
      <c r="DL22" s="218"/>
      <c r="DM22" s="218"/>
      <c r="DN22" s="218"/>
      <c r="DO22" s="218"/>
      <c r="DP22" s="218"/>
      <c r="DQ22" s="218"/>
      <c r="DR22" s="218"/>
      <c r="DS22" s="218"/>
      <c r="DT22" s="218"/>
      <c r="DU22" s="218"/>
      <c r="DV22" s="218"/>
      <c r="DW22" s="218"/>
      <c r="DX22" s="218"/>
      <c r="DY22" s="218"/>
      <c r="DZ22" s="218"/>
      <c r="EA22" s="218"/>
      <c r="EB22" s="218"/>
      <c r="EC22" s="218"/>
      <c r="ED22" s="218"/>
      <c r="EE22" s="218"/>
      <c r="EF22" s="218"/>
      <c r="EG22" s="218"/>
      <c r="EH22" s="218"/>
      <c r="EI22" s="218"/>
      <c r="EJ22" s="218"/>
      <c r="EK22" s="218"/>
      <c r="EL22" s="218"/>
      <c r="EM22" s="218"/>
      <c r="EN22" s="218"/>
      <c r="EO22" s="218"/>
      <c r="EP22" s="218"/>
      <c r="EQ22" s="218"/>
      <c r="ER22" s="218"/>
      <c r="ES22" s="218"/>
      <c r="ET22" s="218"/>
      <c r="EU22" s="218"/>
      <c r="EV22" s="218"/>
      <c r="EW22" s="218"/>
      <c r="EX22" s="218"/>
      <c r="EY22" s="218"/>
      <c r="EZ22" s="218"/>
      <c r="FA22" s="218"/>
      <c r="FB22" s="218"/>
      <c r="FC22" s="218"/>
      <c r="FD22" s="218"/>
      <c r="FE22" s="218"/>
      <c r="FF22" s="218"/>
      <c r="FG22" s="218"/>
      <c r="FH22" s="218"/>
      <c r="FI22" s="218"/>
      <c r="FJ22" s="218"/>
      <c r="FK22" s="218"/>
      <c r="FL22" s="218"/>
      <c r="FM22" s="218"/>
      <c r="FN22" s="218"/>
      <c r="FO22" s="218"/>
      <c r="FP22" s="218"/>
      <c r="FQ22" s="218"/>
      <c r="FR22" s="218"/>
      <c r="FS22" s="218"/>
      <c r="FT22" s="218"/>
      <c r="FU22" s="218"/>
      <c r="FV22" s="218"/>
      <c r="FW22" s="218"/>
      <c r="FX22" s="218"/>
      <c r="FY22" s="218"/>
      <c r="FZ22" s="218"/>
      <c r="GA22" s="218"/>
      <c r="GB22" s="218"/>
      <c r="GC22" s="218"/>
      <c r="GD22" s="218"/>
      <c r="GE22" s="218"/>
      <c r="GF22" s="218"/>
      <c r="GG22" s="218"/>
      <c r="GH22" s="218"/>
      <c r="GI22" s="218"/>
      <c r="GJ22" s="218"/>
      <c r="GK22" s="218"/>
      <c r="GL22" s="218"/>
      <c r="GM22" s="218"/>
      <c r="GN22" s="218"/>
      <c r="GO22" s="218"/>
      <c r="GP22" s="218"/>
      <c r="GQ22" s="218"/>
      <c r="GR22" s="218"/>
      <c r="GS22" s="218"/>
      <c r="GT22" s="218"/>
      <c r="GU22" s="218"/>
      <c r="GV22" s="218"/>
      <c r="GW22" s="218"/>
      <c r="GX22" s="218"/>
      <c r="GY22" s="218"/>
      <c r="GZ22" s="218"/>
      <c r="HA22" s="218"/>
      <c r="HB22" s="218"/>
      <c r="HC22" s="218"/>
      <c r="HD22" s="218"/>
      <c r="HE22" s="218"/>
      <c r="HF22" s="218"/>
      <c r="HG22" s="218"/>
      <c r="HH22" s="218"/>
      <c r="HI22" s="218"/>
      <c r="HJ22" s="218"/>
      <c r="HK22" s="218"/>
      <c r="HL22" s="218"/>
      <c r="HM22" s="218"/>
      <c r="HN22" s="218"/>
      <c r="HO22" s="218"/>
      <c r="HP22" s="218"/>
      <c r="HQ22" s="218"/>
      <c r="HR22" s="218"/>
      <c r="HS22" s="218"/>
      <c r="HT22" s="218"/>
      <c r="HU22" s="218"/>
      <c r="HV22" s="218"/>
      <c r="HW22" s="218"/>
      <c r="HX22" s="218"/>
      <c r="HY22" s="218"/>
      <c r="HZ22" s="218"/>
      <c r="IA22" s="218"/>
      <c r="IB22" s="218"/>
      <c r="IC22" s="218"/>
      <c r="ID22" s="218"/>
      <c r="IE22" s="218"/>
      <c r="IF22" s="218"/>
      <c r="IG22" s="218"/>
      <c r="IH22" s="218"/>
      <c r="II22" s="218"/>
      <c r="IJ22" s="218"/>
      <c r="IK22" s="218"/>
      <c r="IL22" s="218"/>
      <c r="IM22" s="218"/>
      <c r="IN22" s="218"/>
      <c r="IO22" s="218"/>
      <c r="IP22" s="218"/>
      <c r="IQ22" s="218"/>
      <c r="IR22" s="218"/>
      <c r="IS22" s="218"/>
      <c r="IT22" s="218"/>
      <c r="IU22" s="218"/>
    </row>
    <row r="23" spans="1:255" hidden="1" x14ac:dyDescent="0.25">
      <c r="A23" s="374"/>
      <c r="B23" s="375"/>
      <c r="C23" s="367"/>
      <c r="D23" s="375"/>
      <c r="E23" s="367"/>
      <c r="F23" s="375"/>
      <c r="G23" s="376"/>
      <c r="H23" s="375"/>
      <c r="I23" s="367"/>
      <c r="J23" s="375"/>
      <c r="K23" s="367"/>
      <c r="L23" s="375"/>
      <c r="M23" s="376"/>
      <c r="N23" s="375"/>
      <c r="O23" s="367"/>
      <c r="P23" s="375"/>
      <c r="Q23" s="367"/>
      <c r="R23" s="375"/>
      <c r="S23" s="377"/>
      <c r="T23" s="218"/>
      <c r="U23" s="218"/>
      <c r="V23" s="145"/>
      <c r="W23" s="145"/>
      <c r="X23" s="218"/>
      <c r="Y23" s="218"/>
      <c r="Z23" s="218"/>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c r="BR23" s="218"/>
      <c r="BS23" s="218"/>
      <c r="BT23" s="218"/>
      <c r="BU23" s="218"/>
      <c r="BV23" s="218"/>
      <c r="BW23" s="218"/>
      <c r="BX23" s="218"/>
      <c r="BY23" s="218"/>
      <c r="BZ23" s="218"/>
      <c r="CA23" s="218"/>
      <c r="CB23" s="218"/>
      <c r="CC23" s="218"/>
      <c r="CD23" s="218"/>
      <c r="CE23" s="218"/>
      <c r="CF23" s="218"/>
      <c r="CG23" s="218"/>
      <c r="CH23" s="218"/>
      <c r="CI23" s="218"/>
      <c r="CJ23" s="218"/>
      <c r="CK23" s="218"/>
      <c r="CL23" s="218"/>
      <c r="CM23" s="218"/>
      <c r="CN23" s="218"/>
      <c r="CO23" s="218"/>
      <c r="CP23" s="218"/>
      <c r="CQ23" s="218"/>
      <c r="CR23" s="218"/>
      <c r="CS23" s="218"/>
      <c r="CT23" s="218"/>
      <c r="CU23" s="218"/>
      <c r="CV23" s="218"/>
      <c r="CW23" s="218"/>
      <c r="CX23" s="218"/>
      <c r="CY23" s="218"/>
      <c r="CZ23" s="218"/>
      <c r="DA23" s="218"/>
      <c r="DB23" s="218"/>
      <c r="DC23" s="218"/>
      <c r="DD23" s="218"/>
      <c r="DE23" s="218"/>
      <c r="DF23" s="218"/>
      <c r="DG23" s="218"/>
      <c r="DH23" s="218"/>
      <c r="DI23" s="218"/>
      <c r="DJ23" s="218"/>
      <c r="DK23" s="218"/>
      <c r="DL23" s="218"/>
      <c r="DM23" s="218"/>
      <c r="DN23" s="218"/>
      <c r="DO23" s="218"/>
      <c r="DP23" s="218"/>
      <c r="DQ23" s="218"/>
      <c r="DR23" s="218"/>
      <c r="DS23" s="218"/>
      <c r="DT23" s="218"/>
      <c r="DU23" s="218"/>
      <c r="DV23" s="218"/>
      <c r="DW23" s="218"/>
      <c r="DX23" s="218"/>
      <c r="DY23" s="218"/>
      <c r="DZ23" s="218"/>
      <c r="EA23" s="218"/>
      <c r="EB23" s="218"/>
      <c r="EC23" s="218"/>
      <c r="ED23" s="218"/>
      <c r="EE23" s="218"/>
      <c r="EF23" s="218"/>
      <c r="EG23" s="218"/>
      <c r="EH23" s="218"/>
      <c r="EI23" s="218"/>
      <c r="EJ23" s="218"/>
      <c r="EK23" s="218"/>
      <c r="EL23" s="218"/>
      <c r="EM23" s="218"/>
      <c r="EN23" s="218"/>
      <c r="EO23" s="218"/>
      <c r="EP23" s="218"/>
      <c r="EQ23" s="218"/>
      <c r="ER23" s="218"/>
      <c r="ES23" s="218"/>
      <c r="ET23" s="218"/>
      <c r="EU23" s="218"/>
      <c r="EV23" s="218"/>
      <c r="EW23" s="218"/>
      <c r="EX23" s="218"/>
      <c r="EY23" s="218"/>
      <c r="EZ23" s="218"/>
      <c r="FA23" s="218"/>
      <c r="FB23" s="218"/>
      <c r="FC23" s="218"/>
      <c r="FD23" s="218"/>
      <c r="FE23" s="218"/>
      <c r="FF23" s="218"/>
      <c r="FG23" s="218"/>
      <c r="FH23" s="218"/>
      <c r="FI23" s="218"/>
      <c r="FJ23" s="218"/>
      <c r="FK23" s="218"/>
      <c r="FL23" s="218"/>
      <c r="FM23" s="218"/>
      <c r="FN23" s="218"/>
      <c r="FO23" s="218"/>
      <c r="FP23" s="218"/>
      <c r="FQ23" s="218"/>
      <c r="FR23" s="218"/>
      <c r="FS23" s="218"/>
      <c r="FT23" s="218"/>
      <c r="FU23" s="218"/>
      <c r="FV23" s="218"/>
      <c r="FW23" s="218"/>
      <c r="FX23" s="218"/>
      <c r="FY23" s="218"/>
      <c r="FZ23" s="218"/>
      <c r="GA23" s="218"/>
      <c r="GB23" s="218"/>
      <c r="GC23" s="218"/>
      <c r="GD23" s="218"/>
      <c r="GE23" s="218"/>
      <c r="GF23" s="218"/>
      <c r="GG23" s="218"/>
      <c r="GH23" s="218"/>
      <c r="GI23" s="218"/>
      <c r="GJ23" s="218"/>
      <c r="GK23" s="218"/>
      <c r="GL23" s="218"/>
      <c r="GM23" s="218"/>
      <c r="GN23" s="218"/>
      <c r="GO23" s="218"/>
      <c r="GP23" s="218"/>
      <c r="GQ23" s="218"/>
      <c r="GR23" s="218"/>
      <c r="GS23" s="218"/>
      <c r="GT23" s="218"/>
      <c r="GU23" s="218"/>
      <c r="GV23" s="218"/>
      <c r="GW23" s="218"/>
      <c r="GX23" s="218"/>
      <c r="GY23" s="218"/>
      <c r="GZ23" s="218"/>
      <c r="HA23" s="218"/>
      <c r="HB23" s="218"/>
      <c r="HC23" s="218"/>
      <c r="HD23" s="218"/>
      <c r="HE23" s="218"/>
      <c r="HF23" s="218"/>
      <c r="HG23" s="218"/>
      <c r="HH23" s="218"/>
      <c r="HI23" s="218"/>
      <c r="HJ23" s="218"/>
      <c r="HK23" s="218"/>
      <c r="HL23" s="218"/>
      <c r="HM23" s="218"/>
      <c r="HN23" s="218"/>
      <c r="HO23" s="218"/>
      <c r="HP23" s="218"/>
      <c r="HQ23" s="218"/>
      <c r="HR23" s="218"/>
      <c r="HS23" s="218"/>
      <c r="HT23" s="218"/>
      <c r="HU23" s="218"/>
      <c r="HV23" s="218"/>
      <c r="HW23" s="218"/>
      <c r="HX23" s="218"/>
      <c r="HY23" s="218"/>
      <c r="HZ23" s="218"/>
      <c r="IA23" s="218"/>
      <c r="IB23" s="218"/>
      <c r="IC23" s="218"/>
      <c r="ID23" s="218"/>
      <c r="IE23" s="218"/>
      <c r="IF23" s="218"/>
      <c r="IG23" s="218"/>
      <c r="IH23" s="218"/>
      <c r="II23" s="218"/>
      <c r="IJ23" s="218"/>
      <c r="IK23" s="218"/>
      <c r="IL23" s="218"/>
      <c r="IM23" s="218"/>
      <c r="IN23" s="218"/>
      <c r="IO23" s="218"/>
      <c r="IP23" s="218"/>
      <c r="IQ23" s="218"/>
      <c r="IR23" s="218"/>
      <c r="IS23" s="218"/>
      <c r="IT23" s="218"/>
      <c r="IU23" s="218"/>
    </row>
    <row r="24" spans="1:255" hidden="1" x14ac:dyDescent="0.25">
      <c r="A24" s="238">
        <v>2008</v>
      </c>
      <c r="B24" s="239">
        <v>2099</v>
      </c>
      <c r="C24" s="240">
        <f>B24/R24</f>
        <v>0.91102430555555558</v>
      </c>
      <c r="D24" s="239">
        <v>74</v>
      </c>
      <c r="E24" s="240">
        <f>D24/R24</f>
        <v>3.2118055555555552E-2</v>
      </c>
      <c r="F24" s="239">
        <f>B24+D24</f>
        <v>2173</v>
      </c>
      <c r="G24" s="241">
        <f>F24/R24</f>
        <v>0.94314236111111116</v>
      </c>
      <c r="H24" s="239">
        <v>130</v>
      </c>
      <c r="I24" s="240">
        <f>+H24/R24</f>
        <v>5.6423611111111112E-2</v>
      </c>
      <c r="J24" s="239">
        <v>1</v>
      </c>
      <c r="K24" s="240">
        <f>J24/R24</f>
        <v>4.3402777777777775E-4</v>
      </c>
      <c r="L24" s="239">
        <f>H24+J24</f>
        <v>131</v>
      </c>
      <c r="M24" s="241">
        <f>L24/R24</f>
        <v>5.6857638888888888E-2</v>
      </c>
      <c r="N24" s="239">
        <f>B24+H24</f>
        <v>2229</v>
      </c>
      <c r="O24" s="240">
        <f>N24/R24</f>
        <v>0.96744791666666663</v>
      </c>
      <c r="P24" s="239">
        <f>D24+J24</f>
        <v>75</v>
      </c>
      <c r="Q24" s="240">
        <f>P24/R24</f>
        <v>3.2552083333333336E-2</v>
      </c>
      <c r="R24" s="239">
        <f>N24+P24</f>
        <v>2304</v>
      </c>
      <c r="S24" s="242">
        <f>SUM(G24,M24)</f>
        <v>1</v>
      </c>
      <c r="T24" s="218"/>
      <c r="U24" s="218"/>
      <c r="V24" s="145"/>
      <c r="W24" s="145"/>
      <c r="X24" s="218"/>
      <c r="Y24" s="218"/>
      <c r="Z24" s="218"/>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c r="BR24" s="218"/>
      <c r="BS24" s="218"/>
      <c r="BT24" s="218"/>
      <c r="BU24" s="218"/>
      <c r="BV24" s="218"/>
      <c r="BW24" s="218"/>
      <c r="BX24" s="218"/>
      <c r="BY24" s="218"/>
      <c r="BZ24" s="218"/>
      <c r="CA24" s="218"/>
      <c r="CB24" s="218"/>
      <c r="CC24" s="218"/>
      <c r="CD24" s="218"/>
      <c r="CE24" s="218"/>
      <c r="CF24" s="218"/>
      <c r="CG24" s="218"/>
      <c r="CH24" s="218"/>
      <c r="CI24" s="218"/>
      <c r="CJ24" s="218"/>
      <c r="CK24" s="218"/>
      <c r="CL24" s="218"/>
      <c r="CM24" s="218"/>
      <c r="CN24" s="218"/>
      <c r="CO24" s="218"/>
      <c r="CP24" s="218"/>
      <c r="CQ24" s="218"/>
      <c r="CR24" s="218"/>
      <c r="CS24" s="218"/>
      <c r="CT24" s="218"/>
      <c r="CU24" s="218"/>
      <c r="CV24" s="218"/>
      <c r="CW24" s="218"/>
      <c r="CX24" s="218"/>
      <c r="CY24" s="218"/>
      <c r="CZ24" s="218"/>
      <c r="DA24" s="218"/>
      <c r="DB24" s="218"/>
      <c r="DC24" s="218"/>
      <c r="DD24" s="218"/>
      <c r="DE24" s="218"/>
      <c r="DF24" s="218"/>
      <c r="DG24" s="218"/>
      <c r="DH24" s="218"/>
      <c r="DI24" s="218"/>
      <c r="DJ24" s="218"/>
      <c r="DK24" s="218"/>
      <c r="DL24" s="218"/>
      <c r="DM24" s="218"/>
      <c r="DN24" s="218"/>
      <c r="DO24" s="218"/>
      <c r="DP24" s="218"/>
      <c r="DQ24" s="218"/>
      <c r="DR24" s="218"/>
      <c r="DS24" s="218"/>
      <c r="DT24" s="218"/>
      <c r="DU24" s="218"/>
      <c r="DV24" s="218"/>
      <c r="DW24" s="218"/>
      <c r="DX24" s="218"/>
      <c r="DY24" s="218"/>
      <c r="DZ24" s="218"/>
      <c r="EA24" s="218"/>
      <c r="EB24" s="218"/>
      <c r="EC24" s="218"/>
      <c r="ED24" s="218"/>
      <c r="EE24" s="218"/>
      <c r="EF24" s="218"/>
      <c r="EG24" s="218"/>
      <c r="EH24" s="218"/>
      <c r="EI24" s="218"/>
      <c r="EJ24" s="218"/>
      <c r="EK24" s="218"/>
      <c r="EL24" s="218"/>
      <c r="EM24" s="218"/>
      <c r="EN24" s="218"/>
      <c r="EO24" s="218"/>
      <c r="EP24" s="218"/>
      <c r="EQ24" s="218"/>
      <c r="ER24" s="218"/>
      <c r="ES24" s="218"/>
      <c r="ET24" s="218"/>
      <c r="EU24" s="218"/>
      <c r="EV24" s="218"/>
      <c r="EW24" s="218"/>
      <c r="EX24" s="218"/>
      <c r="EY24" s="218"/>
      <c r="EZ24" s="218"/>
      <c r="FA24" s="218"/>
      <c r="FB24" s="218"/>
      <c r="FC24" s="218"/>
      <c r="FD24" s="218"/>
      <c r="FE24" s="218"/>
      <c r="FF24" s="218"/>
      <c r="FG24" s="218"/>
      <c r="FH24" s="218"/>
      <c r="FI24" s="218"/>
      <c r="FJ24" s="218"/>
      <c r="FK24" s="218"/>
      <c r="FL24" s="218"/>
      <c r="FM24" s="218"/>
      <c r="FN24" s="218"/>
      <c r="FO24" s="218"/>
      <c r="FP24" s="218"/>
      <c r="FQ24" s="218"/>
      <c r="FR24" s="218"/>
      <c r="FS24" s="218"/>
      <c r="FT24" s="218"/>
      <c r="FU24" s="218"/>
      <c r="FV24" s="218"/>
      <c r="FW24" s="218"/>
      <c r="FX24" s="218"/>
      <c r="FY24" s="218"/>
      <c r="FZ24" s="218"/>
      <c r="GA24" s="218"/>
      <c r="GB24" s="218"/>
      <c r="GC24" s="218"/>
      <c r="GD24" s="218"/>
      <c r="GE24" s="218"/>
      <c r="GF24" s="218"/>
      <c r="GG24" s="218"/>
      <c r="GH24" s="218"/>
      <c r="GI24" s="218"/>
      <c r="GJ24" s="218"/>
      <c r="GK24" s="218"/>
      <c r="GL24" s="218"/>
      <c r="GM24" s="218"/>
      <c r="GN24" s="218"/>
      <c r="GO24" s="218"/>
      <c r="GP24" s="218"/>
      <c r="GQ24" s="218"/>
      <c r="GR24" s="218"/>
      <c r="GS24" s="218"/>
      <c r="GT24" s="218"/>
      <c r="GU24" s="218"/>
      <c r="GV24" s="218"/>
      <c r="GW24" s="218"/>
      <c r="GX24" s="218"/>
      <c r="GY24" s="218"/>
      <c r="GZ24" s="218"/>
      <c r="HA24" s="218"/>
      <c r="HB24" s="218"/>
      <c r="HC24" s="218"/>
      <c r="HD24" s="218"/>
      <c r="HE24" s="218"/>
      <c r="HF24" s="218"/>
      <c r="HG24" s="218"/>
      <c r="HH24" s="218"/>
      <c r="HI24" s="218"/>
      <c r="HJ24" s="218"/>
      <c r="HK24" s="218"/>
      <c r="HL24" s="218"/>
      <c r="HM24" s="218"/>
      <c r="HN24" s="218"/>
      <c r="HO24" s="218"/>
      <c r="HP24" s="218"/>
      <c r="HQ24" s="218"/>
      <c r="HR24" s="218"/>
      <c r="HS24" s="218"/>
      <c r="HT24" s="218"/>
      <c r="HU24" s="218"/>
      <c r="HV24" s="218"/>
      <c r="HW24" s="218"/>
      <c r="HX24" s="218"/>
      <c r="HY24" s="218"/>
      <c r="HZ24" s="218"/>
      <c r="IA24" s="218"/>
      <c r="IB24" s="218"/>
      <c r="IC24" s="218"/>
      <c r="ID24" s="218"/>
      <c r="IE24" s="218"/>
      <c r="IF24" s="218"/>
      <c r="IG24" s="218"/>
      <c r="IH24" s="218"/>
      <c r="II24" s="218"/>
      <c r="IJ24" s="218"/>
      <c r="IK24" s="218"/>
      <c r="IL24" s="218"/>
      <c r="IM24" s="218"/>
      <c r="IN24" s="218"/>
      <c r="IO24" s="218"/>
      <c r="IP24" s="218"/>
      <c r="IQ24" s="218"/>
      <c r="IR24" s="218"/>
      <c r="IS24" s="218"/>
      <c r="IT24" s="218"/>
      <c r="IU24" s="218"/>
    </row>
    <row r="25" spans="1:255" x14ac:dyDescent="0.25">
      <c r="A25" s="374"/>
      <c r="B25" s="375"/>
      <c r="C25" s="367"/>
      <c r="D25" s="375"/>
      <c r="E25" s="367"/>
      <c r="F25" s="375"/>
      <c r="G25" s="376"/>
      <c r="H25" s="375"/>
      <c r="I25" s="367"/>
      <c r="J25" s="375"/>
      <c r="K25" s="367"/>
      <c r="L25" s="375"/>
      <c r="M25" s="376"/>
      <c r="N25" s="375"/>
      <c r="O25" s="367"/>
      <c r="P25" s="375"/>
      <c r="Q25" s="367"/>
      <c r="R25" s="375"/>
      <c r="S25" s="377"/>
      <c r="T25" s="218"/>
      <c r="U25" s="218"/>
      <c r="V25" s="218"/>
      <c r="W25" s="218"/>
      <c r="X25" s="218"/>
      <c r="Y25" s="218"/>
      <c r="Z25" s="21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c r="BJ25" s="218"/>
      <c r="BK25" s="218"/>
      <c r="BL25" s="218"/>
      <c r="BM25" s="218"/>
      <c r="BN25" s="218"/>
      <c r="BO25" s="218"/>
      <c r="BP25" s="218"/>
      <c r="BQ25" s="218"/>
      <c r="BR25" s="218"/>
      <c r="BS25" s="218"/>
      <c r="BT25" s="218"/>
      <c r="BU25" s="218"/>
      <c r="BV25" s="218"/>
      <c r="BW25" s="218"/>
      <c r="BX25" s="218"/>
      <c r="BY25" s="218"/>
      <c r="BZ25" s="218"/>
      <c r="CA25" s="218"/>
      <c r="CB25" s="218"/>
      <c r="CC25" s="218"/>
      <c r="CD25" s="218"/>
      <c r="CE25" s="218"/>
      <c r="CF25" s="218"/>
      <c r="CG25" s="218"/>
      <c r="CH25" s="218"/>
      <c r="CI25" s="218"/>
      <c r="CJ25" s="218"/>
      <c r="CK25" s="218"/>
      <c r="CL25" s="218"/>
      <c r="CM25" s="218"/>
      <c r="CN25" s="218"/>
      <c r="CO25" s="218"/>
      <c r="CP25" s="218"/>
      <c r="CQ25" s="218"/>
      <c r="CR25" s="218"/>
      <c r="CS25" s="218"/>
      <c r="CT25" s="218"/>
      <c r="CU25" s="218"/>
      <c r="CV25" s="218"/>
      <c r="CW25" s="218"/>
      <c r="CX25" s="218"/>
      <c r="CY25" s="218"/>
      <c r="CZ25" s="218"/>
      <c r="DA25" s="218"/>
      <c r="DB25" s="218"/>
      <c r="DC25" s="218"/>
      <c r="DD25" s="218"/>
      <c r="DE25" s="218"/>
      <c r="DF25" s="218"/>
      <c r="DG25" s="218"/>
      <c r="DH25" s="218"/>
      <c r="DI25" s="218"/>
      <c r="DJ25" s="218"/>
      <c r="DK25" s="218"/>
      <c r="DL25" s="218"/>
      <c r="DM25" s="218"/>
      <c r="DN25" s="218"/>
      <c r="DO25" s="218"/>
      <c r="DP25" s="218"/>
      <c r="DQ25" s="218"/>
      <c r="DR25" s="218"/>
      <c r="DS25" s="218"/>
      <c r="DT25" s="218"/>
      <c r="DU25" s="218"/>
      <c r="DV25" s="218"/>
      <c r="DW25" s="218"/>
      <c r="DX25" s="218"/>
      <c r="DY25" s="218"/>
      <c r="DZ25" s="218"/>
      <c r="EA25" s="218"/>
      <c r="EB25" s="218"/>
      <c r="EC25" s="218"/>
      <c r="ED25" s="218"/>
      <c r="EE25" s="218"/>
      <c r="EF25" s="218"/>
      <c r="EG25" s="218"/>
      <c r="EH25" s="218"/>
      <c r="EI25" s="218"/>
      <c r="EJ25" s="218"/>
      <c r="EK25" s="218"/>
      <c r="EL25" s="218"/>
      <c r="EM25" s="218"/>
      <c r="EN25" s="218"/>
      <c r="EO25" s="218"/>
      <c r="EP25" s="218"/>
      <c r="EQ25" s="218"/>
      <c r="ER25" s="218"/>
      <c r="ES25" s="218"/>
      <c r="ET25" s="218"/>
      <c r="EU25" s="218"/>
      <c r="EV25" s="218"/>
      <c r="EW25" s="218"/>
      <c r="EX25" s="218"/>
      <c r="EY25" s="218"/>
      <c r="EZ25" s="218"/>
      <c r="FA25" s="218"/>
      <c r="FB25" s="218"/>
      <c r="FC25" s="218"/>
      <c r="FD25" s="218"/>
      <c r="FE25" s="218"/>
      <c r="FF25" s="218"/>
      <c r="FG25" s="218"/>
      <c r="FH25" s="218"/>
      <c r="FI25" s="218"/>
      <c r="FJ25" s="218"/>
      <c r="FK25" s="218"/>
      <c r="FL25" s="218"/>
      <c r="FM25" s="218"/>
      <c r="FN25" s="218"/>
      <c r="FO25" s="218"/>
      <c r="FP25" s="218"/>
      <c r="FQ25" s="218"/>
      <c r="FR25" s="218"/>
      <c r="FS25" s="218"/>
      <c r="FT25" s="218"/>
      <c r="FU25" s="218"/>
      <c r="FV25" s="218"/>
      <c r="FW25" s="218"/>
      <c r="FX25" s="218"/>
      <c r="FY25" s="218"/>
      <c r="FZ25" s="218"/>
      <c r="GA25" s="218"/>
      <c r="GB25" s="218"/>
      <c r="GC25" s="218"/>
      <c r="GD25" s="218"/>
      <c r="GE25" s="218"/>
      <c r="GF25" s="218"/>
      <c r="GG25" s="218"/>
      <c r="GH25" s="218"/>
      <c r="GI25" s="218"/>
      <c r="GJ25" s="218"/>
      <c r="GK25" s="218"/>
      <c r="GL25" s="218"/>
      <c r="GM25" s="218"/>
      <c r="GN25" s="218"/>
      <c r="GO25" s="218"/>
      <c r="GP25" s="218"/>
      <c r="GQ25" s="218"/>
      <c r="GR25" s="218"/>
      <c r="GS25" s="218"/>
      <c r="GT25" s="218"/>
      <c r="GU25" s="218"/>
      <c r="GV25" s="218"/>
      <c r="GW25" s="218"/>
      <c r="GX25" s="218"/>
      <c r="GY25" s="218"/>
      <c r="GZ25" s="218"/>
      <c r="HA25" s="218"/>
      <c r="HB25" s="218"/>
      <c r="HC25" s="218"/>
      <c r="HD25" s="218"/>
      <c r="HE25" s="218"/>
      <c r="HF25" s="218"/>
      <c r="HG25" s="218"/>
      <c r="HH25" s="218"/>
      <c r="HI25" s="218"/>
      <c r="HJ25" s="218"/>
      <c r="HK25" s="218"/>
      <c r="HL25" s="218"/>
      <c r="HM25" s="218"/>
      <c r="HN25" s="218"/>
      <c r="HO25" s="218"/>
      <c r="HP25" s="218"/>
      <c r="HQ25" s="218"/>
      <c r="HR25" s="218"/>
      <c r="HS25" s="218"/>
      <c r="HT25" s="218"/>
      <c r="HU25" s="218"/>
      <c r="HV25" s="218"/>
      <c r="HW25" s="218"/>
      <c r="HX25" s="218"/>
      <c r="HY25" s="218"/>
      <c r="HZ25" s="218"/>
      <c r="IA25" s="218"/>
      <c r="IB25" s="218"/>
      <c r="IC25" s="218"/>
      <c r="ID25" s="218"/>
      <c r="IE25" s="218"/>
      <c r="IF25" s="218"/>
      <c r="IG25" s="218"/>
      <c r="IH25" s="218"/>
      <c r="II25" s="218"/>
      <c r="IJ25" s="218"/>
      <c r="IK25" s="218"/>
      <c r="IL25" s="218"/>
      <c r="IM25" s="218"/>
      <c r="IN25" s="218"/>
      <c r="IO25" s="218"/>
      <c r="IP25" s="218"/>
      <c r="IQ25" s="218"/>
      <c r="IR25" s="218"/>
      <c r="IS25" s="218"/>
      <c r="IT25" s="218"/>
      <c r="IU25" s="218"/>
    </row>
    <row r="26" spans="1:255" hidden="1" x14ac:dyDescent="0.25">
      <c r="A26" s="238">
        <v>2011</v>
      </c>
      <c r="B26" s="239">
        <v>2542</v>
      </c>
      <c r="C26" s="240">
        <f>B26/R26</f>
        <v>0.89318341531974699</v>
      </c>
      <c r="D26" s="239">
        <v>96</v>
      </c>
      <c r="E26" s="240">
        <f>D26/R26</f>
        <v>3.3731553056921992E-2</v>
      </c>
      <c r="F26" s="239">
        <f>B26+D26</f>
        <v>2638</v>
      </c>
      <c r="G26" s="241">
        <f>F26/R26</f>
        <v>0.92691496837666898</v>
      </c>
      <c r="H26" s="239">
        <v>208</v>
      </c>
      <c r="I26" s="240">
        <f>+H26/R26</f>
        <v>7.3085031623330993E-2</v>
      </c>
      <c r="J26" s="239">
        <v>0</v>
      </c>
      <c r="K26" s="240">
        <f>J26/R26</f>
        <v>0</v>
      </c>
      <c r="L26" s="239">
        <f>H26+J26</f>
        <v>208</v>
      </c>
      <c r="M26" s="241">
        <f>L26/R26</f>
        <v>7.3085031623330993E-2</v>
      </c>
      <c r="N26" s="239">
        <f>B26+H26</f>
        <v>2750</v>
      </c>
      <c r="O26" s="240">
        <f>N26/R26</f>
        <v>0.96626844694307801</v>
      </c>
      <c r="P26" s="239">
        <f>D26+J26</f>
        <v>96</v>
      </c>
      <c r="Q26" s="240">
        <f>P26/R26</f>
        <v>3.3731553056921992E-2</v>
      </c>
      <c r="R26" s="239">
        <f>N26+P26</f>
        <v>2846</v>
      </c>
      <c r="S26" s="242">
        <f>SUM(G26,M26)</f>
        <v>1</v>
      </c>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c r="BJ26" s="218"/>
      <c r="BK26" s="218"/>
      <c r="BL26" s="218"/>
      <c r="BM26" s="218"/>
      <c r="BN26" s="218"/>
      <c r="BO26" s="218"/>
      <c r="BP26" s="218"/>
      <c r="BQ26" s="218"/>
      <c r="BR26" s="218"/>
      <c r="BS26" s="218"/>
      <c r="BT26" s="218"/>
      <c r="BU26" s="218"/>
      <c r="BV26" s="218"/>
      <c r="BW26" s="218"/>
      <c r="BX26" s="218"/>
      <c r="BY26" s="218"/>
      <c r="BZ26" s="218"/>
      <c r="CA26" s="218"/>
      <c r="CB26" s="218"/>
      <c r="CC26" s="218"/>
      <c r="CD26" s="218"/>
      <c r="CE26" s="218"/>
      <c r="CF26" s="218"/>
      <c r="CG26" s="218"/>
      <c r="CH26" s="218"/>
      <c r="CI26" s="218"/>
      <c r="CJ26" s="218"/>
      <c r="CK26" s="218"/>
      <c r="CL26" s="218"/>
      <c r="CM26" s="218"/>
      <c r="CN26" s="218"/>
      <c r="CO26" s="218"/>
      <c r="CP26" s="218"/>
      <c r="CQ26" s="218"/>
      <c r="CR26" s="218"/>
      <c r="CS26" s="218"/>
      <c r="CT26" s="218"/>
      <c r="CU26" s="218"/>
      <c r="CV26" s="218"/>
      <c r="CW26" s="218"/>
      <c r="CX26" s="218"/>
      <c r="CY26" s="218"/>
      <c r="CZ26" s="218"/>
      <c r="DA26" s="218"/>
      <c r="DB26" s="218"/>
      <c r="DC26" s="218"/>
      <c r="DD26" s="218"/>
      <c r="DE26" s="218"/>
      <c r="DF26" s="218"/>
      <c r="DG26" s="218"/>
      <c r="DH26" s="218"/>
      <c r="DI26" s="218"/>
      <c r="DJ26" s="218"/>
      <c r="DK26" s="218"/>
      <c r="DL26" s="218"/>
      <c r="DM26" s="218"/>
      <c r="DN26" s="218"/>
      <c r="DO26" s="218"/>
      <c r="DP26" s="218"/>
      <c r="DQ26" s="218"/>
      <c r="DR26" s="218"/>
      <c r="DS26" s="218"/>
      <c r="DT26" s="218"/>
      <c r="DU26" s="218"/>
      <c r="DV26" s="218"/>
      <c r="DW26" s="218"/>
      <c r="DX26" s="218"/>
      <c r="DY26" s="218"/>
      <c r="DZ26" s="218"/>
      <c r="EA26" s="218"/>
      <c r="EB26" s="218"/>
      <c r="EC26" s="218"/>
      <c r="ED26" s="218"/>
      <c r="EE26" s="218"/>
      <c r="EF26" s="218"/>
      <c r="EG26" s="218"/>
      <c r="EH26" s="218"/>
      <c r="EI26" s="218"/>
      <c r="EJ26" s="218"/>
      <c r="EK26" s="218"/>
      <c r="EL26" s="218"/>
      <c r="EM26" s="218"/>
      <c r="EN26" s="218"/>
      <c r="EO26" s="218"/>
      <c r="EP26" s="218"/>
      <c r="EQ26" s="218"/>
      <c r="ER26" s="218"/>
      <c r="ES26" s="218"/>
      <c r="ET26" s="218"/>
      <c r="EU26" s="218"/>
      <c r="EV26" s="218"/>
      <c r="EW26" s="218"/>
      <c r="EX26" s="218"/>
      <c r="EY26" s="218"/>
      <c r="EZ26" s="218"/>
      <c r="FA26" s="218"/>
      <c r="FB26" s="218"/>
      <c r="FC26" s="218"/>
      <c r="FD26" s="218"/>
      <c r="FE26" s="218"/>
      <c r="FF26" s="218"/>
      <c r="FG26" s="218"/>
      <c r="FH26" s="218"/>
      <c r="FI26" s="218"/>
      <c r="FJ26" s="218"/>
      <c r="FK26" s="218"/>
      <c r="FL26" s="218"/>
      <c r="FM26" s="218"/>
      <c r="FN26" s="218"/>
      <c r="FO26" s="218"/>
      <c r="FP26" s="218"/>
      <c r="FQ26" s="218"/>
      <c r="FR26" s="218"/>
      <c r="FS26" s="218"/>
      <c r="FT26" s="218"/>
      <c r="FU26" s="218"/>
      <c r="FV26" s="218"/>
      <c r="FW26" s="218"/>
      <c r="FX26" s="218"/>
      <c r="FY26" s="218"/>
      <c r="FZ26" s="218"/>
      <c r="GA26" s="218"/>
      <c r="GB26" s="218"/>
      <c r="GC26" s="218"/>
      <c r="GD26" s="218"/>
      <c r="GE26" s="218"/>
      <c r="GF26" s="218"/>
      <c r="GG26" s="218"/>
      <c r="GH26" s="218"/>
      <c r="GI26" s="218"/>
      <c r="GJ26" s="218"/>
      <c r="GK26" s="218"/>
      <c r="GL26" s="218"/>
      <c r="GM26" s="218"/>
      <c r="GN26" s="218"/>
      <c r="GO26" s="218"/>
      <c r="GP26" s="218"/>
      <c r="GQ26" s="218"/>
      <c r="GR26" s="218"/>
      <c r="GS26" s="218"/>
      <c r="GT26" s="218"/>
      <c r="GU26" s="218"/>
      <c r="GV26" s="218"/>
      <c r="GW26" s="218"/>
      <c r="GX26" s="218"/>
      <c r="GY26" s="218"/>
      <c r="GZ26" s="218"/>
      <c r="HA26" s="218"/>
      <c r="HB26" s="218"/>
      <c r="HC26" s="218"/>
      <c r="HD26" s="218"/>
      <c r="HE26" s="218"/>
      <c r="HF26" s="218"/>
      <c r="HG26" s="218"/>
      <c r="HH26" s="218"/>
      <c r="HI26" s="218"/>
      <c r="HJ26" s="218"/>
      <c r="HK26" s="218"/>
      <c r="HL26" s="218"/>
      <c r="HM26" s="218"/>
      <c r="HN26" s="218"/>
      <c r="HO26" s="218"/>
      <c r="HP26" s="218"/>
      <c r="HQ26" s="218"/>
      <c r="HR26" s="218"/>
      <c r="HS26" s="218"/>
      <c r="HT26" s="218"/>
      <c r="HU26" s="218"/>
      <c r="HV26" s="218"/>
      <c r="HW26" s="218"/>
      <c r="HX26" s="218"/>
      <c r="HY26" s="218"/>
      <c r="HZ26" s="218"/>
      <c r="IA26" s="218"/>
      <c r="IB26" s="218"/>
      <c r="IC26" s="218"/>
      <c r="ID26" s="218"/>
      <c r="IE26" s="218"/>
      <c r="IF26" s="218"/>
      <c r="IG26" s="218"/>
      <c r="IH26" s="218"/>
      <c r="II26" s="218"/>
      <c r="IJ26" s="218"/>
      <c r="IK26" s="218"/>
      <c r="IL26" s="218"/>
      <c r="IM26" s="218"/>
      <c r="IN26" s="218"/>
      <c r="IO26" s="218"/>
      <c r="IP26" s="218"/>
      <c r="IQ26" s="218"/>
      <c r="IR26" s="218"/>
      <c r="IS26" s="218"/>
      <c r="IT26" s="218"/>
      <c r="IU26" s="218"/>
    </row>
    <row r="27" spans="1:255" hidden="1" x14ac:dyDescent="0.25">
      <c r="A27" s="374"/>
      <c r="B27" s="375"/>
      <c r="C27" s="367"/>
      <c r="D27" s="375"/>
      <c r="E27" s="367"/>
      <c r="F27" s="375"/>
      <c r="G27" s="376"/>
      <c r="H27" s="375"/>
      <c r="I27" s="367"/>
      <c r="J27" s="375"/>
      <c r="K27" s="367"/>
      <c r="L27" s="375"/>
      <c r="M27" s="376"/>
      <c r="N27" s="375"/>
      <c r="O27" s="367"/>
      <c r="P27" s="375"/>
      <c r="Q27" s="367"/>
      <c r="R27" s="375"/>
      <c r="S27" s="377"/>
      <c r="T27" s="218"/>
      <c r="U27" s="218"/>
      <c r="V27" s="218"/>
      <c r="W27" s="218"/>
      <c r="X27" s="218"/>
      <c r="Y27" s="218"/>
      <c r="Z27" s="218"/>
      <c r="AA27" s="218"/>
      <c r="AB27" s="218"/>
      <c r="AC27" s="218"/>
      <c r="AD27" s="218"/>
      <c r="AE27" s="218"/>
      <c r="AF27" s="218"/>
      <c r="AG27" s="218"/>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c r="BR27" s="218"/>
      <c r="BS27" s="218"/>
      <c r="BT27" s="218"/>
      <c r="BU27" s="218"/>
      <c r="BV27" s="218"/>
      <c r="BW27" s="218"/>
      <c r="BX27" s="218"/>
      <c r="BY27" s="218"/>
      <c r="BZ27" s="218"/>
      <c r="CA27" s="218"/>
      <c r="CB27" s="218"/>
      <c r="CC27" s="218"/>
      <c r="CD27" s="218"/>
      <c r="CE27" s="218"/>
      <c r="CF27" s="218"/>
      <c r="CG27" s="218"/>
      <c r="CH27" s="218"/>
      <c r="CI27" s="218"/>
      <c r="CJ27" s="218"/>
      <c r="CK27" s="218"/>
      <c r="CL27" s="218"/>
      <c r="CM27" s="218"/>
      <c r="CN27" s="218"/>
      <c r="CO27" s="218"/>
      <c r="CP27" s="218"/>
      <c r="CQ27" s="218"/>
      <c r="CR27" s="218"/>
      <c r="CS27" s="218"/>
      <c r="CT27" s="218"/>
      <c r="CU27" s="218"/>
      <c r="CV27" s="218"/>
      <c r="CW27" s="218"/>
      <c r="CX27" s="218"/>
      <c r="CY27" s="218"/>
      <c r="CZ27" s="218"/>
      <c r="DA27" s="218"/>
      <c r="DB27" s="218"/>
      <c r="DC27" s="218"/>
      <c r="DD27" s="218"/>
      <c r="DE27" s="218"/>
      <c r="DF27" s="218"/>
      <c r="DG27" s="218"/>
      <c r="DH27" s="218"/>
      <c r="DI27" s="218"/>
      <c r="DJ27" s="218"/>
      <c r="DK27" s="218"/>
      <c r="DL27" s="218"/>
      <c r="DM27" s="218"/>
      <c r="DN27" s="218"/>
      <c r="DO27" s="218"/>
      <c r="DP27" s="218"/>
      <c r="DQ27" s="218"/>
      <c r="DR27" s="218"/>
      <c r="DS27" s="218"/>
      <c r="DT27" s="218"/>
      <c r="DU27" s="218"/>
      <c r="DV27" s="218"/>
      <c r="DW27" s="218"/>
      <c r="DX27" s="218"/>
      <c r="DY27" s="218"/>
      <c r="DZ27" s="218"/>
      <c r="EA27" s="218"/>
      <c r="EB27" s="218"/>
      <c r="EC27" s="218"/>
      <c r="ED27" s="218"/>
      <c r="EE27" s="218"/>
      <c r="EF27" s="218"/>
      <c r="EG27" s="218"/>
      <c r="EH27" s="218"/>
      <c r="EI27" s="218"/>
      <c r="EJ27" s="218"/>
      <c r="EK27" s="218"/>
      <c r="EL27" s="218"/>
      <c r="EM27" s="218"/>
      <c r="EN27" s="218"/>
      <c r="EO27" s="218"/>
      <c r="EP27" s="218"/>
      <c r="EQ27" s="218"/>
      <c r="ER27" s="218"/>
      <c r="ES27" s="218"/>
      <c r="ET27" s="218"/>
      <c r="EU27" s="218"/>
      <c r="EV27" s="218"/>
      <c r="EW27" s="218"/>
      <c r="EX27" s="218"/>
      <c r="EY27" s="218"/>
      <c r="EZ27" s="218"/>
      <c r="FA27" s="218"/>
      <c r="FB27" s="218"/>
      <c r="FC27" s="218"/>
      <c r="FD27" s="218"/>
      <c r="FE27" s="218"/>
      <c r="FF27" s="218"/>
      <c r="FG27" s="218"/>
      <c r="FH27" s="218"/>
      <c r="FI27" s="218"/>
      <c r="FJ27" s="218"/>
      <c r="FK27" s="218"/>
      <c r="FL27" s="218"/>
      <c r="FM27" s="218"/>
      <c r="FN27" s="218"/>
      <c r="FO27" s="218"/>
      <c r="FP27" s="218"/>
      <c r="FQ27" s="218"/>
      <c r="FR27" s="218"/>
      <c r="FS27" s="218"/>
      <c r="FT27" s="218"/>
      <c r="FU27" s="218"/>
      <c r="FV27" s="218"/>
      <c r="FW27" s="218"/>
      <c r="FX27" s="218"/>
      <c r="FY27" s="218"/>
      <c r="FZ27" s="218"/>
      <c r="GA27" s="218"/>
      <c r="GB27" s="218"/>
      <c r="GC27" s="218"/>
      <c r="GD27" s="218"/>
      <c r="GE27" s="218"/>
      <c r="GF27" s="218"/>
      <c r="GG27" s="218"/>
      <c r="GH27" s="218"/>
      <c r="GI27" s="218"/>
      <c r="GJ27" s="218"/>
      <c r="GK27" s="218"/>
      <c r="GL27" s="218"/>
      <c r="GM27" s="218"/>
      <c r="GN27" s="218"/>
      <c r="GO27" s="218"/>
      <c r="GP27" s="218"/>
      <c r="GQ27" s="218"/>
      <c r="GR27" s="218"/>
      <c r="GS27" s="218"/>
      <c r="GT27" s="218"/>
      <c r="GU27" s="218"/>
      <c r="GV27" s="218"/>
      <c r="GW27" s="218"/>
      <c r="GX27" s="218"/>
      <c r="GY27" s="218"/>
      <c r="GZ27" s="218"/>
      <c r="HA27" s="218"/>
      <c r="HB27" s="218"/>
      <c r="HC27" s="218"/>
      <c r="HD27" s="218"/>
      <c r="HE27" s="218"/>
      <c r="HF27" s="218"/>
      <c r="HG27" s="218"/>
      <c r="HH27" s="218"/>
      <c r="HI27" s="218"/>
      <c r="HJ27" s="218"/>
      <c r="HK27" s="218"/>
      <c r="HL27" s="218"/>
      <c r="HM27" s="218"/>
      <c r="HN27" s="218"/>
      <c r="HO27" s="218"/>
      <c r="HP27" s="218"/>
      <c r="HQ27" s="218"/>
      <c r="HR27" s="218"/>
      <c r="HS27" s="218"/>
      <c r="HT27" s="218"/>
      <c r="HU27" s="218"/>
      <c r="HV27" s="218"/>
      <c r="HW27" s="218"/>
      <c r="HX27" s="218"/>
      <c r="HY27" s="218"/>
      <c r="HZ27" s="218"/>
      <c r="IA27" s="218"/>
      <c r="IB27" s="218"/>
      <c r="IC27" s="218"/>
      <c r="ID27" s="218"/>
      <c r="IE27" s="218"/>
      <c r="IF27" s="218"/>
      <c r="IG27" s="218"/>
      <c r="IH27" s="218"/>
      <c r="II27" s="218"/>
      <c r="IJ27" s="218"/>
      <c r="IK27" s="218"/>
      <c r="IL27" s="218"/>
      <c r="IM27" s="218"/>
      <c r="IN27" s="218"/>
      <c r="IO27" s="218"/>
      <c r="IP27" s="218"/>
      <c r="IQ27" s="218"/>
      <c r="IR27" s="218"/>
      <c r="IS27" s="218"/>
      <c r="IT27" s="218"/>
      <c r="IU27" s="218"/>
    </row>
    <row r="28" spans="1:255" x14ac:dyDescent="0.25">
      <c r="A28" s="238">
        <v>2012</v>
      </c>
      <c r="B28" s="239">
        <v>2545</v>
      </c>
      <c r="C28" s="240">
        <f>B28/R28</f>
        <v>0.89329589329589332</v>
      </c>
      <c r="D28" s="239">
        <v>81</v>
      </c>
      <c r="E28" s="240">
        <f>D28/R28</f>
        <v>2.8431028431028432E-2</v>
      </c>
      <c r="F28" s="239">
        <f>B28+D28</f>
        <v>2626</v>
      </c>
      <c r="G28" s="241">
        <f>F28/R28</f>
        <v>0.92172692172692172</v>
      </c>
      <c r="H28" s="239">
        <v>220</v>
      </c>
      <c r="I28" s="240">
        <f>+H28/R28</f>
        <v>7.7220077220077218E-2</v>
      </c>
      <c r="J28" s="239">
        <v>3</v>
      </c>
      <c r="K28" s="240">
        <f>J28/R28</f>
        <v>1.053001053001053E-3</v>
      </c>
      <c r="L28" s="239">
        <f>H28+J28</f>
        <v>223</v>
      </c>
      <c r="M28" s="241">
        <f>L28/R28</f>
        <v>7.8273078273078278E-2</v>
      </c>
      <c r="N28" s="239">
        <f>B28+H28</f>
        <v>2765</v>
      </c>
      <c r="O28" s="240">
        <f>N28/R28</f>
        <v>0.97051597051597049</v>
      </c>
      <c r="P28" s="239">
        <f>D28+J28</f>
        <v>84</v>
      </c>
      <c r="Q28" s="240">
        <f>P28/R28</f>
        <v>2.9484029484029485E-2</v>
      </c>
      <c r="R28" s="239">
        <f>N28+P28</f>
        <v>2849</v>
      </c>
      <c r="S28" s="242">
        <f>SUM(G28,M28)</f>
        <v>1</v>
      </c>
      <c r="T28" s="218"/>
      <c r="U28" s="218"/>
      <c r="V28" s="218"/>
      <c r="W28" s="218"/>
      <c r="X28" s="218"/>
      <c r="Y28" s="218"/>
      <c r="Z28" s="218"/>
      <c r="AA28" s="218"/>
      <c r="AB28" s="218"/>
      <c r="AC28" s="218"/>
      <c r="AD28" s="218"/>
      <c r="AE28" s="218"/>
      <c r="AF28" s="218"/>
      <c r="AG28" s="218"/>
      <c r="AH28" s="218"/>
      <c r="AI28" s="218"/>
      <c r="AJ28" s="218"/>
      <c r="AK28" s="218"/>
      <c r="AL28" s="218"/>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c r="BR28" s="218"/>
      <c r="BS28" s="218"/>
      <c r="BT28" s="218"/>
      <c r="BU28" s="218"/>
      <c r="BV28" s="218"/>
      <c r="BW28" s="218"/>
      <c r="BX28" s="218"/>
      <c r="BY28" s="218"/>
      <c r="BZ28" s="218"/>
      <c r="CA28" s="218"/>
      <c r="CB28" s="218"/>
      <c r="CC28" s="218"/>
      <c r="CD28" s="218"/>
      <c r="CE28" s="218"/>
      <c r="CF28" s="218"/>
      <c r="CG28" s="218"/>
      <c r="CH28" s="218"/>
      <c r="CI28" s="218"/>
      <c r="CJ28" s="218"/>
      <c r="CK28" s="218"/>
      <c r="CL28" s="218"/>
      <c r="CM28" s="218"/>
      <c r="CN28" s="218"/>
      <c r="CO28" s="218"/>
      <c r="CP28" s="218"/>
      <c r="CQ28" s="218"/>
      <c r="CR28" s="218"/>
      <c r="CS28" s="218"/>
      <c r="CT28" s="218"/>
      <c r="CU28" s="218"/>
      <c r="CV28" s="218"/>
      <c r="CW28" s="218"/>
      <c r="CX28" s="218"/>
      <c r="CY28" s="218"/>
      <c r="CZ28" s="218"/>
      <c r="DA28" s="218"/>
      <c r="DB28" s="218"/>
      <c r="DC28" s="218"/>
      <c r="DD28" s="218"/>
      <c r="DE28" s="218"/>
      <c r="DF28" s="218"/>
      <c r="DG28" s="218"/>
      <c r="DH28" s="218"/>
      <c r="DI28" s="218"/>
      <c r="DJ28" s="218"/>
      <c r="DK28" s="218"/>
      <c r="DL28" s="218"/>
      <c r="DM28" s="218"/>
      <c r="DN28" s="218"/>
      <c r="DO28" s="218"/>
      <c r="DP28" s="218"/>
      <c r="DQ28" s="218"/>
      <c r="DR28" s="218"/>
      <c r="DS28" s="218"/>
      <c r="DT28" s="218"/>
      <c r="DU28" s="218"/>
      <c r="DV28" s="218"/>
      <c r="DW28" s="218"/>
      <c r="DX28" s="218"/>
      <c r="DY28" s="218"/>
      <c r="DZ28" s="218"/>
      <c r="EA28" s="218"/>
      <c r="EB28" s="218"/>
      <c r="EC28" s="218"/>
      <c r="ED28" s="218"/>
      <c r="EE28" s="218"/>
      <c r="EF28" s="218"/>
      <c r="EG28" s="218"/>
      <c r="EH28" s="218"/>
      <c r="EI28" s="218"/>
      <c r="EJ28" s="218"/>
      <c r="EK28" s="218"/>
      <c r="EL28" s="218"/>
      <c r="EM28" s="218"/>
      <c r="EN28" s="218"/>
      <c r="EO28" s="218"/>
      <c r="EP28" s="218"/>
      <c r="EQ28" s="218"/>
      <c r="ER28" s="218"/>
      <c r="ES28" s="218"/>
      <c r="ET28" s="218"/>
      <c r="EU28" s="218"/>
      <c r="EV28" s="218"/>
      <c r="EW28" s="218"/>
      <c r="EX28" s="218"/>
      <c r="EY28" s="218"/>
      <c r="EZ28" s="218"/>
      <c r="FA28" s="218"/>
      <c r="FB28" s="218"/>
      <c r="FC28" s="218"/>
      <c r="FD28" s="218"/>
      <c r="FE28" s="218"/>
      <c r="FF28" s="218"/>
      <c r="FG28" s="218"/>
      <c r="FH28" s="218"/>
      <c r="FI28" s="218"/>
      <c r="FJ28" s="218"/>
      <c r="FK28" s="218"/>
      <c r="FL28" s="218"/>
      <c r="FM28" s="218"/>
      <c r="FN28" s="218"/>
      <c r="FO28" s="218"/>
      <c r="FP28" s="218"/>
      <c r="FQ28" s="218"/>
      <c r="FR28" s="218"/>
      <c r="FS28" s="218"/>
      <c r="FT28" s="218"/>
      <c r="FU28" s="218"/>
      <c r="FV28" s="218"/>
      <c r="FW28" s="218"/>
      <c r="FX28" s="218"/>
      <c r="FY28" s="218"/>
      <c r="FZ28" s="218"/>
      <c r="GA28" s="218"/>
      <c r="GB28" s="218"/>
      <c r="GC28" s="218"/>
      <c r="GD28" s="218"/>
      <c r="GE28" s="218"/>
      <c r="GF28" s="218"/>
      <c r="GG28" s="218"/>
      <c r="GH28" s="218"/>
      <c r="GI28" s="218"/>
      <c r="GJ28" s="218"/>
      <c r="GK28" s="218"/>
      <c r="GL28" s="218"/>
      <c r="GM28" s="218"/>
      <c r="GN28" s="218"/>
      <c r="GO28" s="218"/>
      <c r="GP28" s="218"/>
      <c r="GQ28" s="218"/>
      <c r="GR28" s="218"/>
      <c r="GS28" s="218"/>
      <c r="GT28" s="218"/>
      <c r="GU28" s="218"/>
      <c r="GV28" s="218"/>
      <c r="GW28" s="218"/>
      <c r="GX28" s="218"/>
      <c r="GY28" s="218"/>
      <c r="GZ28" s="218"/>
      <c r="HA28" s="218"/>
      <c r="HB28" s="218"/>
      <c r="HC28" s="218"/>
      <c r="HD28" s="218"/>
      <c r="HE28" s="218"/>
      <c r="HF28" s="218"/>
      <c r="HG28" s="218"/>
      <c r="HH28" s="218"/>
      <c r="HI28" s="218"/>
      <c r="HJ28" s="218"/>
      <c r="HK28" s="218"/>
      <c r="HL28" s="218"/>
      <c r="HM28" s="218"/>
      <c r="HN28" s="218"/>
      <c r="HO28" s="218"/>
      <c r="HP28" s="218"/>
      <c r="HQ28" s="218"/>
      <c r="HR28" s="218"/>
      <c r="HS28" s="218"/>
      <c r="HT28" s="218"/>
      <c r="HU28" s="218"/>
      <c r="HV28" s="218"/>
      <c r="HW28" s="218"/>
      <c r="HX28" s="218"/>
      <c r="HY28" s="218"/>
      <c r="HZ28" s="218"/>
      <c r="IA28" s="218"/>
      <c r="IB28" s="218"/>
      <c r="IC28" s="218"/>
      <c r="ID28" s="218"/>
      <c r="IE28" s="218"/>
      <c r="IF28" s="218"/>
      <c r="IG28" s="218"/>
      <c r="IH28" s="218"/>
      <c r="II28" s="218"/>
      <c r="IJ28" s="218"/>
      <c r="IK28" s="218"/>
      <c r="IL28" s="218"/>
      <c r="IM28" s="218"/>
      <c r="IN28" s="218"/>
      <c r="IO28" s="218"/>
      <c r="IP28" s="218"/>
      <c r="IQ28" s="218"/>
      <c r="IR28" s="218"/>
      <c r="IS28" s="218"/>
      <c r="IT28" s="218"/>
      <c r="IU28" s="218"/>
    </row>
    <row r="29" spans="1:255" x14ac:dyDescent="0.25">
      <c r="A29" s="374"/>
      <c r="B29" s="375"/>
      <c r="C29" s="367"/>
      <c r="D29" s="375"/>
      <c r="E29" s="367"/>
      <c r="F29" s="375"/>
      <c r="G29" s="376"/>
      <c r="H29" s="375"/>
      <c r="I29" s="367"/>
      <c r="J29" s="375"/>
      <c r="K29" s="367"/>
      <c r="L29" s="375"/>
      <c r="M29" s="376"/>
      <c r="N29" s="375"/>
      <c r="O29" s="367"/>
      <c r="P29" s="375"/>
      <c r="Q29" s="367"/>
      <c r="R29" s="375"/>
      <c r="S29" s="377"/>
      <c r="T29" s="218"/>
      <c r="U29" s="218"/>
      <c r="V29" s="218"/>
      <c r="W29" s="218"/>
      <c r="X29" s="218"/>
      <c r="Y29" s="218"/>
      <c r="Z29" s="218"/>
      <c r="AA29" s="218"/>
      <c r="AB29" s="218"/>
      <c r="AC29" s="218"/>
      <c r="AD29" s="218"/>
      <c r="AE29" s="218"/>
      <c r="AF29" s="218"/>
      <c r="AG29" s="218"/>
      <c r="AH29" s="218"/>
      <c r="AI29" s="218"/>
      <c r="AJ29" s="218"/>
      <c r="AK29" s="218"/>
      <c r="AL29" s="218"/>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c r="BR29" s="218"/>
      <c r="BS29" s="218"/>
      <c r="BT29" s="218"/>
      <c r="BU29" s="218"/>
      <c r="BV29" s="218"/>
      <c r="BW29" s="218"/>
      <c r="BX29" s="218"/>
      <c r="BY29" s="218"/>
      <c r="BZ29" s="218"/>
      <c r="CA29" s="218"/>
      <c r="CB29" s="218"/>
      <c r="CC29" s="218"/>
      <c r="CD29" s="218"/>
      <c r="CE29" s="218"/>
      <c r="CF29" s="218"/>
      <c r="CG29" s="218"/>
      <c r="CH29" s="218"/>
      <c r="CI29" s="218"/>
      <c r="CJ29" s="218"/>
      <c r="CK29" s="218"/>
      <c r="CL29" s="218"/>
      <c r="CM29" s="218"/>
      <c r="CN29" s="218"/>
      <c r="CO29" s="218"/>
      <c r="CP29" s="218"/>
      <c r="CQ29" s="218"/>
      <c r="CR29" s="218"/>
      <c r="CS29" s="218"/>
      <c r="CT29" s="218"/>
      <c r="CU29" s="218"/>
      <c r="CV29" s="218"/>
      <c r="CW29" s="218"/>
      <c r="CX29" s="218"/>
      <c r="CY29" s="218"/>
      <c r="CZ29" s="218"/>
      <c r="DA29" s="218"/>
      <c r="DB29" s="218"/>
      <c r="DC29" s="218"/>
      <c r="DD29" s="218"/>
      <c r="DE29" s="218"/>
      <c r="DF29" s="218"/>
      <c r="DG29" s="218"/>
      <c r="DH29" s="218"/>
      <c r="DI29" s="218"/>
      <c r="DJ29" s="218"/>
      <c r="DK29" s="218"/>
      <c r="DL29" s="218"/>
      <c r="DM29" s="218"/>
      <c r="DN29" s="218"/>
      <c r="DO29" s="218"/>
      <c r="DP29" s="218"/>
      <c r="DQ29" s="218"/>
      <c r="DR29" s="218"/>
      <c r="DS29" s="218"/>
      <c r="DT29" s="218"/>
      <c r="DU29" s="218"/>
      <c r="DV29" s="218"/>
      <c r="DW29" s="218"/>
      <c r="DX29" s="218"/>
      <c r="DY29" s="218"/>
      <c r="DZ29" s="218"/>
      <c r="EA29" s="218"/>
      <c r="EB29" s="218"/>
      <c r="EC29" s="218"/>
      <c r="ED29" s="218"/>
      <c r="EE29" s="218"/>
      <c r="EF29" s="218"/>
      <c r="EG29" s="218"/>
      <c r="EH29" s="218"/>
      <c r="EI29" s="218"/>
      <c r="EJ29" s="218"/>
      <c r="EK29" s="218"/>
      <c r="EL29" s="218"/>
      <c r="EM29" s="218"/>
      <c r="EN29" s="218"/>
      <c r="EO29" s="218"/>
      <c r="EP29" s="218"/>
      <c r="EQ29" s="218"/>
      <c r="ER29" s="218"/>
      <c r="ES29" s="218"/>
      <c r="ET29" s="218"/>
      <c r="EU29" s="218"/>
      <c r="EV29" s="218"/>
      <c r="EW29" s="218"/>
      <c r="EX29" s="218"/>
      <c r="EY29" s="218"/>
      <c r="EZ29" s="218"/>
      <c r="FA29" s="218"/>
      <c r="FB29" s="218"/>
      <c r="FC29" s="218"/>
      <c r="FD29" s="218"/>
      <c r="FE29" s="218"/>
      <c r="FF29" s="218"/>
      <c r="FG29" s="218"/>
      <c r="FH29" s="218"/>
      <c r="FI29" s="218"/>
      <c r="FJ29" s="218"/>
      <c r="FK29" s="218"/>
      <c r="FL29" s="218"/>
      <c r="FM29" s="218"/>
      <c r="FN29" s="218"/>
      <c r="FO29" s="218"/>
      <c r="FP29" s="218"/>
      <c r="FQ29" s="218"/>
      <c r="FR29" s="218"/>
      <c r="FS29" s="218"/>
      <c r="FT29" s="218"/>
      <c r="FU29" s="218"/>
      <c r="FV29" s="218"/>
      <c r="FW29" s="218"/>
      <c r="FX29" s="218"/>
      <c r="FY29" s="218"/>
      <c r="FZ29" s="218"/>
      <c r="GA29" s="218"/>
      <c r="GB29" s="218"/>
      <c r="GC29" s="218"/>
      <c r="GD29" s="218"/>
      <c r="GE29" s="218"/>
      <c r="GF29" s="218"/>
      <c r="GG29" s="218"/>
      <c r="GH29" s="218"/>
      <c r="GI29" s="218"/>
      <c r="GJ29" s="218"/>
      <c r="GK29" s="218"/>
      <c r="GL29" s="218"/>
      <c r="GM29" s="218"/>
      <c r="GN29" s="218"/>
      <c r="GO29" s="218"/>
      <c r="GP29" s="218"/>
      <c r="GQ29" s="218"/>
      <c r="GR29" s="218"/>
      <c r="GS29" s="218"/>
      <c r="GT29" s="218"/>
      <c r="GU29" s="218"/>
      <c r="GV29" s="218"/>
      <c r="GW29" s="218"/>
      <c r="GX29" s="218"/>
      <c r="GY29" s="218"/>
      <c r="GZ29" s="218"/>
      <c r="HA29" s="218"/>
      <c r="HB29" s="218"/>
      <c r="HC29" s="218"/>
      <c r="HD29" s="218"/>
      <c r="HE29" s="218"/>
      <c r="HF29" s="218"/>
      <c r="HG29" s="218"/>
      <c r="HH29" s="218"/>
      <c r="HI29" s="218"/>
      <c r="HJ29" s="218"/>
      <c r="HK29" s="218"/>
      <c r="HL29" s="218"/>
      <c r="HM29" s="218"/>
      <c r="HN29" s="218"/>
      <c r="HO29" s="218"/>
      <c r="HP29" s="218"/>
      <c r="HQ29" s="218"/>
      <c r="HR29" s="218"/>
      <c r="HS29" s="218"/>
      <c r="HT29" s="218"/>
      <c r="HU29" s="218"/>
      <c r="HV29" s="218"/>
      <c r="HW29" s="218"/>
      <c r="HX29" s="218"/>
      <c r="HY29" s="218"/>
      <c r="HZ29" s="218"/>
      <c r="IA29" s="218"/>
      <c r="IB29" s="218"/>
      <c r="IC29" s="218"/>
      <c r="ID29" s="218"/>
      <c r="IE29" s="218"/>
      <c r="IF29" s="218"/>
      <c r="IG29" s="218"/>
      <c r="IH29" s="218"/>
      <c r="II29" s="218"/>
      <c r="IJ29" s="218"/>
      <c r="IK29" s="218"/>
      <c r="IL29" s="218"/>
      <c r="IM29" s="218"/>
      <c r="IN29" s="218"/>
      <c r="IO29" s="218"/>
      <c r="IP29" s="218"/>
      <c r="IQ29" s="218"/>
      <c r="IR29" s="218"/>
      <c r="IS29" s="218"/>
      <c r="IT29" s="218"/>
      <c r="IU29" s="218"/>
    </row>
    <row r="30" spans="1:255" x14ac:dyDescent="0.25">
      <c r="A30" s="238">
        <v>2013</v>
      </c>
      <c r="B30" s="239">
        <v>2465</v>
      </c>
      <c r="C30" s="240">
        <f>B30/R30</f>
        <v>0.88669064748201443</v>
      </c>
      <c r="D30" s="239">
        <v>90</v>
      </c>
      <c r="E30" s="240">
        <f>D30/R30</f>
        <v>3.237410071942446E-2</v>
      </c>
      <c r="F30" s="239">
        <f>B30+D30</f>
        <v>2555</v>
      </c>
      <c r="G30" s="241">
        <f>F30/R30</f>
        <v>0.9190647482014388</v>
      </c>
      <c r="H30" s="239">
        <v>220</v>
      </c>
      <c r="I30" s="240">
        <f>+H30/R30</f>
        <v>7.9136690647482008E-2</v>
      </c>
      <c r="J30" s="239">
        <v>5</v>
      </c>
      <c r="K30" s="240">
        <f>J30/R30</f>
        <v>1.7985611510791368E-3</v>
      </c>
      <c r="L30" s="239">
        <f>H30+J30</f>
        <v>225</v>
      </c>
      <c r="M30" s="241">
        <f>L30/R30</f>
        <v>8.0935251798561147E-2</v>
      </c>
      <c r="N30" s="239">
        <f>B30+H30</f>
        <v>2685</v>
      </c>
      <c r="O30" s="240">
        <f>N30/R30</f>
        <v>0.96582733812949639</v>
      </c>
      <c r="P30" s="239">
        <f>D30+J30</f>
        <v>95</v>
      </c>
      <c r="Q30" s="240">
        <f>P30/R30</f>
        <v>3.41726618705036E-2</v>
      </c>
      <c r="R30" s="239">
        <f>N30+P30</f>
        <v>2780</v>
      </c>
      <c r="S30" s="242">
        <f>SUM(G30,M30)</f>
        <v>1</v>
      </c>
      <c r="T30" s="218"/>
      <c r="U30" s="218"/>
      <c r="V30" s="218"/>
      <c r="W30" s="218"/>
      <c r="X30" s="218"/>
      <c r="Y30" s="218"/>
      <c r="Z30" s="218"/>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c r="BR30" s="218"/>
      <c r="BS30" s="218"/>
      <c r="BT30" s="218"/>
      <c r="BU30" s="218"/>
      <c r="BV30" s="218"/>
      <c r="BW30" s="218"/>
      <c r="BX30" s="218"/>
      <c r="BY30" s="218"/>
      <c r="BZ30" s="218"/>
      <c r="CA30" s="218"/>
      <c r="CB30" s="218"/>
      <c r="CC30" s="218"/>
      <c r="CD30" s="218"/>
      <c r="CE30" s="218"/>
      <c r="CF30" s="218"/>
      <c r="CG30" s="218"/>
      <c r="CH30" s="218"/>
      <c r="CI30" s="218"/>
      <c r="CJ30" s="218"/>
      <c r="CK30" s="218"/>
      <c r="CL30" s="218"/>
      <c r="CM30" s="218"/>
      <c r="CN30" s="218"/>
      <c r="CO30" s="218"/>
      <c r="CP30" s="218"/>
      <c r="CQ30" s="218"/>
      <c r="CR30" s="218"/>
      <c r="CS30" s="218"/>
      <c r="CT30" s="218"/>
      <c r="CU30" s="218"/>
      <c r="CV30" s="218"/>
      <c r="CW30" s="218"/>
      <c r="CX30" s="218"/>
      <c r="CY30" s="218"/>
      <c r="CZ30" s="218"/>
      <c r="DA30" s="218"/>
      <c r="DB30" s="218"/>
      <c r="DC30" s="218"/>
      <c r="DD30" s="218"/>
      <c r="DE30" s="218"/>
      <c r="DF30" s="218"/>
      <c r="DG30" s="218"/>
      <c r="DH30" s="218"/>
      <c r="DI30" s="218"/>
      <c r="DJ30" s="218"/>
      <c r="DK30" s="218"/>
      <c r="DL30" s="218"/>
      <c r="DM30" s="218"/>
      <c r="DN30" s="218"/>
      <c r="DO30" s="218"/>
      <c r="DP30" s="218"/>
      <c r="DQ30" s="218"/>
      <c r="DR30" s="218"/>
      <c r="DS30" s="218"/>
      <c r="DT30" s="218"/>
      <c r="DU30" s="218"/>
      <c r="DV30" s="218"/>
      <c r="DW30" s="218"/>
      <c r="DX30" s="218"/>
      <c r="DY30" s="218"/>
      <c r="DZ30" s="218"/>
      <c r="EA30" s="218"/>
      <c r="EB30" s="218"/>
      <c r="EC30" s="218"/>
      <c r="ED30" s="218"/>
      <c r="EE30" s="218"/>
      <c r="EF30" s="218"/>
      <c r="EG30" s="218"/>
      <c r="EH30" s="218"/>
      <c r="EI30" s="218"/>
      <c r="EJ30" s="218"/>
      <c r="EK30" s="218"/>
      <c r="EL30" s="218"/>
      <c r="EM30" s="218"/>
      <c r="EN30" s="218"/>
      <c r="EO30" s="218"/>
      <c r="EP30" s="218"/>
      <c r="EQ30" s="218"/>
      <c r="ER30" s="218"/>
      <c r="ES30" s="218"/>
      <c r="ET30" s="218"/>
      <c r="EU30" s="218"/>
      <c r="EV30" s="218"/>
      <c r="EW30" s="218"/>
      <c r="EX30" s="218"/>
      <c r="EY30" s="218"/>
      <c r="EZ30" s="218"/>
      <c r="FA30" s="218"/>
      <c r="FB30" s="218"/>
      <c r="FC30" s="218"/>
      <c r="FD30" s="218"/>
      <c r="FE30" s="218"/>
      <c r="FF30" s="218"/>
      <c r="FG30" s="218"/>
      <c r="FH30" s="218"/>
      <c r="FI30" s="218"/>
      <c r="FJ30" s="218"/>
      <c r="FK30" s="218"/>
      <c r="FL30" s="218"/>
      <c r="FM30" s="218"/>
      <c r="FN30" s="218"/>
      <c r="FO30" s="218"/>
      <c r="FP30" s="218"/>
      <c r="FQ30" s="218"/>
      <c r="FR30" s="218"/>
      <c r="FS30" s="218"/>
      <c r="FT30" s="218"/>
      <c r="FU30" s="218"/>
      <c r="FV30" s="218"/>
      <c r="FW30" s="218"/>
      <c r="FX30" s="218"/>
      <c r="FY30" s="218"/>
      <c r="FZ30" s="218"/>
      <c r="GA30" s="218"/>
      <c r="GB30" s="218"/>
      <c r="GC30" s="218"/>
      <c r="GD30" s="218"/>
      <c r="GE30" s="218"/>
      <c r="GF30" s="218"/>
      <c r="GG30" s="218"/>
      <c r="GH30" s="218"/>
      <c r="GI30" s="218"/>
      <c r="GJ30" s="218"/>
      <c r="GK30" s="218"/>
      <c r="GL30" s="218"/>
      <c r="GM30" s="218"/>
      <c r="GN30" s="218"/>
      <c r="GO30" s="218"/>
      <c r="GP30" s="218"/>
      <c r="GQ30" s="218"/>
      <c r="GR30" s="218"/>
      <c r="GS30" s="218"/>
      <c r="GT30" s="218"/>
      <c r="GU30" s="218"/>
      <c r="GV30" s="218"/>
      <c r="GW30" s="218"/>
      <c r="GX30" s="218"/>
      <c r="GY30" s="218"/>
      <c r="GZ30" s="218"/>
      <c r="HA30" s="218"/>
      <c r="HB30" s="218"/>
      <c r="HC30" s="218"/>
      <c r="HD30" s="218"/>
      <c r="HE30" s="218"/>
      <c r="HF30" s="218"/>
      <c r="HG30" s="218"/>
      <c r="HH30" s="218"/>
      <c r="HI30" s="218"/>
      <c r="HJ30" s="218"/>
      <c r="HK30" s="218"/>
      <c r="HL30" s="218"/>
      <c r="HM30" s="218"/>
      <c r="HN30" s="218"/>
      <c r="HO30" s="218"/>
      <c r="HP30" s="218"/>
      <c r="HQ30" s="218"/>
      <c r="HR30" s="218"/>
      <c r="HS30" s="218"/>
      <c r="HT30" s="218"/>
      <c r="HU30" s="218"/>
      <c r="HV30" s="218"/>
      <c r="HW30" s="218"/>
      <c r="HX30" s="218"/>
      <c r="HY30" s="218"/>
      <c r="HZ30" s="218"/>
      <c r="IA30" s="218"/>
      <c r="IB30" s="218"/>
      <c r="IC30" s="218"/>
      <c r="ID30" s="218"/>
      <c r="IE30" s="218"/>
      <c r="IF30" s="218"/>
      <c r="IG30" s="218"/>
      <c r="IH30" s="218"/>
      <c r="II30" s="218"/>
      <c r="IJ30" s="218"/>
      <c r="IK30" s="218"/>
      <c r="IL30" s="218"/>
      <c r="IM30" s="218"/>
      <c r="IN30" s="218"/>
      <c r="IO30" s="218"/>
      <c r="IP30" s="218"/>
      <c r="IQ30" s="218"/>
      <c r="IR30" s="218"/>
      <c r="IS30" s="218"/>
      <c r="IT30" s="218"/>
      <c r="IU30" s="218"/>
    </row>
    <row r="31" spans="1:255" x14ac:dyDescent="0.25">
      <c r="A31" s="374"/>
      <c r="B31" s="375"/>
      <c r="C31" s="367"/>
      <c r="D31" s="375"/>
      <c r="E31" s="367"/>
      <c r="F31" s="375"/>
      <c r="G31" s="376"/>
      <c r="H31" s="375"/>
      <c r="I31" s="367"/>
      <c r="J31" s="375"/>
      <c r="K31" s="367"/>
      <c r="L31" s="375"/>
      <c r="M31" s="376"/>
      <c r="N31" s="375"/>
      <c r="O31" s="367"/>
      <c r="P31" s="375"/>
      <c r="Q31" s="367"/>
      <c r="R31" s="375"/>
      <c r="S31" s="377"/>
      <c r="T31" s="218"/>
      <c r="U31" s="218"/>
      <c r="V31" s="218"/>
      <c r="W31" s="218"/>
      <c r="X31" s="218"/>
      <c r="Y31" s="218"/>
      <c r="Z31" s="218"/>
      <c r="AA31" s="218"/>
      <c r="AB31" s="218"/>
      <c r="AC31" s="218"/>
      <c r="AD31" s="218"/>
      <c r="AE31" s="218"/>
      <c r="AF31" s="218"/>
      <c r="AG31" s="218"/>
      <c r="AH31" s="218"/>
      <c r="AI31" s="218"/>
      <c r="AJ31" s="218"/>
      <c r="AK31" s="218"/>
      <c r="AL31" s="218"/>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c r="BR31" s="218"/>
      <c r="BS31" s="218"/>
      <c r="BT31" s="218"/>
      <c r="BU31" s="218"/>
      <c r="BV31" s="218"/>
      <c r="BW31" s="218"/>
      <c r="BX31" s="218"/>
      <c r="BY31" s="218"/>
      <c r="BZ31" s="218"/>
      <c r="CA31" s="218"/>
      <c r="CB31" s="218"/>
      <c r="CC31" s="218"/>
      <c r="CD31" s="218"/>
      <c r="CE31" s="218"/>
      <c r="CF31" s="218"/>
      <c r="CG31" s="218"/>
      <c r="CH31" s="218"/>
      <c r="CI31" s="218"/>
      <c r="CJ31" s="218"/>
      <c r="CK31" s="218"/>
      <c r="CL31" s="218"/>
      <c r="CM31" s="218"/>
      <c r="CN31" s="218"/>
      <c r="CO31" s="218"/>
      <c r="CP31" s="218"/>
      <c r="CQ31" s="218"/>
      <c r="CR31" s="218"/>
      <c r="CS31" s="218"/>
      <c r="CT31" s="218"/>
      <c r="CU31" s="218"/>
      <c r="CV31" s="218"/>
      <c r="CW31" s="218"/>
      <c r="CX31" s="218"/>
      <c r="CY31" s="218"/>
      <c r="CZ31" s="218"/>
      <c r="DA31" s="218"/>
      <c r="DB31" s="218"/>
      <c r="DC31" s="218"/>
      <c r="DD31" s="218"/>
      <c r="DE31" s="218"/>
      <c r="DF31" s="218"/>
      <c r="DG31" s="218"/>
      <c r="DH31" s="218"/>
      <c r="DI31" s="218"/>
      <c r="DJ31" s="218"/>
      <c r="DK31" s="218"/>
      <c r="DL31" s="218"/>
      <c r="DM31" s="218"/>
      <c r="DN31" s="218"/>
      <c r="DO31" s="218"/>
      <c r="DP31" s="218"/>
      <c r="DQ31" s="218"/>
      <c r="DR31" s="218"/>
      <c r="DS31" s="218"/>
      <c r="DT31" s="218"/>
      <c r="DU31" s="218"/>
      <c r="DV31" s="218"/>
      <c r="DW31" s="218"/>
      <c r="DX31" s="218"/>
      <c r="DY31" s="218"/>
      <c r="DZ31" s="218"/>
      <c r="EA31" s="218"/>
      <c r="EB31" s="218"/>
      <c r="EC31" s="218"/>
      <c r="ED31" s="218"/>
      <c r="EE31" s="218"/>
      <c r="EF31" s="218"/>
      <c r="EG31" s="218"/>
      <c r="EH31" s="218"/>
      <c r="EI31" s="218"/>
      <c r="EJ31" s="218"/>
      <c r="EK31" s="218"/>
      <c r="EL31" s="218"/>
      <c r="EM31" s="218"/>
      <c r="EN31" s="218"/>
      <c r="EO31" s="218"/>
      <c r="EP31" s="218"/>
      <c r="EQ31" s="218"/>
      <c r="ER31" s="218"/>
      <c r="ES31" s="218"/>
      <c r="ET31" s="218"/>
      <c r="EU31" s="218"/>
      <c r="EV31" s="218"/>
      <c r="EW31" s="218"/>
      <c r="EX31" s="218"/>
      <c r="EY31" s="218"/>
      <c r="EZ31" s="218"/>
      <c r="FA31" s="218"/>
      <c r="FB31" s="218"/>
      <c r="FC31" s="218"/>
      <c r="FD31" s="218"/>
      <c r="FE31" s="218"/>
      <c r="FF31" s="218"/>
      <c r="FG31" s="218"/>
      <c r="FH31" s="218"/>
      <c r="FI31" s="218"/>
      <c r="FJ31" s="218"/>
      <c r="FK31" s="218"/>
      <c r="FL31" s="218"/>
      <c r="FM31" s="218"/>
      <c r="FN31" s="218"/>
      <c r="FO31" s="218"/>
      <c r="FP31" s="218"/>
      <c r="FQ31" s="218"/>
      <c r="FR31" s="218"/>
      <c r="FS31" s="218"/>
      <c r="FT31" s="218"/>
      <c r="FU31" s="218"/>
      <c r="FV31" s="218"/>
      <c r="FW31" s="218"/>
      <c r="FX31" s="218"/>
      <c r="FY31" s="218"/>
      <c r="FZ31" s="218"/>
      <c r="GA31" s="218"/>
      <c r="GB31" s="218"/>
      <c r="GC31" s="218"/>
      <c r="GD31" s="218"/>
      <c r="GE31" s="218"/>
      <c r="GF31" s="218"/>
      <c r="GG31" s="218"/>
      <c r="GH31" s="218"/>
      <c r="GI31" s="218"/>
      <c r="GJ31" s="218"/>
      <c r="GK31" s="218"/>
      <c r="GL31" s="218"/>
      <c r="GM31" s="218"/>
      <c r="GN31" s="218"/>
      <c r="GO31" s="218"/>
      <c r="GP31" s="218"/>
      <c r="GQ31" s="218"/>
      <c r="GR31" s="218"/>
      <c r="GS31" s="218"/>
      <c r="GT31" s="218"/>
      <c r="GU31" s="218"/>
      <c r="GV31" s="218"/>
      <c r="GW31" s="218"/>
      <c r="GX31" s="218"/>
      <c r="GY31" s="218"/>
      <c r="GZ31" s="218"/>
      <c r="HA31" s="218"/>
      <c r="HB31" s="218"/>
      <c r="HC31" s="218"/>
      <c r="HD31" s="218"/>
      <c r="HE31" s="218"/>
      <c r="HF31" s="218"/>
      <c r="HG31" s="218"/>
      <c r="HH31" s="218"/>
      <c r="HI31" s="218"/>
      <c r="HJ31" s="218"/>
      <c r="HK31" s="218"/>
      <c r="HL31" s="218"/>
      <c r="HM31" s="218"/>
      <c r="HN31" s="218"/>
      <c r="HO31" s="218"/>
      <c r="HP31" s="218"/>
      <c r="HQ31" s="218"/>
      <c r="HR31" s="218"/>
      <c r="HS31" s="218"/>
      <c r="HT31" s="218"/>
      <c r="HU31" s="218"/>
      <c r="HV31" s="218"/>
      <c r="HW31" s="218"/>
      <c r="HX31" s="218"/>
      <c r="HY31" s="218"/>
      <c r="HZ31" s="218"/>
      <c r="IA31" s="218"/>
      <c r="IB31" s="218"/>
      <c r="IC31" s="218"/>
      <c r="ID31" s="218"/>
      <c r="IE31" s="218"/>
      <c r="IF31" s="218"/>
      <c r="IG31" s="218"/>
      <c r="IH31" s="218"/>
      <c r="II31" s="218"/>
      <c r="IJ31" s="218"/>
      <c r="IK31" s="218"/>
      <c r="IL31" s="218"/>
      <c r="IM31" s="218"/>
      <c r="IN31" s="218"/>
      <c r="IO31" s="218"/>
      <c r="IP31" s="218"/>
      <c r="IQ31" s="218"/>
      <c r="IR31" s="218"/>
      <c r="IS31" s="218"/>
      <c r="IT31" s="218"/>
      <c r="IU31" s="218"/>
    </row>
    <row r="32" spans="1:255" x14ac:dyDescent="0.25">
      <c r="A32" s="238">
        <v>2014</v>
      </c>
      <c r="B32" s="239">
        <v>2342</v>
      </c>
      <c r="C32" s="240">
        <f>B32/R32</f>
        <v>0.88012025554302897</v>
      </c>
      <c r="D32" s="239">
        <v>115</v>
      </c>
      <c r="E32" s="240">
        <f>D32/R32</f>
        <v>4.3216835776024053E-2</v>
      </c>
      <c r="F32" s="239">
        <f>B32+D32</f>
        <v>2457</v>
      </c>
      <c r="G32" s="241">
        <f>F32/R32</f>
        <v>0.92333709131905295</v>
      </c>
      <c r="H32" s="239">
        <v>199</v>
      </c>
      <c r="I32" s="240">
        <f>+H32/R32</f>
        <v>7.4783915821119873E-2</v>
      </c>
      <c r="J32" s="239">
        <v>5</v>
      </c>
      <c r="K32" s="240">
        <f>J32/R32</f>
        <v>1.8789928598271326E-3</v>
      </c>
      <c r="L32" s="239">
        <f>H32+J32</f>
        <v>204</v>
      </c>
      <c r="M32" s="241">
        <f>L32/R32</f>
        <v>7.6662908680947009E-2</v>
      </c>
      <c r="N32" s="239">
        <f>B32+H32</f>
        <v>2541</v>
      </c>
      <c r="O32" s="240">
        <f>N32/R32</f>
        <v>0.95490417136414885</v>
      </c>
      <c r="P32" s="239">
        <f>D32+J32</f>
        <v>120</v>
      </c>
      <c r="Q32" s="240">
        <f>P32/R32</f>
        <v>4.5095828635851182E-2</v>
      </c>
      <c r="R32" s="239">
        <f>N32+P32</f>
        <v>2661</v>
      </c>
      <c r="S32" s="242">
        <f>SUM(G32,M32)</f>
        <v>1</v>
      </c>
      <c r="T32" s="218"/>
      <c r="U32" s="218"/>
      <c r="V32" s="218"/>
      <c r="W32" s="218"/>
      <c r="X32" s="218"/>
      <c r="Y32" s="218"/>
      <c r="Z32" s="218"/>
      <c r="AA32" s="218"/>
      <c r="AB32" s="218"/>
      <c r="AC32" s="218"/>
      <c r="AD32" s="218"/>
      <c r="AE32" s="218"/>
      <c r="AF32" s="218"/>
      <c r="AG32" s="218"/>
      <c r="AH32" s="218"/>
      <c r="AI32" s="218"/>
      <c r="AJ32" s="218"/>
      <c r="AK32" s="218"/>
      <c r="AL32" s="218"/>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c r="BJ32" s="218"/>
      <c r="BK32" s="218"/>
      <c r="BL32" s="218"/>
      <c r="BM32" s="218"/>
      <c r="BN32" s="218"/>
      <c r="BO32" s="218"/>
      <c r="BP32" s="218"/>
      <c r="BQ32" s="218"/>
      <c r="BR32" s="218"/>
      <c r="BS32" s="218"/>
      <c r="BT32" s="218"/>
      <c r="BU32" s="218"/>
      <c r="BV32" s="218"/>
      <c r="BW32" s="218"/>
      <c r="BX32" s="218"/>
      <c r="BY32" s="218"/>
      <c r="BZ32" s="218"/>
      <c r="CA32" s="218"/>
      <c r="CB32" s="218"/>
      <c r="CC32" s="218"/>
      <c r="CD32" s="218"/>
      <c r="CE32" s="218"/>
      <c r="CF32" s="218"/>
      <c r="CG32" s="218"/>
      <c r="CH32" s="218"/>
      <c r="CI32" s="218"/>
      <c r="CJ32" s="218"/>
      <c r="CK32" s="218"/>
      <c r="CL32" s="218"/>
      <c r="CM32" s="218"/>
      <c r="CN32" s="218"/>
      <c r="CO32" s="218"/>
      <c r="CP32" s="218"/>
      <c r="CQ32" s="218"/>
      <c r="CR32" s="218"/>
      <c r="CS32" s="218"/>
      <c r="CT32" s="218"/>
      <c r="CU32" s="218"/>
      <c r="CV32" s="218"/>
      <c r="CW32" s="218"/>
      <c r="CX32" s="218"/>
      <c r="CY32" s="218"/>
      <c r="CZ32" s="218"/>
      <c r="DA32" s="218"/>
      <c r="DB32" s="218"/>
      <c r="DC32" s="218"/>
      <c r="DD32" s="218"/>
      <c r="DE32" s="218"/>
      <c r="DF32" s="218"/>
      <c r="DG32" s="218"/>
      <c r="DH32" s="218"/>
      <c r="DI32" s="218"/>
      <c r="DJ32" s="218"/>
      <c r="DK32" s="218"/>
      <c r="DL32" s="218"/>
      <c r="DM32" s="218"/>
      <c r="DN32" s="218"/>
      <c r="DO32" s="218"/>
      <c r="DP32" s="218"/>
      <c r="DQ32" s="218"/>
      <c r="DR32" s="218"/>
      <c r="DS32" s="218"/>
      <c r="DT32" s="218"/>
      <c r="DU32" s="218"/>
      <c r="DV32" s="218"/>
      <c r="DW32" s="218"/>
      <c r="DX32" s="218"/>
      <c r="DY32" s="218"/>
      <c r="DZ32" s="218"/>
      <c r="EA32" s="218"/>
      <c r="EB32" s="218"/>
      <c r="EC32" s="218"/>
      <c r="ED32" s="218"/>
      <c r="EE32" s="218"/>
      <c r="EF32" s="218"/>
      <c r="EG32" s="218"/>
      <c r="EH32" s="218"/>
      <c r="EI32" s="218"/>
      <c r="EJ32" s="218"/>
      <c r="EK32" s="218"/>
      <c r="EL32" s="218"/>
      <c r="EM32" s="218"/>
      <c r="EN32" s="218"/>
      <c r="EO32" s="218"/>
      <c r="EP32" s="218"/>
      <c r="EQ32" s="218"/>
      <c r="ER32" s="218"/>
      <c r="ES32" s="218"/>
      <c r="ET32" s="218"/>
      <c r="EU32" s="218"/>
      <c r="EV32" s="218"/>
      <c r="EW32" s="218"/>
      <c r="EX32" s="218"/>
      <c r="EY32" s="218"/>
      <c r="EZ32" s="218"/>
      <c r="FA32" s="218"/>
      <c r="FB32" s="218"/>
      <c r="FC32" s="218"/>
      <c r="FD32" s="218"/>
      <c r="FE32" s="218"/>
      <c r="FF32" s="218"/>
      <c r="FG32" s="218"/>
      <c r="FH32" s="218"/>
      <c r="FI32" s="218"/>
      <c r="FJ32" s="218"/>
      <c r="FK32" s="218"/>
      <c r="FL32" s="218"/>
      <c r="FM32" s="218"/>
      <c r="FN32" s="218"/>
      <c r="FO32" s="218"/>
      <c r="FP32" s="218"/>
      <c r="FQ32" s="218"/>
      <c r="FR32" s="218"/>
      <c r="FS32" s="218"/>
      <c r="FT32" s="218"/>
      <c r="FU32" s="218"/>
      <c r="FV32" s="218"/>
      <c r="FW32" s="218"/>
      <c r="FX32" s="218"/>
      <c r="FY32" s="218"/>
      <c r="FZ32" s="218"/>
      <c r="GA32" s="218"/>
      <c r="GB32" s="218"/>
      <c r="GC32" s="218"/>
      <c r="GD32" s="218"/>
      <c r="GE32" s="218"/>
      <c r="GF32" s="218"/>
      <c r="GG32" s="218"/>
      <c r="GH32" s="218"/>
      <c r="GI32" s="218"/>
      <c r="GJ32" s="218"/>
      <c r="GK32" s="218"/>
      <c r="GL32" s="218"/>
      <c r="GM32" s="218"/>
      <c r="GN32" s="218"/>
      <c r="GO32" s="218"/>
      <c r="GP32" s="218"/>
      <c r="GQ32" s="218"/>
      <c r="GR32" s="218"/>
      <c r="GS32" s="218"/>
      <c r="GT32" s="218"/>
      <c r="GU32" s="218"/>
      <c r="GV32" s="218"/>
      <c r="GW32" s="218"/>
      <c r="GX32" s="218"/>
      <c r="GY32" s="218"/>
      <c r="GZ32" s="218"/>
      <c r="HA32" s="218"/>
      <c r="HB32" s="218"/>
      <c r="HC32" s="218"/>
      <c r="HD32" s="218"/>
      <c r="HE32" s="218"/>
      <c r="HF32" s="218"/>
      <c r="HG32" s="218"/>
      <c r="HH32" s="218"/>
      <c r="HI32" s="218"/>
      <c r="HJ32" s="218"/>
      <c r="HK32" s="218"/>
      <c r="HL32" s="218"/>
      <c r="HM32" s="218"/>
      <c r="HN32" s="218"/>
      <c r="HO32" s="218"/>
      <c r="HP32" s="218"/>
      <c r="HQ32" s="218"/>
      <c r="HR32" s="218"/>
      <c r="HS32" s="218"/>
      <c r="HT32" s="218"/>
      <c r="HU32" s="218"/>
      <c r="HV32" s="218"/>
      <c r="HW32" s="218"/>
      <c r="HX32" s="218"/>
      <c r="HY32" s="218"/>
      <c r="HZ32" s="218"/>
      <c r="IA32" s="218"/>
      <c r="IB32" s="218"/>
      <c r="IC32" s="218"/>
      <c r="ID32" s="218"/>
      <c r="IE32" s="218"/>
      <c r="IF32" s="218"/>
      <c r="IG32" s="218"/>
      <c r="IH32" s="218"/>
      <c r="II32" s="218"/>
      <c r="IJ32" s="218"/>
      <c r="IK32" s="218"/>
      <c r="IL32" s="218"/>
      <c r="IM32" s="218"/>
      <c r="IN32" s="218"/>
      <c r="IO32" s="218"/>
      <c r="IP32" s="218"/>
      <c r="IQ32" s="218"/>
      <c r="IR32" s="218"/>
      <c r="IS32" s="218"/>
      <c r="IT32" s="218"/>
      <c r="IU32" s="218"/>
    </row>
    <row r="33" spans="1:19" x14ac:dyDescent="0.25">
      <c r="A33" s="374"/>
      <c r="B33" s="375"/>
      <c r="C33" s="367"/>
      <c r="D33" s="375"/>
      <c r="E33" s="367"/>
      <c r="F33" s="375"/>
      <c r="G33" s="376"/>
      <c r="H33" s="375"/>
      <c r="I33" s="367"/>
      <c r="J33" s="375"/>
      <c r="K33" s="367"/>
      <c r="L33" s="375"/>
      <c r="M33" s="376"/>
      <c r="N33" s="375"/>
      <c r="O33" s="367"/>
      <c r="P33" s="375"/>
      <c r="Q33" s="367"/>
      <c r="R33" s="375"/>
      <c r="S33" s="377"/>
    </row>
    <row r="34" spans="1:19" x14ac:dyDescent="0.25">
      <c r="A34" s="238">
        <v>2015</v>
      </c>
      <c r="B34" s="239">
        <v>2238</v>
      </c>
      <c r="C34" s="240">
        <f>B34/R34</f>
        <v>0.88144938952343443</v>
      </c>
      <c r="D34" s="239">
        <v>84</v>
      </c>
      <c r="E34" s="240">
        <f>D34/R34</f>
        <v>3.308389129578574E-2</v>
      </c>
      <c r="F34" s="239">
        <f>B34+D34</f>
        <v>2322</v>
      </c>
      <c r="G34" s="241">
        <f>F34/R34</f>
        <v>0.91453328081922014</v>
      </c>
      <c r="H34" s="239">
        <v>215</v>
      </c>
      <c r="I34" s="240">
        <f>+H34/R34</f>
        <v>8.4679007483261126E-2</v>
      </c>
      <c r="J34" s="239">
        <v>2</v>
      </c>
      <c r="K34" s="240">
        <f>J34/R34</f>
        <v>7.8771169751870812E-4</v>
      </c>
      <c r="L34" s="239">
        <f>H34+J34</f>
        <v>217</v>
      </c>
      <c r="M34" s="241">
        <f>L34/R34</f>
        <v>8.5466719180779832E-2</v>
      </c>
      <c r="N34" s="239">
        <f>B34+H34</f>
        <v>2453</v>
      </c>
      <c r="O34" s="240">
        <f>N34/R34</f>
        <v>0.96612839700669551</v>
      </c>
      <c r="P34" s="239">
        <f>D34+J34</f>
        <v>86</v>
      </c>
      <c r="Q34" s="240">
        <f>P34/R34</f>
        <v>3.3871602993304453E-2</v>
      </c>
      <c r="R34" s="239">
        <f>N34+P34</f>
        <v>2539</v>
      </c>
      <c r="S34" s="242">
        <f>SUM(G34,M34)</f>
        <v>1</v>
      </c>
    </row>
    <row r="35" spans="1:19" x14ac:dyDescent="0.25">
      <c r="A35" s="374"/>
      <c r="B35" s="375"/>
      <c r="C35" s="367"/>
      <c r="D35" s="375"/>
      <c r="E35" s="367"/>
      <c r="F35" s="375"/>
      <c r="G35" s="376"/>
      <c r="H35" s="375"/>
      <c r="I35" s="367"/>
      <c r="J35" s="375"/>
      <c r="K35" s="367"/>
      <c r="L35" s="375"/>
      <c r="M35" s="376"/>
      <c r="N35" s="375"/>
      <c r="O35" s="367"/>
      <c r="P35" s="375"/>
      <c r="Q35" s="367"/>
      <c r="R35" s="375"/>
      <c r="S35" s="377"/>
    </row>
    <row r="36" spans="1:19" x14ac:dyDescent="0.25">
      <c r="A36" s="238">
        <v>2016</v>
      </c>
      <c r="B36" s="239">
        <v>2191</v>
      </c>
      <c r="C36" s="240">
        <f>B36/R36</f>
        <v>0.88956557044254969</v>
      </c>
      <c r="D36" s="239">
        <v>51</v>
      </c>
      <c r="E36" s="240">
        <f>D36/R36</f>
        <v>2.0706455542021926E-2</v>
      </c>
      <c r="F36" s="239">
        <f>B36+D36</f>
        <v>2242</v>
      </c>
      <c r="G36" s="241">
        <f>F36/R36</f>
        <v>0.91027202598457169</v>
      </c>
      <c r="H36" s="239">
        <v>219</v>
      </c>
      <c r="I36" s="240">
        <f>+H36/R36</f>
        <v>8.8915956151035327E-2</v>
      </c>
      <c r="J36" s="239">
        <v>2</v>
      </c>
      <c r="K36" s="240">
        <f>J36/R36</f>
        <v>8.1201786439301664E-4</v>
      </c>
      <c r="L36" s="239">
        <f>H36+J36</f>
        <v>221</v>
      </c>
      <c r="M36" s="241">
        <f>L36/R36</f>
        <v>8.9727974015428341E-2</v>
      </c>
      <c r="N36" s="239">
        <f>B36+H36</f>
        <v>2410</v>
      </c>
      <c r="O36" s="240">
        <f>N36/R36</f>
        <v>0.978481526593585</v>
      </c>
      <c r="P36" s="239">
        <f>D36+J36</f>
        <v>53</v>
      </c>
      <c r="Q36" s="240">
        <f>P36/R36</f>
        <v>2.151847340641494E-2</v>
      </c>
      <c r="R36" s="239">
        <f>N36+P36</f>
        <v>2463</v>
      </c>
      <c r="S36" s="242">
        <f>SUM(G36,M36)</f>
        <v>1</v>
      </c>
    </row>
  </sheetData>
  <phoneticPr fontId="16" type="noConversion"/>
  <printOptions horizontalCentered="1" verticalCentered="1"/>
  <pageMargins left="0.75" right="0.75" top="1" bottom="1" header="0.5" footer="0.5"/>
  <pageSetup scale="82" orientation="landscape" r:id="rId1"/>
  <headerFooter alignWithMargins="0">
    <oddFooter>&amp;RSource: Office of Institutional Research</oddFooter>
  </headerFooter>
  <webPublishItems count="1">
    <webPublishItem id="7177" divId="2001_2002 FACT BOOK FINAL COPY_7177" sourceType="sheet" destinationFile="C:\Documents and Settings\mkirkpatrick\My Documents\2004-2005 FACT BOOK\2004-2005 fact book WEB PAGES\04-05fallandspringINandOUTOFSTATEresidencyFALLANDSPRINGUPDATED.htm"/>
  </webPublishItem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0"/>
  <dimension ref="A1:P107"/>
  <sheetViews>
    <sheetView workbookViewId="0">
      <selection sqref="A1:O1"/>
    </sheetView>
  </sheetViews>
  <sheetFormatPr defaultRowHeight="13.2" x14ac:dyDescent="0.25"/>
  <cols>
    <col min="1" max="1" width="66" customWidth="1"/>
    <col min="2" max="10" width="15.44140625" hidden="1" customWidth="1"/>
    <col min="11" max="50" width="15.5546875" customWidth="1"/>
  </cols>
  <sheetData>
    <row r="1" spans="1:15" ht="19.2" x14ac:dyDescent="0.35">
      <c r="A1" s="2174" t="s">
        <v>44</v>
      </c>
      <c r="B1" s="2174"/>
      <c r="C1" s="2174"/>
      <c r="D1" s="2174"/>
      <c r="E1" s="2174"/>
      <c r="F1" s="2174"/>
      <c r="G1" s="2174"/>
      <c r="H1" s="2174"/>
      <c r="I1" s="2174"/>
      <c r="J1" s="2174"/>
      <c r="K1" s="2174"/>
      <c r="L1" s="2174"/>
      <c r="M1" s="2174"/>
      <c r="N1" s="2174"/>
      <c r="O1" s="2174"/>
    </row>
    <row r="2" spans="1:15" ht="19.5" customHeight="1" thickBot="1" x14ac:dyDescent="0.4">
      <c r="A2" s="2210" t="s">
        <v>511</v>
      </c>
      <c r="B2" s="2210"/>
      <c r="C2" s="2210"/>
      <c r="D2" s="2210"/>
      <c r="E2" s="2210"/>
      <c r="F2" s="2210"/>
      <c r="G2" s="2210"/>
      <c r="H2" s="2210"/>
      <c r="I2" s="2210"/>
      <c r="J2" s="2210"/>
      <c r="K2" s="2210"/>
      <c r="L2" s="2210"/>
      <c r="M2" s="2210"/>
      <c r="N2" s="2210"/>
      <c r="O2" s="2210"/>
    </row>
    <row r="3" spans="1:15" ht="20.25" customHeight="1" thickBot="1" x14ac:dyDescent="0.35">
      <c r="A3" s="2134" t="s">
        <v>409</v>
      </c>
      <c r="B3" s="2135"/>
      <c r="C3" s="2135"/>
      <c r="D3" s="2135"/>
      <c r="E3" s="2135"/>
      <c r="F3" s="2135"/>
      <c r="G3" s="2135"/>
      <c r="H3" s="2135"/>
      <c r="I3" s="2135"/>
      <c r="J3" s="2135"/>
      <c r="K3" s="2135"/>
      <c r="L3" s="2135"/>
      <c r="M3" s="2135"/>
      <c r="N3" s="2135"/>
      <c r="O3" s="2136"/>
    </row>
    <row r="4" spans="1:15" ht="20.25" customHeight="1" x14ac:dyDescent="0.3">
      <c r="A4" s="549" t="s">
        <v>410</v>
      </c>
      <c r="B4" s="1372" t="s">
        <v>795</v>
      </c>
      <c r="C4" s="1372" t="s">
        <v>652</v>
      </c>
      <c r="D4" s="1372" t="s">
        <v>1359</v>
      </c>
      <c r="E4" s="1372" t="s">
        <v>1105</v>
      </c>
      <c r="F4" s="1193" t="s">
        <v>372</v>
      </c>
      <c r="G4" s="1193" t="s">
        <v>615</v>
      </c>
      <c r="H4" s="1193" t="s">
        <v>1418</v>
      </c>
      <c r="I4" s="1193" t="s">
        <v>1446</v>
      </c>
      <c r="J4" s="1193" t="s">
        <v>1447</v>
      </c>
      <c r="K4" s="1193" t="s">
        <v>1438</v>
      </c>
      <c r="L4" s="1193" t="s">
        <v>1549</v>
      </c>
      <c r="M4" s="1193" t="s">
        <v>1611</v>
      </c>
      <c r="N4" s="2051" t="s">
        <v>1639</v>
      </c>
      <c r="O4" s="2046" t="s">
        <v>1721</v>
      </c>
    </row>
    <row r="5" spans="1:15" ht="18" customHeight="1" x14ac:dyDescent="0.3">
      <c r="A5" s="551" t="s">
        <v>411</v>
      </c>
      <c r="B5" s="1360"/>
      <c r="C5" s="1360"/>
      <c r="D5" s="1360"/>
      <c r="E5" s="1360"/>
      <c r="F5" s="664"/>
      <c r="G5" s="664"/>
      <c r="H5" s="664"/>
      <c r="I5" s="664"/>
      <c r="J5" s="664"/>
      <c r="K5" s="664"/>
      <c r="L5" s="664"/>
      <c r="M5" s="664"/>
      <c r="N5" s="2052"/>
      <c r="O5" s="2047"/>
    </row>
    <row r="6" spans="1:15" ht="18" customHeight="1" x14ac:dyDescent="0.3">
      <c r="A6" s="552" t="s">
        <v>1110</v>
      </c>
      <c r="B6" s="1565">
        <v>11</v>
      </c>
      <c r="C6" s="1565">
        <v>10</v>
      </c>
      <c r="D6" s="1565">
        <v>10</v>
      </c>
      <c r="E6" s="1565">
        <v>8</v>
      </c>
      <c r="F6" s="1565">
        <v>2</v>
      </c>
      <c r="G6" s="1565">
        <v>12</v>
      </c>
      <c r="H6" s="1565">
        <v>14</v>
      </c>
      <c r="I6" s="1565">
        <v>9</v>
      </c>
      <c r="J6" s="1565">
        <v>16</v>
      </c>
      <c r="K6" s="1565">
        <v>6</v>
      </c>
      <c r="L6" s="1565">
        <v>14</v>
      </c>
      <c r="M6" s="1565">
        <v>16</v>
      </c>
      <c r="N6" s="1565">
        <v>9</v>
      </c>
      <c r="O6" s="2048">
        <v>9</v>
      </c>
    </row>
    <row r="7" spans="1:15" ht="18" customHeight="1" x14ac:dyDescent="0.3">
      <c r="A7" s="552" t="s">
        <v>522</v>
      </c>
      <c r="B7" s="1565">
        <v>0</v>
      </c>
      <c r="C7" s="1565">
        <v>0</v>
      </c>
      <c r="D7" s="1565">
        <v>0</v>
      </c>
      <c r="E7" s="1565">
        <v>1</v>
      </c>
      <c r="F7" s="1565">
        <v>0</v>
      </c>
      <c r="G7" s="1565">
        <v>1</v>
      </c>
      <c r="H7" s="1565">
        <v>1</v>
      </c>
      <c r="I7" s="1565">
        <v>0</v>
      </c>
      <c r="J7" s="1565">
        <v>3</v>
      </c>
      <c r="K7" s="1565">
        <v>0</v>
      </c>
      <c r="L7" s="1565">
        <v>1</v>
      </c>
      <c r="M7" s="1565">
        <v>2</v>
      </c>
      <c r="N7" s="1565">
        <v>1</v>
      </c>
      <c r="O7" s="2048">
        <v>1</v>
      </c>
    </row>
    <row r="8" spans="1:15" ht="18" customHeight="1" x14ac:dyDescent="0.3">
      <c r="A8" s="552" t="s">
        <v>755</v>
      </c>
      <c r="B8" s="1373"/>
      <c r="C8" s="1373"/>
      <c r="D8" s="1373"/>
      <c r="E8" s="1373"/>
      <c r="F8" s="887">
        <v>0</v>
      </c>
      <c r="G8" s="887">
        <v>0</v>
      </c>
      <c r="H8" s="887">
        <v>1</v>
      </c>
      <c r="I8" s="887">
        <v>0</v>
      </c>
      <c r="J8" s="887">
        <v>0</v>
      </c>
      <c r="K8" s="887">
        <v>0</v>
      </c>
      <c r="L8" s="887">
        <v>0</v>
      </c>
      <c r="M8" s="887">
        <v>0</v>
      </c>
      <c r="N8" s="2053">
        <v>0</v>
      </c>
      <c r="O8" s="2049">
        <v>0</v>
      </c>
    </row>
    <row r="9" spans="1:15" ht="18" customHeight="1" x14ac:dyDescent="0.3">
      <c r="A9" s="553" t="s">
        <v>1015</v>
      </c>
      <c r="B9" s="1296">
        <f>SUM(B6:B7)</f>
        <v>11</v>
      </c>
      <c r="C9" s="1296">
        <f>SUM(C6:C7)</f>
        <v>10</v>
      </c>
      <c r="D9" s="1296">
        <f>SUM(D6:D7)</f>
        <v>10</v>
      </c>
      <c r="E9" s="1296">
        <f>SUM(E6:E7)</f>
        <v>9</v>
      </c>
      <c r="F9" s="668">
        <f t="shared" ref="F9:L9" si="0">SUM(F6:F8)</f>
        <v>2</v>
      </c>
      <c r="G9" s="668">
        <f t="shared" si="0"/>
        <v>13</v>
      </c>
      <c r="H9" s="668">
        <f t="shared" si="0"/>
        <v>16</v>
      </c>
      <c r="I9" s="668">
        <f t="shared" si="0"/>
        <v>9</v>
      </c>
      <c r="J9" s="668">
        <f t="shared" si="0"/>
        <v>19</v>
      </c>
      <c r="K9" s="668">
        <f t="shared" si="0"/>
        <v>6</v>
      </c>
      <c r="L9" s="668">
        <f t="shared" si="0"/>
        <v>15</v>
      </c>
      <c r="M9" s="668">
        <f>SUM(M6:M8)</f>
        <v>18</v>
      </c>
      <c r="N9" s="2054">
        <f>SUM(N6:N8)</f>
        <v>10</v>
      </c>
      <c r="O9" s="2050">
        <f>SUM(O6:O8)</f>
        <v>10</v>
      </c>
    </row>
    <row r="10" spans="1:15" ht="18" customHeight="1" x14ac:dyDescent="0.3">
      <c r="A10" s="551" t="s">
        <v>412</v>
      </c>
      <c r="B10" s="1360"/>
      <c r="C10" s="1360"/>
      <c r="D10" s="1360"/>
      <c r="E10" s="1360"/>
      <c r="F10" s="664"/>
      <c r="G10" s="664"/>
      <c r="H10" s="664"/>
      <c r="I10" s="664"/>
      <c r="J10" s="664"/>
      <c r="K10" s="664"/>
      <c r="L10" s="664"/>
      <c r="M10" s="664"/>
      <c r="N10" s="2052"/>
      <c r="O10" s="2047"/>
    </row>
    <row r="11" spans="1:15" ht="18" hidden="1" customHeight="1" x14ac:dyDescent="0.3">
      <c r="A11" s="552" t="s">
        <v>1136</v>
      </c>
      <c r="B11" s="1565">
        <v>6</v>
      </c>
      <c r="C11" s="1565">
        <v>0</v>
      </c>
      <c r="D11" s="1565">
        <v>1</v>
      </c>
      <c r="E11" s="1565">
        <v>2</v>
      </c>
      <c r="F11" s="1565">
        <v>0</v>
      </c>
      <c r="G11" s="1565">
        <v>1</v>
      </c>
      <c r="H11" s="1565">
        <v>0</v>
      </c>
      <c r="I11" s="1565">
        <v>0</v>
      </c>
      <c r="J11" s="1565">
        <v>0</v>
      </c>
      <c r="K11" s="1565">
        <v>0</v>
      </c>
      <c r="L11" s="1565">
        <v>0</v>
      </c>
      <c r="M11" s="1565">
        <v>0</v>
      </c>
      <c r="N11" s="1565">
        <v>0</v>
      </c>
      <c r="O11" s="2048">
        <v>0</v>
      </c>
    </row>
    <row r="12" spans="1:15" ht="18" customHeight="1" x14ac:dyDescent="0.3">
      <c r="A12" s="554" t="s">
        <v>1140</v>
      </c>
      <c r="B12" s="1565">
        <v>3</v>
      </c>
      <c r="C12" s="1565">
        <v>3</v>
      </c>
      <c r="D12" s="1565">
        <v>4</v>
      </c>
      <c r="E12" s="1565">
        <v>6</v>
      </c>
      <c r="F12" s="1565">
        <v>3</v>
      </c>
      <c r="G12" s="1565">
        <v>2</v>
      </c>
      <c r="H12" s="1565">
        <v>4</v>
      </c>
      <c r="I12" s="1565">
        <v>3</v>
      </c>
      <c r="J12" s="1565">
        <v>1</v>
      </c>
      <c r="K12" s="1565">
        <v>3</v>
      </c>
      <c r="L12" s="1565">
        <v>3</v>
      </c>
      <c r="M12" s="1565">
        <v>1</v>
      </c>
      <c r="N12" s="1565">
        <v>1</v>
      </c>
      <c r="O12" s="2048">
        <v>9</v>
      </c>
    </row>
    <row r="13" spans="1:15" ht="18" customHeight="1" x14ac:dyDescent="0.3">
      <c r="A13" s="552" t="s">
        <v>1137</v>
      </c>
      <c r="B13" s="1565">
        <v>6</v>
      </c>
      <c r="C13" s="1565">
        <v>7</v>
      </c>
      <c r="D13" s="1565">
        <v>2</v>
      </c>
      <c r="E13" s="1565">
        <v>4</v>
      </c>
      <c r="F13" s="1565">
        <v>1</v>
      </c>
      <c r="G13" s="1565">
        <v>0</v>
      </c>
      <c r="H13" s="1565">
        <v>2</v>
      </c>
      <c r="I13" s="1565">
        <v>0</v>
      </c>
      <c r="J13" s="1565">
        <v>0</v>
      </c>
      <c r="K13" s="1565">
        <v>0</v>
      </c>
      <c r="L13" s="1565">
        <v>0</v>
      </c>
      <c r="M13" s="1565">
        <v>0</v>
      </c>
      <c r="N13" s="1565">
        <v>0</v>
      </c>
      <c r="O13" s="2048">
        <v>0</v>
      </c>
    </row>
    <row r="14" spans="1:15" ht="18" customHeight="1" x14ac:dyDescent="0.3">
      <c r="A14" s="552" t="s">
        <v>257</v>
      </c>
      <c r="B14" s="1565">
        <v>0</v>
      </c>
      <c r="C14" s="1565">
        <v>0</v>
      </c>
      <c r="D14" s="1565">
        <v>0</v>
      </c>
      <c r="E14" s="1565">
        <v>0</v>
      </c>
      <c r="F14" s="1565">
        <v>2</v>
      </c>
      <c r="G14" s="1565">
        <v>7</v>
      </c>
      <c r="H14" s="1565">
        <v>3</v>
      </c>
      <c r="I14" s="1565">
        <v>3</v>
      </c>
      <c r="J14" s="1565">
        <v>4</v>
      </c>
      <c r="K14" s="1565">
        <v>4</v>
      </c>
      <c r="L14" s="1565">
        <v>4</v>
      </c>
      <c r="M14" s="1565">
        <v>6</v>
      </c>
      <c r="N14" s="1565">
        <v>2</v>
      </c>
      <c r="O14" s="2048">
        <v>6</v>
      </c>
    </row>
    <row r="15" spans="1:15" ht="18" customHeight="1" x14ac:dyDescent="0.3">
      <c r="A15" s="555" t="s">
        <v>83</v>
      </c>
      <c r="B15" s="1565">
        <v>4</v>
      </c>
      <c r="C15" s="1565">
        <v>5</v>
      </c>
      <c r="D15" s="1565">
        <v>2</v>
      </c>
      <c r="E15" s="1565">
        <v>1</v>
      </c>
      <c r="F15" s="1565">
        <v>3</v>
      </c>
      <c r="G15" s="1565">
        <v>0</v>
      </c>
      <c r="H15" s="1565">
        <v>1</v>
      </c>
      <c r="I15" s="1565">
        <v>4</v>
      </c>
      <c r="J15" s="1565">
        <v>2</v>
      </c>
      <c r="K15" s="1565">
        <v>1</v>
      </c>
      <c r="L15" s="1565">
        <v>0</v>
      </c>
      <c r="M15" s="1565">
        <v>3</v>
      </c>
      <c r="N15" s="1565">
        <v>0</v>
      </c>
      <c r="O15" s="2048">
        <v>0</v>
      </c>
    </row>
    <row r="16" spans="1:15" ht="18" customHeight="1" x14ac:dyDescent="0.3">
      <c r="A16" s="552" t="s">
        <v>1141</v>
      </c>
      <c r="B16" s="1565">
        <v>4</v>
      </c>
      <c r="C16" s="1565">
        <v>7</v>
      </c>
      <c r="D16" s="1565">
        <v>1</v>
      </c>
      <c r="E16" s="1565">
        <v>1</v>
      </c>
      <c r="F16" s="1565">
        <v>3</v>
      </c>
      <c r="G16" s="1565">
        <v>5</v>
      </c>
      <c r="H16" s="1565">
        <v>6</v>
      </c>
      <c r="I16" s="1565">
        <v>2</v>
      </c>
      <c r="J16" s="1565">
        <v>3</v>
      </c>
      <c r="K16" s="1565">
        <v>1</v>
      </c>
      <c r="L16" s="1565">
        <v>6</v>
      </c>
      <c r="M16" s="1565">
        <v>1</v>
      </c>
      <c r="N16" s="1565">
        <v>3</v>
      </c>
      <c r="O16" s="2048">
        <v>4</v>
      </c>
    </row>
    <row r="17" spans="1:15" ht="18" customHeight="1" x14ac:dyDescent="0.3">
      <c r="A17" s="553" t="s">
        <v>1015</v>
      </c>
      <c r="B17" s="1296">
        <f t="shared" ref="B17:I17" si="1">SUM(B11:B16)</f>
        <v>23</v>
      </c>
      <c r="C17" s="1296">
        <f t="shared" si="1"/>
        <v>22</v>
      </c>
      <c r="D17" s="1296">
        <f t="shared" si="1"/>
        <v>10</v>
      </c>
      <c r="E17" s="1296">
        <f t="shared" si="1"/>
        <v>14</v>
      </c>
      <c r="F17" s="668">
        <f t="shared" si="1"/>
        <v>12</v>
      </c>
      <c r="G17" s="668">
        <f t="shared" si="1"/>
        <v>15</v>
      </c>
      <c r="H17" s="668">
        <f t="shared" si="1"/>
        <v>16</v>
      </c>
      <c r="I17" s="668">
        <f t="shared" si="1"/>
        <v>12</v>
      </c>
      <c r="J17" s="668">
        <f t="shared" ref="J17:O17" si="2">SUM(J11:J16)</f>
        <v>10</v>
      </c>
      <c r="K17" s="668">
        <f t="shared" si="2"/>
        <v>9</v>
      </c>
      <c r="L17" s="668">
        <f t="shared" si="2"/>
        <v>13</v>
      </c>
      <c r="M17" s="668">
        <f t="shared" si="2"/>
        <v>11</v>
      </c>
      <c r="N17" s="2054">
        <f t="shared" si="2"/>
        <v>6</v>
      </c>
      <c r="O17" s="2050">
        <f t="shared" si="2"/>
        <v>19</v>
      </c>
    </row>
    <row r="18" spans="1:15" ht="18" customHeight="1" x14ac:dyDescent="0.3">
      <c r="A18" s="551" t="s">
        <v>413</v>
      </c>
      <c r="B18" s="1360"/>
      <c r="C18" s="1360"/>
      <c r="D18" s="1360"/>
      <c r="E18" s="1360"/>
      <c r="F18" s="664"/>
      <c r="G18" s="664"/>
      <c r="H18" s="664"/>
      <c r="I18" s="664"/>
      <c r="J18" s="664"/>
      <c r="K18" s="664"/>
      <c r="L18" s="664"/>
      <c r="M18" s="664"/>
      <c r="N18" s="2052"/>
      <c r="O18" s="2047"/>
    </row>
    <row r="19" spans="1:15" ht="18" customHeight="1" x14ac:dyDescent="0.3">
      <c r="A19" s="552" t="s">
        <v>1776</v>
      </c>
      <c r="B19" s="1565">
        <v>0</v>
      </c>
      <c r="C19" s="1565">
        <v>0</v>
      </c>
      <c r="D19" s="1565">
        <v>0</v>
      </c>
      <c r="E19" s="1565">
        <v>0</v>
      </c>
      <c r="F19" s="1565">
        <v>0</v>
      </c>
      <c r="G19" s="1565">
        <v>0</v>
      </c>
      <c r="H19" s="1565">
        <v>0</v>
      </c>
      <c r="I19" s="1565">
        <v>0</v>
      </c>
      <c r="J19" s="1565">
        <v>0</v>
      </c>
      <c r="K19" s="1565">
        <v>0</v>
      </c>
      <c r="L19" s="1565">
        <v>0</v>
      </c>
      <c r="M19" s="1565">
        <v>0</v>
      </c>
      <c r="N19" s="1565">
        <v>0</v>
      </c>
      <c r="O19" s="2048">
        <v>1</v>
      </c>
    </row>
    <row r="20" spans="1:15" ht="18" customHeight="1" x14ac:dyDescent="0.3">
      <c r="A20" s="552" t="s">
        <v>1050</v>
      </c>
      <c r="B20" s="1565">
        <v>29</v>
      </c>
      <c r="C20" s="1565">
        <v>18</v>
      </c>
      <c r="D20" s="1565">
        <v>22</v>
      </c>
      <c r="E20" s="1565">
        <v>20</v>
      </c>
      <c r="F20" s="1565">
        <v>48</v>
      </c>
      <c r="G20" s="1565">
        <v>24</v>
      </c>
      <c r="H20" s="1565">
        <v>31</v>
      </c>
      <c r="I20" s="1565">
        <v>32</v>
      </c>
      <c r="J20" s="1565">
        <v>40</v>
      </c>
      <c r="K20" s="1565">
        <v>49</v>
      </c>
      <c r="L20" s="1565">
        <v>43</v>
      </c>
      <c r="M20" s="1565">
        <v>48</v>
      </c>
      <c r="N20" s="1565">
        <v>49</v>
      </c>
      <c r="O20" s="2048">
        <v>36</v>
      </c>
    </row>
    <row r="21" spans="1:15" ht="18" customHeight="1" x14ac:dyDescent="0.3">
      <c r="A21" s="552" t="s">
        <v>1369</v>
      </c>
      <c r="B21" s="1565">
        <v>1</v>
      </c>
      <c r="C21" s="1565">
        <v>1</v>
      </c>
      <c r="D21" s="1565">
        <v>8</v>
      </c>
      <c r="E21" s="1565">
        <v>8</v>
      </c>
      <c r="F21" s="1565">
        <v>9</v>
      </c>
      <c r="G21" s="1565">
        <v>12</v>
      </c>
      <c r="H21" s="1565">
        <v>16</v>
      </c>
      <c r="I21" s="1565">
        <v>19</v>
      </c>
      <c r="J21" s="1565">
        <v>8</v>
      </c>
      <c r="K21" s="1565">
        <v>19</v>
      </c>
      <c r="L21" s="1565">
        <v>11</v>
      </c>
      <c r="M21" s="1565">
        <v>21</v>
      </c>
      <c r="N21" s="1565">
        <v>14</v>
      </c>
      <c r="O21" s="2048">
        <v>16</v>
      </c>
    </row>
    <row r="22" spans="1:15" ht="18" customHeight="1" x14ac:dyDescent="0.3">
      <c r="A22" s="553" t="s">
        <v>1015</v>
      </c>
      <c r="B22" s="1296">
        <f>SUM(B19:B21)</f>
        <v>30</v>
      </c>
      <c r="C22" s="1296">
        <f t="shared" ref="C22:O22" si="3">SUM(C19:C21)</f>
        <v>19</v>
      </c>
      <c r="D22" s="1296">
        <f t="shared" si="3"/>
        <v>30</v>
      </c>
      <c r="E22" s="1296">
        <f t="shared" si="3"/>
        <v>28</v>
      </c>
      <c r="F22" s="1296">
        <f t="shared" si="3"/>
        <v>57</v>
      </c>
      <c r="G22" s="1296">
        <f t="shared" si="3"/>
        <v>36</v>
      </c>
      <c r="H22" s="1296">
        <f t="shared" si="3"/>
        <v>47</v>
      </c>
      <c r="I22" s="1296">
        <f t="shared" si="3"/>
        <v>51</v>
      </c>
      <c r="J22" s="1296">
        <f t="shared" si="3"/>
        <v>48</v>
      </c>
      <c r="K22" s="1296">
        <f t="shared" si="3"/>
        <v>68</v>
      </c>
      <c r="L22" s="1296">
        <f t="shared" si="3"/>
        <v>54</v>
      </c>
      <c r="M22" s="1296">
        <f t="shared" si="3"/>
        <v>69</v>
      </c>
      <c r="N22" s="1296">
        <f t="shared" si="3"/>
        <v>63</v>
      </c>
      <c r="O22" s="2048">
        <f t="shared" si="3"/>
        <v>53</v>
      </c>
    </row>
    <row r="23" spans="1:15" ht="18" customHeight="1" x14ac:dyDescent="0.3">
      <c r="A23" s="551" t="s">
        <v>414</v>
      </c>
      <c r="B23" s="1360"/>
      <c r="C23" s="1360"/>
      <c r="D23" s="1360"/>
      <c r="E23" s="1360"/>
      <c r="F23" s="664"/>
      <c r="G23" s="664"/>
      <c r="H23" s="664"/>
      <c r="I23" s="664"/>
      <c r="J23" s="664"/>
      <c r="K23" s="664"/>
      <c r="L23" s="664"/>
      <c r="M23" s="664"/>
      <c r="N23" s="2052"/>
      <c r="O23" s="2047"/>
    </row>
    <row r="24" spans="1:15" ht="18" customHeight="1" x14ac:dyDescent="0.3">
      <c r="A24" s="552" t="s">
        <v>1111</v>
      </c>
      <c r="B24" s="1565">
        <v>3</v>
      </c>
      <c r="C24" s="1565">
        <v>2</v>
      </c>
      <c r="D24" s="1565">
        <v>5</v>
      </c>
      <c r="E24" s="1565">
        <v>10</v>
      </c>
      <c r="F24" s="1565">
        <v>9</v>
      </c>
      <c r="G24" s="1565">
        <v>7</v>
      </c>
      <c r="H24" s="1565">
        <v>11</v>
      </c>
      <c r="I24" s="1565">
        <v>12</v>
      </c>
      <c r="J24" s="1565">
        <v>6</v>
      </c>
      <c r="K24" s="1565">
        <v>8</v>
      </c>
      <c r="L24" s="1565">
        <v>7</v>
      </c>
      <c r="M24" s="1565">
        <v>14</v>
      </c>
      <c r="N24" s="1565">
        <v>11</v>
      </c>
      <c r="O24" s="2048">
        <v>5</v>
      </c>
    </row>
    <row r="25" spans="1:15" ht="18" customHeight="1" x14ac:dyDescent="0.3">
      <c r="A25" s="552" t="s">
        <v>1113</v>
      </c>
      <c r="B25" s="1565">
        <v>5</v>
      </c>
      <c r="C25" s="1565">
        <v>0</v>
      </c>
      <c r="D25" s="1565">
        <v>6</v>
      </c>
      <c r="E25" s="1565">
        <v>4</v>
      </c>
      <c r="F25" s="1565">
        <v>3</v>
      </c>
      <c r="G25" s="1565">
        <v>1</v>
      </c>
      <c r="H25" s="1565">
        <v>1</v>
      </c>
      <c r="I25" s="1565">
        <v>1</v>
      </c>
      <c r="J25" s="1565">
        <v>4</v>
      </c>
      <c r="K25" s="1565">
        <v>3</v>
      </c>
      <c r="L25" s="1565">
        <v>4</v>
      </c>
      <c r="M25" s="1565">
        <v>5</v>
      </c>
      <c r="N25" s="1565">
        <v>3</v>
      </c>
      <c r="O25" s="2048">
        <v>4</v>
      </c>
    </row>
    <row r="26" spans="1:15" ht="18" customHeight="1" x14ac:dyDescent="0.3">
      <c r="A26" s="553" t="s">
        <v>1015</v>
      </c>
      <c r="B26" s="1296">
        <f t="shared" ref="B26:I26" si="4">SUM(B24:B25)</f>
        <v>8</v>
      </c>
      <c r="C26" s="1296">
        <f t="shared" si="4"/>
        <v>2</v>
      </c>
      <c r="D26" s="1296">
        <f t="shared" si="4"/>
        <v>11</v>
      </c>
      <c r="E26" s="1296">
        <f t="shared" si="4"/>
        <v>14</v>
      </c>
      <c r="F26" s="668">
        <f t="shared" si="4"/>
        <v>12</v>
      </c>
      <c r="G26" s="668">
        <f t="shared" si="4"/>
        <v>8</v>
      </c>
      <c r="H26" s="668">
        <f t="shared" si="4"/>
        <v>12</v>
      </c>
      <c r="I26" s="668">
        <f t="shared" si="4"/>
        <v>13</v>
      </c>
      <c r="J26" s="668">
        <f t="shared" ref="J26:O26" si="5">SUM(J24:J25)</f>
        <v>10</v>
      </c>
      <c r="K26" s="668">
        <f t="shared" si="5"/>
        <v>11</v>
      </c>
      <c r="L26" s="668">
        <f t="shared" si="5"/>
        <v>11</v>
      </c>
      <c r="M26" s="668">
        <f t="shared" si="5"/>
        <v>19</v>
      </c>
      <c r="N26" s="2054">
        <f t="shared" si="5"/>
        <v>14</v>
      </c>
      <c r="O26" s="2050">
        <f t="shared" si="5"/>
        <v>9</v>
      </c>
    </row>
    <row r="27" spans="1:15" ht="18" customHeight="1" thickBot="1" x14ac:dyDescent="0.35">
      <c r="A27" s="556" t="s">
        <v>415</v>
      </c>
      <c r="B27" s="545">
        <f t="shared" ref="B27:I27" si="6">+B26+B22+B17+B9</f>
        <v>72</v>
      </c>
      <c r="C27" s="545">
        <f t="shared" si="6"/>
        <v>53</v>
      </c>
      <c r="D27" s="545">
        <f t="shared" si="6"/>
        <v>61</v>
      </c>
      <c r="E27" s="545">
        <f t="shared" si="6"/>
        <v>65</v>
      </c>
      <c r="F27" s="581">
        <f t="shared" si="6"/>
        <v>83</v>
      </c>
      <c r="G27" s="581">
        <f t="shared" si="6"/>
        <v>72</v>
      </c>
      <c r="H27" s="581">
        <f t="shared" si="6"/>
        <v>91</v>
      </c>
      <c r="I27" s="581">
        <f t="shared" si="6"/>
        <v>85</v>
      </c>
      <c r="J27" s="581">
        <f t="shared" ref="J27:O27" si="7">+J26+J22+J17+J9</f>
        <v>87</v>
      </c>
      <c r="K27" s="581">
        <f t="shared" si="7"/>
        <v>94</v>
      </c>
      <c r="L27" s="581">
        <f t="shared" si="7"/>
        <v>93</v>
      </c>
      <c r="M27" s="581">
        <f t="shared" si="7"/>
        <v>117</v>
      </c>
      <c r="N27" s="581">
        <f t="shared" si="7"/>
        <v>93</v>
      </c>
      <c r="O27" s="2067">
        <f t="shared" si="7"/>
        <v>91</v>
      </c>
    </row>
    <row r="28" spans="1:15" ht="20.25" customHeight="1" thickBot="1" x14ac:dyDescent="0.35">
      <c r="A28" s="2134" t="s">
        <v>416</v>
      </c>
      <c r="B28" s="2135"/>
      <c r="C28" s="2135"/>
      <c r="D28" s="2135"/>
      <c r="E28" s="2135"/>
      <c r="F28" s="2135"/>
      <c r="G28" s="2135"/>
      <c r="H28" s="2135"/>
      <c r="I28" s="2135"/>
      <c r="J28" s="2135"/>
      <c r="K28" s="2135"/>
      <c r="L28" s="2135"/>
      <c r="M28" s="2135"/>
      <c r="N28" s="2135"/>
      <c r="O28" s="2136"/>
    </row>
    <row r="29" spans="1:15" ht="20.25" customHeight="1" x14ac:dyDescent="0.3">
      <c r="A29" s="549" t="s">
        <v>410</v>
      </c>
      <c r="B29" s="2069" t="str">
        <f>+B4</f>
        <v>2000-2001</v>
      </c>
      <c r="C29" s="2001" t="str">
        <f>+C4</f>
        <v>2001-2002</v>
      </c>
      <c r="D29" s="2001" t="str">
        <f>+D4</f>
        <v>2002-2003</v>
      </c>
      <c r="E29" s="2001" t="str">
        <f>+E4</f>
        <v>2003-2004</v>
      </c>
      <c r="F29" s="2051" t="s">
        <v>372</v>
      </c>
      <c r="G29" s="2051" t="s">
        <v>615</v>
      </c>
      <c r="H29" s="2051" t="s">
        <v>1418</v>
      </c>
      <c r="I29" s="2051" t="s">
        <v>1446</v>
      </c>
      <c r="J29" s="2051" t="s">
        <v>1447</v>
      </c>
      <c r="K29" s="2051" t="s">
        <v>1438</v>
      </c>
      <c r="L29" s="2051" t="s">
        <v>1549</v>
      </c>
      <c r="M29" s="2051" t="s">
        <v>1611</v>
      </c>
      <c r="N29" s="2051" t="s">
        <v>1639</v>
      </c>
      <c r="O29" s="1524" t="str">
        <f>+O4</f>
        <v>2015-2016</v>
      </c>
    </row>
    <row r="30" spans="1:15" ht="18" customHeight="1" x14ac:dyDescent="0.3">
      <c r="A30" s="551" t="s">
        <v>417</v>
      </c>
      <c r="B30" s="1360"/>
      <c r="C30" s="1360"/>
      <c r="D30" s="1360"/>
      <c r="E30" s="1360"/>
      <c r="F30" s="664"/>
      <c r="G30" s="664"/>
      <c r="H30" s="664"/>
      <c r="I30" s="664"/>
      <c r="J30" s="664"/>
      <c r="K30" s="664"/>
      <c r="L30" s="664"/>
      <c r="M30" s="664"/>
      <c r="N30" s="2052"/>
      <c r="O30" s="2047"/>
    </row>
    <row r="31" spans="1:15" ht="18" customHeight="1" x14ac:dyDescent="0.3">
      <c r="A31" s="552" t="s">
        <v>1128</v>
      </c>
      <c r="B31" s="1565">
        <v>10</v>
      </c>
      <c r="C31" s="1565">
        <v>12</v>
      </c>
      <c r="D31" s="1565">
        <v>23</v>
      </c>
      <c r="E31" s="1565">
        <v>22</v>
      </c>
      <c r="F31" s="1565">
        <v>14</v>
      </c>
      <c r="G31" s="1565">
        <v>9</v>
      </c>
      <c r="H31" s="1565">
        <v>10</v>
      </c>
      <c r="I31" s="1565">
        <v>22</v>
      </c>
      <c r="J31" s="1565">
        <v>8</v>
      </c>
      <c r="K31" s="1565">
        <v>10</v>
      </c>
      <c r="L31" s="1565">
        <v>11</v>
      </c>
      <c r="M31" s="1565">
        <v>15</v>
      </c>
      <c r="N31" s="1565">
        <v>10</v>
      </c>
      <c r="O31" s="2048">
        <v>5</v>
      </c>
    </row>
    <row r="32" spans="1:15" ht="18" customHeight="1" x14ac:dyDescent="0.3">
      <c r="A32" s="552" t="s">
        <v>1070</v>
      </c>
      <c r="B32" s="1373"/>
      <c r="C32" s="1373"/>
      <c r="D32" s="1373"/>
      <c r="E32" s="1373"/>
      <c r="F32" s="887">
        <v>0</v>
      </c>
      <c r="G32" s="887">
        <v>0</v>
      </c>
      <c r="H32" s="887">
        <v>3</v>
      </c>
      <c r="I32" s="887">
        <v>3</v>
      </c>
      <c r="J32" s="887">
        <v>6</v>
      </c>
      <c r="K32" s="887">
        <v>5</v>
      </c>
      <c r="L32" s="887">
        <v>9</v>
      </c>
      <c r="M32" s="887">
        <v>14</v>
      </c>
      <c r="N32" s="2053">
        <v>9</v>
      </c>
      <c r="O32" s="2049">
        <v>10</v>
      </c>
    </row>
    <row r="33" spans="1:15" ht="18" customHeight="1" x14ac:dyDescent="0.3">
      <c r="A33" s="553" t="s">
        <v>1015</v>
      </c>
      <c r="B33" s="1296">
        <f>SUM(B31:B31)</f>
        <v>10</v>
      </c>
      <c r="C33" s="1296">
        <f>SUM(C31:C31)</f>
        <v>12</v>
      </c>
      <c r="D33" s="1296">
        <f>SUM(D31:D31)</f>
        <v>23</v>
      </c>
      <c r="E33" s="1296">
        <f>SUM(E31:E31)</f>
        <v>22</v>
      </c>
      <c r="F33" s="668">
        <f t="shared" ref="F33:L33" si="8">+F32+F31</f>
        <v>14</v>
      </c>
      <c r="G33" s="668">
        <f t="shared" si="8"/>
        <v>9</v>
      </c>
      <c r="H33" s="668">
        <f t="shared" si="8"/>
        <v>13</v>
      </c>
      <c r="I33" s="668">
        <f t="shared" si="8"/>
        <v>25</v>
      </c>
      <c r="J33" s="668">
        <f t="shared" si="8"/>
        <v>14</v>
      </c>
      <c r="K33" s="668">
        <f t="shared" si="8"/>
        <v>15</v>
      </c>
      <c r="L33" s="668">
        <f t="shared" si="8"/>
        <v>20</v>
      </c>
      <c r="M33" s="668">
        <f>+M32+M31</f>
        <v>29</v>
      </c>
      <c r="N33" s="2054">
        <f>+N32+N31</f>
        <v>19</v>
      </c>
      <c r="O33" s="2050">
        <f>+O32+O31</f>
        <v>15</v>
      </c>
    </row>
    <row r="34" spans="1:15" ht="18" customHeight="1" x14ac:dyDescent="0.3">
      <c r="A34" s="551" t="s">
        <v>418</v>
      </c>
      <c r="B34" s="1360"/>
      <c r="C34" s="1360"/>
      <c r="D34" s="1360"/>
      <c r="E34" s="1360"/>
      <c r="F34" s="664"/>
      <c r="G34" s="664"/>
      <c r="H34" s="664"/>
      <c r="I34" s="664"/>
      <c r="J34" s="664"/>
      <c r="K34" s="664"/>
      <c r="L34" s="664"/>
      <c r="M34" s="664"/>
      <c r="N34" s="2052"/>
      <c r="O34" s="2047"/>
    </row>
    <row r="35" spans="1:15" ht="18" customHeight="1" x14ac:dyDescent="0.3">
      <c r="A35" s="552" t="s">
        <v>1132</v>
      </c>
      <c r="B35" s="1565">
        <v>8</v>
      </c>
      <c r="C35" s="1565">
        <v>4</v>
      </c>
      <c r="D35" s="1565">
        <v>4</v>
      </c>
      <c r="E35" s="1565">
        <v>7</v>
      </c>
      <c r="F35" s="1565">
        <v>16</v>
      </c>
      <c r="G35" s="1565">
        <v>4</v>
      </c>
      <c r="H35" s="1565">
        <v>6</v>
      </c>
      <c r="I35" s="1565">
        <v>9</v>
      </c>
      <c r="J35" s="1565">
        <v>8</v>
      </c>
      <c r="K35" s="1565">
        <v>7</v>
      </c>
      <c r="L35" s="1565">
        <v>8</v>
      </c>
      <c r="M35" s="1565">
        <v>10</v>
      </c>
      <c r="N35" s="1565">
        <v>9</v>
      </c>
      <c r="O35" s="2048">
        <v>5</v>
      </c>
    </row>
    <row r="36" spans="1:15" ht="18" customHeight="1" x14ac:dyDescent="0.3">
      <c r="A36" s="552" t="s">
        <v>774</v>
      </c>
      <c r="B36" s="1565">
        <v>1</v>
      </c>
      <c r="C36" s="1565">
        <v>1</v>
      </c>
      <c r="D36" s="1565">
        <v>5</v>
      </c>
      <c r="E36" s="1565">
        <v>2</v>
      </c>
      <c r="F36" s="1565">
        <v>0</v>
      </c>
      <c r="G36" s="1565">
        <v>0</v>
      </c>
      <c r="H36" s="1565">
        <v>2</v>
      </c>
      <c r="I36" s="1565">
        <v>1</v>
      </c>
      <c r="J36" s="1565">
        <v>0</v>
      </c>
      <c r="K36" s="1565">
        <v>0</v>
      </c>
      <c r="L36" s="1565">
        <v>0</v>
      </c>
      <c r="M36" s="1565">
        <v>0</v>
      </c>
      <c r="N36" s="1565">
        <v>0</v>
      </c>
      <c r="O36" s="2048">
        <v>0</v>
      </c>
    </row>
    <row r="37" spans="1:15" ht="18" customHeight="1" x14ac:dyDescent="0.3">
      <c r="A37" s="552" t="s">
        <v>872</v>
      </c>
      <c r="B37" s="1565">
        <v>0</v>
      </c>
      <c r="C37" s="1565">
        <v>0</v>
      </c>
      <c r="D37" s="1565">
        <v>0</v>
      </c>
      <c r="E37" s="1565">
        <v>0</v>
      </c>
      <c r="F37" s="1565">
        <v>0</v>
      </c>
      <c r="G37" s="1565">
        <v>0</v>
      </c>
      <c r="H37" s="1565">
        <v>0</v>
      </c>
      <c r="I37" s="1565">
        <v>0</v>
      </c>
      <c r="J37" s="1565">
        <v>3</v>
      </c>
      <c r="K37" s="1565">
        <v>2</v>
      </c>
      <c r="L37" s="1565">
        <v>4</v>
      </c>
      <c r="M37" s="1565">
        <v>5</v>
      </c>
      <c r="N37" s="1565">
        <v>2</v>
      </c>
      <c r="O37" s="2048">
        <v>3</v>
      </c>
    </row>
    <row r="38" spans="1:15" ht="18" customHeight="1" x14ac:dyDescent="0.3">
      <c r="A38" s="552" t="s">
        <v>1145</v>
      </c>
      <c r="B38" s="1565">
        <v>3</v>
      </c>
      <c r="C38" s="1565">
        <v>3</v>
      </c>
      <c r="D38" s="1565">
        <v>7</v>
      </c>
      <c r="E38" s="1565">
        <v>0</v>
      </c>
      <c r="F38" s="1565">
        <v>0</v>
      </c>
      <c r="G38" s="1565">
        <v>0</v>
      </c>
      <c r="H38" s="1565">
        <v>0</v>
      </c>
      <c r="I38" s="1565">
        <v>0</v>
      </c>
      <c r="J38" s="1565">
        <v>0</v>
      </c>
      <c r="K38" s="1565">
        <v>0</v>
      </c>
      <c r="L38" s="1565">
        <v>0</v>
      </c>
      <c r="M38" s="1565">
        <v>0</v>
      </c>
      <c r="N38" s="1565">
        <v>4</v>
      </c>
      <c r="O38" s="2048">
        <v>14</v>
      </c>
    </row>
    <row r="39" spans="1:15" ht="18" customHeight="1" x14ac:dyDescent="0.3">
      <c r="A39" s="552" t="s">
        <v>1133</v>
      </c>
      <c r="B39" s="1565">
        <v>0</v>
      </c>
      <c r="C39" s="1565">
        <v>1</v>
      </c>
      <c r="D39" s="1565">
        <v>4</v>
      </c>
      <c r="E39" s="1565">
        <v>6</v>
      </c>
      <c r="F39" s="1565">
        <v>1</v>
      </c>
      <c r="G39" s="1565">
        <v>5</v>
      </c>
      <c r="H39" s="1565">
        <v>2</v>
      </c>
      <c r="I39" s="1565">
        <v>0</v>
      </c>
      <c r="J39" s="1565">
        <v>3</v>
      </c>
      <c r="K39" s="1565">
        <v>5</v>
      </c>
      <c r="L39" s="1565">
        <v>6</v>
      </c>
      <c r="M39" s="1565">
        <v>6</v>
      </c>
      <c r="N39" s="1565">
        <v>1</v>
      </c>
      <c r="O39" s="2048">
        <v>2</v>
      </c>
    </row>
    <row r="40" spans="1:15" ht="18" customHeight="1" x14ac:dyDescent="0.3">
      <c r="A40" s="553" t="s">
        <v>1015</v>
      </c>
      <c r="B40" s="1296">
        <f t="shared" ref="B40:I40" si="9">SUM(B35:B39)</f>
        <v>12</v>
      </c>
      <c r="C40" s="1296">
        <f t="shared" si="9"/>
        <v>9</v>
      </c>
      <c r="D40" s="1296">
        <f t="shared" si="9"/>
        <v>20</v>
      </c>
      <c r="E40" s="1296">
        <f t="shared" si="9"/>
        <v>15</v>
      </c>
      <c r="F40" s="668">
        <f t="shared" si="9"/>
        <v>17</v>
      </c>
      <c r="G40" s="668">
        <f t="shared" si="9"/>
        <v>9</v>
      </c>
      <c r="H40" s="668">
        <f t="shared" si="9"/>
        <v>10</v>
      </c>
      <c r="I40" s="668">
        <f t="shared" si="9"/>
        <v>10</v>
      </c>
      <c r="J40" s="668">
        <f t="shared" ref="J40:O40" si="10">SUM(J35:J39)</f>
        <v>14</v>
      </c>
      <c r="K40" s="668">
        <f t="shared" si="10"/>
        <v>14</v>
      </c>
      <c r="L40" s="668">
        <f t="shared" si="10"/>
        <v>18</v>
      </c>
      <c r="M40" s="668">
        <f t="shared" si="10"/>
        <v>21</v>
      </c>
      <c r="N40" s="2054">
        <f t="shared" si="10"/>
        <v>16</v>
      </c>
      <c r="O40" s="2050">
        <f t="shared" si="10"/>
        <v>24</v>
      </c>
    </row>
    <row r="41" spans="1:15" ht="18" customHeight="1" x14ac:dyDescent="0.3">
      <c r="A41" s="551" t="s">
        <v>419</v>
      </c>
      <c r="B41" s="1360"/>
      <c r="C41" s="1360"/>
      <c r="D41" s="1360"/>
      <c r="E41" s="1360"/>
      <c r="F41" s="664"/>
      <c r="G41" s="664"/>
      <c r="H41" s="664"/>
      <c r="I41" s="664"/>
      <c r="J41" s="664"/>
      <c r="K41" s="664"/>
      <c r="L41" s="664"/>
      <c r="M41" s="664"/>
      <c r="N41" s="2052"/>
      <c r="O41" s="2047"/>
    </row>
    <row r="42" spans="1:15" ht="18" customHeight="1" x14ac:dyDescent="0.3">
      <c r="A42" s="552" t="s">
        <v>1129</v>
      </c>
      <c r="B42" s="1565">
        <v>13</v>
      </c>
      <c r="C42" s="1565">
        <v>12</v>
      </c>
      <c r="D42" s="1565">
        <v>14</v>
      </c>
      <c r="E42" s="1565">
        <v>23</v>
      </c>
      <c r="F42" s="1565">
        <v>21</v>
      </c>
      <c r="G42" s="1565">
        <v>11</v>
      </c>
      <c r="H42" s="1565">
        <v>14</v>
      </c>
      <c r="I42" s="1565">
        <v>11</v>
      </c>
      <c r="J42" s="1565">
        <v>19</v>
      </c>
      <c r="K42" s="1565">
        <v>11</v>
      </c>
      <c r="L42" s="1565">
        <v>23</v>
      </c>
      <c r="M42" s="1565">
        <v>16</v>
      </c>
      <c r="N42" s="1565">
        <v>16</v>
      </c>
      <c r="O42" s="2048">
        <v>17</v>
      </c>
    </row>
    <row r="43" spans="1:15" ht="18" customHeight="1" x14ac:dyDescent="0.3">
      <c r="A43" s="552" t="s">
        <v>775</v>
      </c>
      <c r="B43" s="1565">
        <v>0</v>
      </c>
      <c r="C43" s="1565">
        <v>0</v>
      </c>
      <c r="D43" s="1565">
        <v>0</v>
      </c>
      <c r="E43" s="1565">
        <v>0</v>
      </c>
      <c r="F43" s="1565">
        <v>0</v>
      </c>
      <c r="G43" s="1565">
        <v>0</v>
      </c>
      <c r="H43" s="1565">
        <v>1</v>
      </c>
      <c r="I43" s="1565">
        <v>0</v>
      </c>
      <c r="J43" s="1565">
        <v>0</v>
      </c>
      <c r="K43" s="1565">
        <v>0</v>
      </c>
      <c r="L43" s="1565">
        <v>0</v>
      </c>
      <c r="M43" s="1565">
        <v>0</v>
      </c>
      <c r="N43" s="1565">
        <v>0</v>
      </c>
      <c r="O43" s="2048">
        <v>0</v>
      </c>
    </row>
    <row r="44" spans="1:15" ht="18" customHeight="1" x14ac:dyDescent="0.3">
      <c r="A44" s="553" t="s">
        <v>1015</v>
      </c>
      <c r="B44" s="1296">
        <f t="shared" ref="B44:I44" si="11">+B43+B42</f>
        <v>13</v>
      </c>
      <c r="C44" s="1296">
        <f t="shared" si="11"/>
        <v>12</v>
      </c>
      <c r="D44" s="1296">
        <f t="shared" si="11"/>
        <v>14</v>
      </c>
      <c r="E44" s="1296">
        <f t="shared" si="11"/>
        <v>23</v>
      </c>
      <c r="F44" s="668">
        <f t="shared" si="11"/>
        <v>21</v>
      </c>
      <c r="G44" s="668">
        <f t="shared" si="11"/>
        <v>11</v>
      </c>
      <c r="H44" s="668">
        <f t="shared" si="11"/>
        <v>15</v>
      </c>
      <c r="I44" s="668">
        <f t="shared" si="11"/>
        <v>11</v>
      </c>
      <c r="J44" s="668">
        <f t="shared" ref="J44:O44" si="12">+J43+J42</f>
        <v>19</v>
      </c>
      <c r="K44" s="668">
        <f t="shared" si="12"/>
        <v>11</v>
      </c>
      <c r="L44" s="668">
        <f t="shared" si="12"/>
        <v>23</v>
      </c>
      <c r="M44" s="668">
        <f t="shared" si="12"/>
        <v>16</v>
      </c>
      <c r="N44" s="2054">
        <f t="shared" si="12"/>
        <v>16</v>
      </c>
      <c r="O44" s="2050">
        <f t="shared" si="12"/>
        <v>17</v>
      </c>
    </row>
    <row r="45" spans="1:15" ht="18" customHeight="1" x14ac:dyDescent="0.3">
      <c r="A45" s="551" t="s">
        <v>420</v>
      </c>
      <c r="B45" s="1360"/>
      <c r="C45" s="1360"/>
      <c r="D45" s="1360"/>
      <c r="E45" s="1360"/>
      <c r="F45" s="664"/>
      <c r="G45" s="664"/>
      <c r="H45" s="664"/>
      <c r="I45" s="664"/>
      <c r="J45" s="664"/>
      <c r="K45" s="664"/>
      <c r="L45" s="664"/>
      <c r="M45" s="664"/>
      <c r="N45" s="2052"/>
      <c r="O45" s="2047"/>
    </row>
    <row r="46" spans="1:15" ht="18" customHeight="1" x14ac:dyDescent="0.3">
      <c r="A46" s="552" t="s">
        <v>1123</v>
      </c>
      <c r="B46" s="1565">
        <v>14</v>
      </c>
      <c r="C46" s="1565">
        <v>21</v>
      </c>
      <c r="D46" s="1565">
        <v>19</v>
      </c>
      <c r="E46" s="1565">
        <v>25</v>
      </c>
      <c r="F46" s="1565">
        <v>16</v>
      </c>
      <c r="G46" s="1565">
        <v>23</v>
      </c>
      <c r="H46" s="1565">
        <v>31</v>
      </c>
      <c r="I46" s="1565">
        <v>27</v>
      </c>
      <c r="J46" s="1565">
        <v>23</v>
      </c>
      <c r="K46" s="1565">
        <v>23</v>
      </c>
      <c r="L46" s="1565">
        <v>32</v>
      </c>
      <c r="M46" s="1565">
        <v>37</v>
      </c>
      <c r="N46" s="1565">
        <v>30</v>
      </c>
      <c r="O46" s="2048">
        <v>20</v>
      </c>
    </row>
    <row r="47" spans="1:15" ht="18" customHeight="1" x14ac:dyDescent="0.3">
      <c r="A47" s="552" t="s">
        <v>1124</v>
      </c>
      <c r="B47" s="1565">
        <v>2</v>
      </c>
      <c r="C47" s="1565">
        <v>2</v>
      </c>
      <c r="D47" s="1565">
        <v>3</v>
      </c>
      <c r="E47" s="1565">
        <v>2</v>
      </c>
      <c r="F47" s="1565">
        <v>1</v>
      </c>
      <c r="G47" s="1565">
        <v>2</v>
      </c>
      <c r="H47" s="1565">
        <v>2</v>
      </c>
      <c r="I47" s="1565">
        <v>4</v>
      </c>
      <c r="J47" s="1565">
        <v>3</v>
      </c>
      <c r="K47" s="1565">
        <v>6</v>
      </c>
      <c r="L47" s="1565">
        <v>3</v>
      </c>
      <c r="M47" s="1565">
        <v>5</v>
      </c>
      <c r="N47" s="1565">
        <v>2</v>
      </c>
      <c r="O47" s="2048">
        <v>3</v>
      </c>
    </row>
    <row r="48" spans="1:15" ht="18" customHeight="1" x14ac:dyDescent="0.3">
      <c r="A48" s="553" t="s">
        <v>1015</v>
      </c>
      <c r="B48" s="1296">
        <f t="shared" ref="B48:I48" si="13">SUM(B46:B47)</f>
        <v>16</v>
      </c>
      <c r="C48" s="1296">
        <f t="shared" si="13"/>
        <v>23</v>
      </c>
      <c r="D48" s="1296">
        <f t="shared" si="13"/>
        <v>22</v>
      </c>
      <c r="E48" s="1296">
        <f t="shared" si="13"/>
        <v>27</v>
      </c>
      <c r="F48" s="668">
        <f t="shared" si="13"/>
        <v>17</v>
      </c>
      <c r="G48" s="668">
        <f t="shared" si="13"/>
        <v>25</v>
      </c>
      <c r="H48" s="668">
        <f t="shared" si="13"/>
        <v>33</v>
      </c>
      <c r="I48" s="668">
        <f t="shared" si="13"/>
        <v>31</v>
      </c>
      <c r="J48" s="668">
        <f t="shared" ref="J48:O48" si="14">SUM(J46:J47)</f>
        <v>26</v>
      </c>
      <c r="K48" s="668">
        <f t="shared" si="14"/>
        <v>29</v>
      </c>
      <c r="L48" s="668">
        <f t="shared" si="14"/>
        <v>35</v>
      </c>
      <c r="M48" s="668">
        <f t="shared" si="14"/>
        <v>42</v>
      </c>
      <c r="N48" s="2054">
        <f t="shared" si="14"/>
        <v>32</v>
      </c>
      <c r="O48" s="2050">
        <f t="shared" si="14"/>
        <v>23</v>
      </c>
    </row>
    <row r="49" spans="1:15" ht="18" customHeight="1" x14ac:dyDescent="0.3">
      <c r="A49" s="551" t="s">
        <v>422</v>
      </c>
      <c r="B49" s="1360"/>
      <c r="C49" s="1360"/>
      <c r="D49" s="1360"/>
      <c r="E49" s="1360"/>
      <c r="F49" s="664"/>
      <c r="G49" s="664"/>
      <c r="H49" s="664"/>
      <c r="I49" s="664"/>
      <c r="J49" s="664"/>
      <c r="K49" s="664"/>
      <c r="L49" s="664"/>
      <c r="M49" s="664"/>
      <c r="N49" s="2052"/>
      <c r="O49" s="2047"/>
    </row>
    <row r="50" spans="1:15" ht="18" customHeight="1" x14ac:dyDescent="0.3">
      <c r="A50" s="552" t="s">
        <v>1125</v>
      </c>
      <c r="B50" s="1565">
        <v>9</v>
      </c>
      <c r="C50" s="1565">
        <v>3</v>
      </c>
      <c r="D50" s="1565">
        <v>2</v>
      </c>
      <c r="E50" s="1565">
        <v>7</v>
      </c>
      <c r="F50" s="1565">
        <v>6</v>
      </c>
      <c r="G50" s="1565">
        <v>3</v>
      </c>
      <c r="H50" s="1565">
        <v>8</v>
      </c>
      <c r="I50" s="1565">
        <v>4</v>
      </c>
      <c r="J50" s="1565">
        <v>4</v>
      </c>
      <c r="K50" s="1565">
        <v>5</v>
      </c>
      <c r="L50" s="1565">
        <v>3</v>
      </c>
      <c r="M50" s="1565">
        <v>3</v>
      </c>
      <c r="N50" s="1565">
        <v>5</v>
      </c>
      <c r="O50" s="2048">
        <v>9</v>
      </c>
    </row>
    <row r="51" spans="1:15" ht="18" customHeight="1" x14ac:dyDescent="0.3">
      <c r="A51" s="552" t="s">
        <v>1126</v>
      </c>
      <c r="B51" s="1565">
        <v>1</v>
      </c>
      <c r="C51" s="1565">
        <v>4</v>
      </c>
      <c r="D51" s="1565">
        <v>4</v>
      </c>
      <c r="E51" s="1565">
        <v>0</v>
      </c>
      <c r="F51" s="1565">
        <v>0</v>
      </c>
      <c r="G51" s="1565">
        <v>0</v>
      </c>
      <c r="H51" s="1565">
        <v>0</v>
      </c>
      <c r="I51" s="1565">
        <v>3</v>
      </c>
      <c r="J51" s="1565">
        <v>2</v>
      </c>
      <c r="K51" s="1565">
        <v>2</v>
      </c>
      <c r="L51" s="1565">
        <v>2</v>
      </c>
      <c r="M51" s="1565">
        <v>3</v>
      </c>
      <c r="N51" s="1565">
        <v>0</v>
      </c>
      <c r="O51" s="2048">
        <v>0</v>
      </c>
    </row>
    <row r="52" spans="1:15" ht="18" customHeight="1" x14ac:dyDescent="0.3">
      <c r="A52" s="553" t="s">
        <v>1015</v>
      </c>
      <c r="B52" s="1296">
        <f t="shared" ref="B52:I52" si="15">+B51+B50</f>
        <v>10</v>
      </c>
      <c r="C52" s="1296">
        <f t="shared" si="15"/>
        <v>7</v>
      </c>
      <c r="D52" s="1296">
        <f t="shared" si="15"/>
        <v>6</v>
      </c>
      <c r="E52" s="1296">
        <f t="shared" si="15"/>
        <v>7</v>
      </c>
      <c r="F52" s="668">
        <f t="shared" si="15"/>
        <v>6</v>
      </c>
      <c r="G52" s="668">
        <f t="shared" si="15"/>
        <v>3</v>
      </c>
      <c r="H52" s="668">
        <f t="shared" si="15"/>
        <v>8</v>
      </c>
      <c r="I52" s="668">
        <f t="shared" si="15"/>
        <v>7</v>
      </c>
      <c r="J52" s="668">
        <f t="shared" ref="J52:O52" si="16">+J51+J50</f>
        <v>6</v>
      </c>
      <c r="K52" s="668">
        <f t="shared" si="16"/>
        <v>7</v>
      </c>
      <c r="L52" s="668">
        <f t="shared" si="16"/>
        <v>5</v>
      </c>
      <c r="M52" s="668">
        <f t="shared" si="16"/>
        <v>6</v>
      </c>
      <c r="N52" s="2054">
        <f t="shared" si="16"/>
        <v>5</v>
      </c>
      <c r="O52" s="2050">
        <f t="shared" si="16"/>
        <v>9</v>
      </c>
    </row>
    <row r="53" spans="1:15" ht="18" customHeight="1" thickBot="1" x14ac:dyDescent="0.35">
      <c r="A53" s="562" t="s">
        <v>423</v>
      </c>
      <c r="B53" s="563">
        <f t="shared" ref="B53:I53" si="17">+B52+B48+B44+B40+B33</f>
        <v>61</v>
      </c>
      <c r="C53" s="563">
        <f t="shared" si="17"/>
        <v>63</v>
      </c>
      <c r="D53" s="563">
        <f t="shared" si="17"/>
        <v>85</v>
      </c>
      <c r="E53" s="563">
        <f t="shared" si="17"/>
        <v>94</v>
      </c>
      <c r="F53" s="577">
        <f t="shared" si="17"/>
        <v>75</v>
      </c>
      <c r="G53" s="577">
        <f t="shared" si="17"/>
        <v>57</v>
      </c>
      <c r="H53" s="577">
        <f t="shared" si="17"/>
        <v>79</v>
      </c>
      <c r="I53" s="577">
        <f t="shared" si="17"/>
        <v>84</v>
      </c>
      <c r="J53" s="577">
        <f t="shared" ref="J53:O53" si="18">+J52+J48+J44+J40+J33</f>
        <v>79</v>
      </c>
      <c r="K53" s="577">
        <f t="shared" si="18"/>
        <v>76</v>
      </c>
      <c r="L53" s="577">
        <f t="shared" si="18"/>
        <v>101</v>
      </c>
      <c r="M53" s="577">
        <f t="shared" si="18"/>
        <v>114</v>
      </c>
      <c r="N53" s="577">
        <f t="shared" si="18"/>
        <v>88</v>
      </c>
      <c r="O53" s="1010">
        <f t="shared" si="18"/>
        <v>88</v>
      </c>
    </row>
    <row r="54" spans="1:15" ht="20.25" customHeight="1" thickBot="1" x14ac:dyDescent="0.35">
      <c r="A54" s="2134" t="s">
        <v>424</v>
      </c>
      <c r="B54" s="2135"/>
      <c r="C54" s="2135"/>
      <c r="D54" s="2135"/>
      <c r="E54" s="2135"/>
      <c r="F54" s="2135"/>
      <c r="G54" s="2135"/>
      <c r="H54" s="2135"/>
      <c r="I54" s="2135"/>
      <c r="J54" s="2135"/>
      <c r="K54" s="2135"/>
      <c r="L54" s="2135"/>
      <c r="M54" s="2135"/>
      <c r="N54" s="2135"/>
      <c r="O54" s="2136"/>
    </row>
    <row r="55" spans="1:15" ht="20.25" customHeight="1" x14ac:dyDescent="0.3">
      <c r="A55" s="549" t="s">
        <v>410</v>
      </c>
      <c r="B55" s="1372" t="s">
        <v>795</v>
      </c>
      <c r="C55" s="1372" t="s">
        <v>652</v>
      </c>
      <c r="D55" s="1372" t="s">
        <v>1359</v>
      </c>
      <c r="E55" s="1372" t="s">
        <v>1105</v>
      </c>
      <c r="F55" s="1193" t="s">
        <v>372</v>
      </c>
      <c r="G55" s="1193" t="s">
        <v>615</v>
      </c>
      <c r="H55" s="1193" t="s">
        <v>1418</v>
      </c>
      <c r="I55" s="1193" t="s">
        <v>1446</v>
      </c>
      <c r="J55" s="1193" t="s">
        <v>1447</v>
      </c>
      <c r="K55" s="1193" t="s">
        <v>1438</v>
      </c>
      <c r="L55" s="1193" t="s">
        <v>1549</v>
      </c>
      <c r="M55" s="1193" t="s">
        <v>1611</v>
      </c>
      <c r="N55" s="2051" t="s">
        <v>1639</v>
      </c>
      <c r="O55" s="2046" t="str">
        <f>+O29</f>
        <v>2015-2016</v>
      </c>
    </row>
    <row r="56" spans="1:15" ht="18" customHeight="1" x14ac:dyDescent="0.3">
      <c r="A56" s="551" t="s">
        <v>1024</v>
      </c>
      <c r="B56" s="1360"/>
      <c r="C56" s="1360"/>
      <c r="D56" s="1360"/>
      <c r="E56" s="1360"/>
      <c r="F56" s="664"/>
      <c r="G56" s="664"/>
      <c r="H56" s="664"/>
      <c r="I56" s="664"/>
      <c r="J56" s="664"/>
      <c r="K56" s="664"/>
      <c r="L56" s="664"/>
      <c r="M56" s="664"/>
      <c r="N56" s="2052"/>
      <c r="O56" s="2047"/>
    </row>
    <row r="57" spans="1:15" ht="18" customHeight="1" x14ac:dyDescent="0.3">
      <c r="A57" s="552" t="s">
        <v>1165</v>
      </c>
      <c r="B57" s="1565">
        <v>6</v>
      </c>
      <c r="C57" s="1565">
        <v>1</v>
      </c>
      <c r="D57" s="1565">
        <v>10</v>
      </c>
      <c r="E57" s="1565">
        <v>10</v>
      </c>
      <c r="F57" s="1565">
        <v>4</v>
      </c>
      <c r="G57" s="1565">
        <v>9</v>
      </c>
      <c r="H57" s="1565">
        <v>6</v>
      </c>
      <c r="I57" s="1565">
        <v>17</v>
      </c>
      <c r="J57" s="1565">
        <v>4</v>
      </c>
      <c r="K57" s="1565">
        <v>13</v>
      </c>
      <c r="L57" s="1565">
        <v>4</v>
      </c>
      <c r="M57" s="1565">
        <v>6</v>
      </c>
      <c r="N57" s="1565">
        <v>5</v>
      </c>
      <c r="O57" s="2048">
        <v>4</v>
      </c>
    </row>
    <row r="58" spans="1:15" ht="18" customHeight="1" x14ac:dyDescent="0.3">
      <c r="A58" s="552" t="s">
        <v>1166</v>
      </c>
      <c r="B58" s="1565">
        <v>10</v>
      </c>
      <c r="C58" s="1565">
        <v>10</v>
      </c>
      <c r="D58" s="1565">
        <v>16</v>
      </c>
      <c r="E58" s="1565">
        <v>17</v>
      </c>
      <c r="F58" s="1565">
        <v>25</v>
      </c>
      <c r="G58" s="1565">
        <v>23</v>
      </c>
      <c r="H58" s="1565">
        <v>30</v>
      </c>
      <c r="I58" s="1565">
        <v>28</v>
      </c>
      <c r="J58" s="1565">
        <v>24</v>
      </c>
      <c r="K58" s="1565">
        <v>24</v>
      </c>
      <c r="L58" s="1565">
        <v>18</v>
      </c>
      <c r="M58" s="1565">
        <v>33</v>
      </c>
      <c r="N58" s="1565">
        <v>16</v>
      </c>
      <c r="O58" s="2048">
        <v>23</v>
      </c>
    </row>
    <row r="59" spans="1:15" ht="18" customHeight="1" x14ac:dyDescent="0.3">
      <c r="A59" s="552" t="s">
        <v>523</v>
      </c>
      <c r="B59" s="1565">
        <v>1</v>
      </c>
      <c r="C59" s="1565">
        <v>6</v>
      </c>
      <c r="D59" s="1565">
        <v>1</v>
      </c>
      <c r="E59" s="1565">
        <v>0</v>
      </c>
      <c r="F59" s="1565">
        <v>0</v>
      </c>
      <c r="G59" s="1565">
        <v>0</v>
      </c>
      <c r="H59" s="1565">
        <v>1</v>
      </c>
      <c r="I59" s="1565">
        <v>5</v>
      </c>
      <c r="J59" s="1565">
        <v>1</v>
      </c>
      <c r="K59" s="1565">
        <v>0</v>
      </c>
      <c r="L59" s="1565">
        <v>0</v>
      </c>
      <c r="M59" s="1565">
        <v>0</v>
      </c>
      <c r="N59" s="1565">
        <v>1</v>
      </c>
      <c r="O59" s="2048">
        <v>1</v>
      </c>
    </row>
    <row r="60" spans="1:15" ht="18" customHeight="1" x14ac:dyDescent="0.3">
      <c r="A60" s="552" t="s">
        <v>1167</v>
      </c>
      <c r="B60" s="1565">
        <v>25</v>
      </c>
      <c r="C60" s="1565">
        <v>28</v>
      </c>
      <c r="D60" s="1565">
        <v>30</v>
      </c>
      <c r="E60" s="1565">
        <v>26</v>
      </c>
      <c r="F60" s="1565">
        <v>27</v>
      </c>
      <c r="G60" s="1565">
        <v>18</v>
      </c>
      <c r="H60" s="1565">
        <v>19</v>
      </c>
      <c r="I60" s="1565">
        <v>21</v>
      </c>
      <c r="J60" s="1565">
        <v>28</v>
      </c>
      <c r="K60" s="1565">
        <v>19</v>
      </c>
      <c r="L60" s="1565">
        <v>23</v>
      </c>
      <c r="M60" s="1565">
        <v>17</v>
      </c>
      <c r="N60" s="1565">
        <v>17</v>
      </c>
      <c r="O60" s="2048">
        <v>9</v>
      </c>
    </row>
    <row r="61" spans="1:15" ht="18" customHeight="1" x14ac:dyDescent="0.3">
      <c r="A61" s="552" t="s">
        <v>1168</v>
      </c>
      <c r="B61" s="1565">
        <v>11</v>
      </c>
      <c r="C61" s="1565">
        <v>24</v>
      </c>
      <c r="D61" s="1565">
        <v>22</v>
      </c>
      <c r="E61" s="1565">
        <v>32</v>
      </c>
      <c r="F61" s="1565">
        <v>4</v>
      </c>
      <c r="G61" s="1565">
        <v>5</v>
      </c>
      <c r="H61" s="1565">
        <v>3</v>
      </c>
      <c r="I61" s="1565">
        <v>2</v>
      </c>
      <c r="J61" s="1565">
        <v>1</v>
      </c>
      <c r="K61" s="1565">
        <v>0</v>
      </c>
      <c r="L61" s="1565">
        <v>0</v>
      </c>
      <c r="M61" s="1565">
        <v>0</v>
      </c>
      <c r="N61" s="1565">
        <v>0</v>
      </c>
      <c r="O61" s="2048">
        <v>0</v>
      </c>
    </row>
    <row r="62" spans="1:15" ht="18" customHeight="1" x14ac:dyDescent="0.3">
      <c r="A62" s="552" t="s">
        <v>873</v>
      </c>
      <c r="B62" s="1565">
        <v>0</v>
      </c>
      <c r="C62" s="1565">
        <v>0</v>
      </c>
      <c r="D62" s="1565">
        <v>0</v>
      </c>
      <c r="E62" s="1565">
        <v>0</v>
      </c>
      <c r="F62" s="1565">
        <v>0</v>
      </c>
      <c r="G62" s="1565">
        <v>0</v>
      </c>
      <c r="H62" s="1565">
        <v>10</v>
      </c>
      <c r="I62" s="1565">
        <v>12</v>
      </c>
      <c r="J62" s="1565">
        <v>6</v>
      </c>
      <c r="K62" s="1565">
        <v>5</v>
      </c>
      <c r="L62" s="1565">
        <v>9</v>
      </c>
      <c r="M62" s="1565">
        <v>12</v>
      </c>
      <c r="N62" s="1565">
        <v>16</v>
      </c>
      <c r="O62" s="2048">
        <v>6</v>
      </c>
    </row>
    <row r="63" spans="1:15" ht="18" customHeight="1" x14ac:dyDescent="0.3">
      <c r="A63" s="552" t="s">
        <v>1169</v>
      </c>
      <c r="B63" s="1565">
        <v>4</v>
      </c>
      <c r="C63" s="1565">
        <v>7</v>
      </c>
      <c r="D63" s="1565">
        <v>1</v>
      </c>
      <c r="E63" s="1565">
        <v>3</v>
      </c>
      <c r="F63" s="1565">
        <v>8</v>
      </c>
      <c r="G63" s="1565">
        <v>6</v>
      </c>
      <c r="H63" s="1565">
        <v>14</v>
      </c>
      <c r="I63" s="1565">
        <v>9</v>
      </c>
      <c r="J63" s="1565">
        <v>8</v>
      </c>
      <c r="K63" s="1565">
        <v>11</v>
      </c>
      <c r="L63" s="1565">
        <v>16</v>
      </c>
      <c r="M63" s="1565">
        <v>8</v>
      </c>
      <c r="N63" s="1565">
        <v>12</v>
      </c>
      <c r="O63" s="2048">
        <v>9</v>
      </c>
    </row>
    <row r="64" spans="1:15" ht="18" customHeight="1" x14ac:dyDescent="0.3">
      <c r="A64" s="552" t="s">
        <v>1637</v>
      </c>
      <c r="B64" s="1373">
        <v>0</v>
      </c>
      <c r="C64" s="1373">
        <v>0</v>
      </c>
      <c r="D64" s="1373">
        <v>0</v>
      </c>
      <c r="E64" s="1373">
        <v>0</v>
      </c>
      <c r="F64" s="887">
        <v>0</v>
      </c>
      <c r="G64" s="887">
        <v>0</v>
      </c>
      <c r="H64" s="887">
        <v>0</v>
      </c>
      <c r="I64" s="887">
        <v>0</v>
      </c>
      <c r="J64" s="887">
        <v>0</v>
      </c>
      <c r="K64" s="887">
        <v>0</v>
      </c>
      <c r="L64" s="887">
        <v>0</v>
      </c>
      <c r="M64" s="887">
        <v>4</v>
      </c>
      <c r="N64" s="2053">
        <v>5</v>
      </c>
      <c r="O64" s="2049">
        <v>6</v>
      </c>
    </row>
    <row r="65" spans="1:16" ht="18" customHeight="1" x14ac:dyDescent="0.3">
      <c r="A65" s="553" t="s">
        <v>1015</v>
      </c>
      <c r="B65" s="1296">
        <f t="shared" ref="B65:M65" si="19">SUM(B57:B64)</f>
        <v>57</v>
      </c>
      <c r="C65" s="1296">
        <f t="shared" si="19"/>
        <v>76</v>
      </c>
      <c r="D65" s="1296">
        <f t="shared" si="19"/>
        <v>80</v>
      </c>
      <c r="E65" s="1296">
        <f t="shared" si="19"/>
        <v>88</v>
      </c>
      <c r="F65" s="1296">
        <f t="shared" si="19"/>
        <v>68</v>
      </c>
      <c r="G65" s="1296">
        <f t="shared" si="19"/>
        <v>61</v>
      </c>
      <c r="H65" s="1296">
        <f t="shared" si="19"/>
        <v>83</v>
      </c>
      <c r="I65" s="1296">
        <f t="shared" si="19"/>
        <v>94</v>
      </c>
      <c r="J65" s="1296">
        <f t="shared" si="19"/>
        <v>72</v>
      </c>
      <c r="K65" s="1296">
        <f t="shared" si="19"/>
        <v>72</v>
      </c>
      <c r="L65" s="1296">
        <f t="shared" si="19"/>
        <v>70</v>
      </c>
      <c r="M65" s="1296">
        <f t="shared" si="19"/>
        <v>80</v>
      </c>
      <c r="N65" s="2054">
        <f>SUM(N57:N64)</f>
        <v>72</v>
      </c>
      <c r="O65" s="2050">
        <f>SUM(O57:O64)</f>
        <v>58</v>
      </c>
    </row>
    <row r="66" spans="1:16" ht="18" customHeight="1" x14ac:dyDescent="0.3">
      <c r="A66" s="551" t="s">
        <v>425</v>
      </c>
      <c r="B66" s="1360"/>
      <c r="C66" s="1360"/>
      <c r="D66" s="1360"/>
      <c r="E66" s="1360"/>
      <c r="F66" s="664"/>
      <c r="G66" s="664"/>
      <c r="H66" s="664"/>
      <c r="I66" s="664"/>
      <c r="J66" s="664"/>
      <c r="K66" s="664"/>
      <c r="L66" s="664"/>
      <c r="M66" s="664"/>
      <c r="N66" s="2052"/>
      <c r="O66" s="2047"/>
    </row>
    <row r="67" spans="1:16" ht="18" customHeight="1" x14ac:dyDescent="0.3">
      <c r="A67" s="552" t="s">
        <v>611</v>
      </c>
      <c r="B67" s="1565">
        <v>0</v>
      </c>
      <c r="C67" s="1565">
        <v>0</v>
      </c>
      <c r="D67" s="1565">
        <v>1</v>
      </c>
      <c r="E67" s="1565">
        <v>1</v>
      </c>
      <c r="F67" s="1565">
        <v>3</v>
      </c>
      <c r="G67" s="1565">
        <v>1</v>
      </c>
      <c r="H67" s="1565">
        <v>2</v>
      </c>
      <c r="I67" s="1565">
        <v>2</v>
      </c>
      <c r="J67" s="1565">
        <v>2</v>
      </c>
      <c r="K67" s="1565">
        <v>1</v>
      </c>
      <c r="L67" s="1565">
        <v>3</v>
      </c>
      <c r="M67" s="1565">
        <v>3</v>
      </c>
      <c r="N67" s="1565">
        <v>6</v>
      </c>
      <c r="O67" s="2048">
        <v>0</v>
      </c>
    </row>
    <row r="68" spans="1:16" ht="18" customHeight="1" x14ac:dyDescent="0.3">
      <c r="A68" s="552" t="s">
        <v>1196</v>
      </c>
      <c r="B68" s="1565">
        <v>2</v>
      </c>
      <c r="C68" s="1565">
        <v>2</v>
      </c>
      <c r="D68" s="1565">
        <v>21</v>
      </c>
      <c r="E68" s="1565">
        <v>16</v>
      </c>
      <c r="F68" s="1565">
        <v>30</v>
      </c>
      <c r="G68" s="1565">
        <v>31</v>
      </c>
      <c r="H68" s="1565">
        <v>26</v>
      </c>
      <c r="I68" s="1565">
        <v>18</v>
      </c>
      <c r="J68" s="1565">
        <v>37</v>
      </c>
      <c r="K68" s="1565">
        <v>41</v>
      </c>
      <c r="L68" s="1565">
        <v>29</v>
      </c>
      <c r="M68" s="1565">
        <v>56</v>
      </c>
      <c r="N68" s="1565">
        <v>35</v>
      </c>
      <c r="O68" s="2048">
        <v>47</v>
      </c>
    </row>
    <row r="69" spans="1:16" ht="18" hidden="1" customHeight="1" x14ac:dyDescent="0.3">
      <c r="A69" s="552" t="s">
        <v>1197</v>
      </c>
      <c r="B69" s="1565">
        <v>2</v>
      </c>
      <c r="C69" s="1565">
        <v>1</v>
      </c>
      <c r="D69" s="1565">
        <v>1</v>
      </c>
      <c r="E69" s="1565">
        <v>0</v>
      </c>
      <c r="F69" s="1565">
        <v>0</v>
      </c>
      <c r="G69" s="1565">
        <v>0</v>
      </c>
      <c r="H69" s="1565">
        <v>0</v>
      </c>
      <c r="I69" s="1565">
        <v>0</v>
      </c>
      <c r="J69" s="1565">
        <v>0</v>
      </c>
      <c r="K69" s="1565">
        <v>0</v>
      </c>
      <c r="L69" s="1565">
        <v>0</v>
      </c>
      <c r="M69" s="1565"/>
      <c r="N69" s="1565"/>
      <c r="O69" s="2048"/>
    </row>
    <row r="70" spans="1:16" ht="18" hidden="1" customHeight="1" x14ac:dyDescent="0.3">
      <c r="A70" s="552" t="s">
        <v>1147</v>
      </c>
      <c r="B70" s="1565">
        <v>2</v>
      </c>
      <c r="C70" s="1565">
        <v>1</v>
      </c>
      <c r="D70" s="1565">
        <v>2</v>
      </c>
      <c r="E70" s="1565">
        <v>0</v>
      </c>
      <c r="F70" s="1565">
        <v>0</v>
      </c>
      <c r="G70" s="1565">
        <v>0</v>
      </c>
      <c r="H70" s="1565">
        <v>0</v>
      </c>
      <c r="I70" s="1565">
        <v>0</v>
      </c>
      <c r="J70" s="1565">
        <v>0</v>
      </c>
      <c r="K70" s="1565">
        <v>0</v>
      </c>
      <c r="L70" s="1565">
        <v>0</v>
      </c>
      <c r="M70" s="1565"/>
      <c r="N70" s="1565"/>
      <c r="O70" s="2048"/>
    </row>
    <row r="71" spans="1:16" ht="18" hidden="1" customHeight="1" x14ac:dyDescent="0.3">
      <c r="A71" s="552" t="s">
        <v>1148</v>
      </c>
      <c r="B71" s="1565">
        <v>18</v>
      </c>
      <c r="C71" s="1565">
        <v>16</v>
      </c>
      <c r="D71" s="1565">
        <v>5</v>
      </c>
      <c r="E71" s="1565">
        <v>0</v>
      </c>
      <c r="F71" s="1565">
        <v>0</v>
      </c>
      <c r="G71" s="1565">
        <v>0</v>
      </c>
      <c r="H71" s="1565">
        <v>0</v>
      </c>
      <c r="I71" s="1565">
        <v>0</v>
      </c>
      <c r="J71" s="1565">
        <v>0</v>
      </c>
      <c r="K71" s="1565">
        <v>0</v>
      </c>
      <c r="L71" s="1565">
        <v>0</v>
      </c>
      <c r="M71" s="1565"/>
      <c r="N71" s="1565"/>
      <c r="O71" s="2048"/>
    </row>
    <row r="72" spans="1:16" ht="18" customHeight="1" x14ac:dyDescent="0.3">
      <c r="A72" s="552" t="s">
        <v>1150</v>
      </c>
      <c r="B72" s="1565">
        <v>13</v>
      </c>
      <c r="C72" s="1565">
        <v>9</v>
      </c>
      <c r="D72" s="1565">
        <v>5</v>
      </c>
      <c r="E72" s="1565">
        <v>10</v>
      </c>
      <c r="F72" s="1565">
        <v>8</v>
      </c>
      <c r="G72" s="1565">
        <v>5</v>
      </c>
      <c r="H72" s="1565">
        <v>4</v>
      </c>
      <c r="I72" s="1565">
        <v>4</v>
      </c>
      <c r="J72" s="1565">
        <v>7</v>
      </c>
      <c r="K72" s="1565">
        <v>9</v>
      </c>
      <c r="L72" s="1565">
        <v>4</v>
      </c>
      <c r="M72" s="1565">
        <v>7</v>
      </c>
      <c r="N72" s="1565">
        <v>8</v>
      </c>
      <c r="O72" s="2048">
        <v>5</v>
      </c>
    </row>
    <row r="73" spans="1:16" ht="18" customHeight="1" x14ac:dyDescent="0.3">
      <c r="A73" s="553" t="s">
        <v>1015</v>
      </c>
      <c r="B73" s="1296">
        <f t="shared" ref="B73:I73" si="20">SUM(B67:B72)</f>
        <v>37</v>
      </c>
      <c r="C73" s="1296">
        <f t="shared" si="20"/>
        <v>29</v>
      </c>
      <c r="D73" s="1296">
        <f t="shared" si="20"/>
        <v>35</v>
      </c>
      <c r="E73" s="1296">
        <f t="shared" si="20"/>
        <v>27</v>
      </c>
      <c r="F73" s="668">
        <f t="shared" si="20"/>
        <v>41</v>
      </c>
      <c r="G73" s="668">
        <f t="shared" si="20"/>
        <v>37</v>
      </c>
      <c r="H73" s="668">
        <f t="shared" si="20"/>
        <v>32</v>
      </c>
      <c r="I73" s="668">
        <f t="shared" si="20"/>
        <v>24</v>
      </c>
      <c r="J73" s="668">
        <f t="shared" ref="J73:O73" si="21">SUM(J67:J72)</f>
        <v>46</v>
      </c>
      <c r="K73" s="668">
        <f t="shared" si="21"/>
        <v>51</v>
      </c>
      <c r="L73" s="668">
        <f t="shared" si="21"/>
        <v>36</v>
      </c>
      <c r="M73" s="668">
        <f t="shared" si="21"/>
        <v>66</v>
      </c>
      <c r="N73" s="2054">
        <f t="shared" si="21"/>
        <v>49</v>
      </c>
      <c r="O73" s="2050">
        <f t="shared" si="21"/>
        <v>52</v>
      </c>
    </row>
    <row r="74" spans="1:16" ht="18" customHeight="1" x14ac:dyDescent="0.3">
      <c r="A74" s="551" t="s">
        <v>426</v>
      </c>
      <c r="B74" s="1360"/>
      <c r="C74" s="1360"/>
      <c r="D74" s="1360"/>
      <c r="E74" s="1360"/>
      <c r="F74" s="664"/>
      <c r="G74" s="664"/>
      <c r="H74" s="664"/>
      <c r="I74" s="664"/>
      <c r="J74" s="664"/>
      <c r="K74" s="664"/>
      <c r="L74" s="664"/>
      <c r="M74" s="664"/>
      <c r="N74" s="2052"/>
      <c r="O74" s="2047"/>
    </row>
    <row r="75" spans="1:16" ht="18" customHeight="1" x14ac:dyDescent="0.3">
      <c r="A75" s="552" t="s">
        <v>1101</v>
      </c>
      <c r="B75" s="1565">
        <v>4</v>
      </c>
      <c r="C75" s="1565">
        <v>16</v>
      </c>
      <c r="D75" s="1565">
        <v>8</v>
      </c>
      <c r="E75" s="1565">
        <v>8</v>
      </c>
      <c r="F75" s="1565">
        <v>15</v>
      </c>
      <c r="G75" s="1565">
        <v>19</v>
      </c>
      <c r="H75" s="1565">
        <v>5</v>
      </c>
      <c r="I75" s="1565">
        <v>10</v>
      </c>
      <c r="J75" s="1565">
        <v>2</v>
      </c>
      <c r="K75" s="1565">
        <v>17</v>
      </c>
      <c r="L75" s="1565">
        <v>28</v>
      </c>
      <c r="M75" s="1565">
        <v>36</v>
      </c>
      <c r="N75" s="1565">
        <v>47</v>
      </c>
      <c r="O75" s="2048">
        <v>22</v>
      </c>
    </row>
    <row r="76" spans="1:16" ht="18" customHeight="1" x14ac:dyDescent="0.3">
      <c r="A76" s="552" t="s">
        <v>1134</v>
      </c>
      <c r="B76" s="1565">
        <v>0</v>
      </c>
      <c r="C76" s="1565">
        <v>0</v>
      </c>
      <c r="D76" s="1565">
        <v>0</v>
      </c>
      <c r="E76" s="1565">
        <v>2</v>
      </c>
      <c r="F76" s="1565">
        <v>2</v>
      </c>
      <c r="G76" s="1565">
        <v>0</v>
      </c>
      <c r="H76" s="1565">
        <v>3</v>
      </c>
      <c r="I76" s="1565">
        <v>2</v>
      </c>
      <c r="J76" s="1565">
        <v>2</v>
      </c>
      <c r="K76" s="1565">
        <v>0</v>
      </c>
      <c r="L76" s="1565">
        <v>0</v>
      </c>
      <c r="M76" s="1565">
        <v>1</v>
      </c>
      <c r="N76" s="1565">
        <v>0</v>
      </c>
      <c r="O76" s="2048">
        <v>0</v>
      </c>
    </row>
    <row r="77" spans="1:16" ht="18" customHeight="1" x14ac:dyDescent="0.3">
      <c r="A77" s="552" t="s">
        <v>1103</v>
      </c>
      <c r="B77" s="1565">
        <v>21</v>
      </c>
      <c r="C77" s="1565">
        <v>18</v>
      </c>
      <c r="D77" s="1565">
        <v>15</v>
      </c>
      <c r="E77" s="1565">
        <v>19</v>
      </c>
      <c r="F77" s="1565">
        <v>16</v>
      </c>
      <c r="G77" s="1565">
        <v>12</v>
      </c>
      <c r="H77" s="1565">
        <v>20</v>
      </c>
      <c r="I77" s="1565">
        <v>9</v>
      </c>
      <c r="J77" s="1565">
        <v>13</v>
      </c>
      <c r="K77" s="1565">
        <v>13</v>
      </c>
      <c r="L77" s="1565">
        <v>12</v>
      </c>
      <c r="M77" s="1565">
        <v>4</v>
      </c>
      <c r="N77" s="1565">
        <v>2</v>
      </c>
      <c r="O77" s="2048">
        <v>0</v>
      </c>
    </row>
    <row r="78" spans="1:16" ht="18" customHeight="1" x14ac:dyDescent="0.3">
      <c r="A78" s="552" t="s">
        <v>520</v>
      </c>
      <c r="B78" s="1565">
        <v>5</v>
      </c>
      <c r="C78" s="1565">
        <v>8</v>
      </c>
      <c r="D78" s="1565">
        <v>5</v>
      </c>
      <c r="E78" s="1565">
        <v>7</v>
      </c>
      <c r="F78" s="1565">
        <v>8</v>
      </c>
      <c r="G78" s="1565">
        <v>9</v>
      </c>
      <c r="H78" s="1565">
        <v>5</v>
      </c>
      <c r="I78" s="1565">
        <v>9</v>
      </c>
      <c r="J78" s="1565">
        <v>0</v>
      </c>
      <c r="K78" s="1565">
        <v>0</v>
      </c>
      <c r="L78" s="1565">
        <v>0</v>
      </c>
      <c r="M78" s="1565">
        <v>0</v>
      </c>
      <c r="N78" s="1565">
        <v>0</v>
      </c>
      <c r="O78" s="2048">
        <v>0</v>
      </c>
    </row>
    <row r="79" spans="1:16" ht="18" customHeight="1" x14ac:dyDescent="0.3">
      <c r="A79" s="553" t="s">
        <v>1015</v>
      </c>
      <c r="B79" s="1296">
        <f t="shared" ref="B79:I79" si="22">SUM(B75:B78)</f>
        <v>30</v>
      </c>
      <c r="C79" s="1296">
        <f t="shared" si="22"/>
        <v>42</v>
      </c>
      <c r="D79" s="1296">
        <f t="shared" si="22"/>
        <v>28</v>
      </c>
      <c r="E79" s="1296">
        <f t="shared" si="22"/>
        <v>36</v>
      </c>
      <c r="F79" s="668">
        <f t="shared" si="22"/>
        <v>41</v>
      </c>
      <c r="G79" s="668">
        <f t="shared" si="22"/>
        <v>40</v>
      </c>
      <c r="H79" s="668">
        <f t="shared" si="22"/>
        <v>33</v>
      </c>
      <c r="I79" s="668">
        <f t="shared" si="22"/>
        <v>30</v>
      </c>
      <c r="J79" s="668">
        <f t="shared" ref="J79:O79" si="23">SUM(J75:J78)</f>
        <v>17</v>
      </c>
      <c r="K79" s="668">
        <f t="shared" si="23"/>
        <v>30</v>
      </c>
      <c r="L79" s="668">
        <f t="shared" si="23"/>
        <v>40</v>
      </c>
      <c r="M79" s="668">
        <f t="shared" si="23"/>
        <v>41</v>
      </c>
      <c r="N79" s="2054">
        <f t="shared" si="23"/>
        <v>49</v>
      </c>
      <c r="O79" s="2050">
        <f t="shared" si="23"/>
        <v>22</v>
      </c>
    </row>
    <row r="80" spans="1:16" ht="18" customHeight="1" thickBot="1" x14ac:dyDescent="0.35">
      <c r="A80" s="556" t="s">
        <v>427</v>
      </c>
      <c r="B80" s="545">
        <f t="shared" ref="B80:I80" si="24">+B79+B73+B65</f>
        <v>124</v>
      </c>
      <c r="C80" s="545">
        <f t="shared" si="24"/>
        <v>147</v>
      </c>
      <c r="D80" s="545">
        <f t="shared" si="24"/>
        <v>143</v>
      </c>
      <c r="E80" s="545">
        <f t="shared" si="24"/>
        <v>151</v>
      </c>
      <c r="F80" s="581">
        <f t="shared" si="24"/>
        <v>150</v>
      </c>
      <c r="G80" s="581">
        <f t="shared" si="24"/>
        <v>138</v>
      </c>
      <c r="H80" s="581">
        <f t="shared" si="24"/>
        <v>148</v>
      </c>
      <c r="I80" s="581">
        <f t="shared" si="24"/>
        <v>148</v>
      </c>
      <c r="J80" s="581">
        <f t="shared" ref="J80:O80" si="25">+J79+J73+J65</f>
        <v>135</v>
      </c>
      <c r="K80" s="581">
        <f t="shared" si="25"/>
        <v>153</v>
      </c>
      <c r="L80" s="581">
        <f t="shared" si="25"/>
        <v>146</v>
      </c>
      <c r="M80" s="581">
        <f t="shared" si="25"/>
        <v>187</v>
      </c>
      <c r="N80" s="581">
        <f t="shared" si="25"/>
        <v>170</v>
      </c>
      <c r="O80" s="2067">
        <f t="shared" si="25"/>
        <v>132</v>
      </c>
      <c r="P80" s="2072"/>
    </row>
    <row r="81" spans="1:15" ht="20.25" customHeight="1" thickBot="1" x14ac:dyDescent="0.35">
      <c r="A81" s="2134" t="s">
        <v>428</v>
      </c>
      <c r="B81" s="2135"/>
      <c r="C81" s="2135"/>
      <c r="D81" s="2135"/>
      <c r="E81" s="2135"/>
      <c r="F81" s="2135"/>
      <c r="G81" s="2135"/>
      <c r="H81" s="2135"/>
      <c r="I81" s="2135"/>
      <c r="J81" s="2135"/>
      <c r="K81" s="2135"/>
      <c r="L81" s="2135"/>
      <c r="M81" s="2135"/>
      <c r="N81" s="2135"/>
      <c r="O81" s="2136"/>
    </row>
    <row r="82" spans="1:15" ht="20.25" customHeight="1" x14ac:dyDescent="0.3">
      <c r="A82" s="549" t="s">
        <v>410</v>
      </c>
      <c r="B82" s="2068" t="s">
        <v>795</v>
      </c>
      <c r="C82" s="2068" t="s">
        <v>652</v>
      </c>
      <c r="D82" s="2068" t="s">
        <v>1359</v>
      </c>
      <c r="E82" s="2068" t="s">
        <v>1105</v>
      </c>
      <c r="F82" s="2051" t="s">
        <v>372</v>
      </c>
      <c r="G82" s="2051" t="s">
        <v>615</v>
      </c>
      <c r="H82" s="2051" t="s">
        <v>1418</v>
      </c>
      <c r="I82" s="2051" t="s">
        <v>1446</v>
      </c>
      <c r="J82" s="2051" t="s">
        <v>1447</v>
      </c>
      <c r="K82" s="2051" t="s">
        <v>1438</v>
      </c>
      <c r="L82" s="2051" t="s">
        <v>1549</v>
      </c>
      <c r="M82" s="2055" t="s">
        <v>1611</v>
      </c>
      <c r="N82" s="2051" t="s">
        <v>1639</v>
      </c>
      <c r="O82" s="1524" t="str">
        <f>+O55</f>
        <v>2015-2016</v>
      </c>
    </row>
    <row r="83" spans="1:15" ht="18" customHeight="1" x14ac:dyDescent="0.3">
      <c r="A83" s="1491" t="s">
        <v>1638</v>
      </c>
      <c r="B83" s="1262"/>
      <c r="C83" s="1262"/>
      <c r="D83" s="1495"/>
      <c r="E83" s="1495"/>
      <c r="F83" s="1262"/>
      <c r="G83" s="1262"/>
      <c r="H83" s="1262"/>
      <c r="I83" s="1262"/>
      <c r="J83" s="1262"/>
      <c r="K83" s="1262"/>
      <c r="L83" s="1262"/>
      <c r="M83" s="2056"/>
      <c r="N83" s="1262"/>
      <c r="O83" s="2063"/>
    </row>
    <row r="84" spans="1:15" ht="18" customHeight="1" x14ac:dyDescent="0.3">
      <c r="A84" s="552" t="s">
        <v>1151</v>
      </c>
      <c r="B84" s="1565">
        <v>24</v>
      </c>
      <c r="C84" s="1565">
        <v>24</v>
      </c>
      <c r="D84" s="1565">
        <v>12</v>
      </c>
      <c r="E84" s="1565">
        <v>18</v>
      </c>
      <c r="F84" s="1565">
        <v>23</v>
      </c>
      <c r="G84" s="1565">
        <v>22</v>
      </c>
      <c r="H84" s="1565">
        <v>14</v>
      </c>
      <c r="I84" s="1565">
        <v>16</v>
      </c>
      <c r="J84" s="1565">
        <v>25</v>
      </c>
      <c r="K84" s="1565">
        <v>16</v>
      </c>
      <c r="L84" s="1565">
        <v>17</v>
      </c>
      <c r="M84" s="2057">
        <v>28</v>
      </c>
      <c r="N84" s="1565">
        <v>12</v>
      </c>
      <c r="O84" s="2048">
        <v>21</v>
      </c>
    </row>
    <row r="85" spans="1:15" ht="18" customHeight="1" x14ac:dyDescent="0.3">
      <c r="A85" s="552" t="s">
        <v>1156</v>
      </c>
      <c r="B85" s="1565">
        <v>18</v>
      </c>
      <c r="C85" s="1565">
        <v>17</v>
      </c>
      <c r="D85" s="1565">
        <v>12</v>
      </c>
      <c r="E85" s="1565">
        <v>18</v>
      </c>
      <c r="F85" s="1565">
        <v>5</v>
      </c>
      <c r="G85" s="1565">
        <v>7</v>
      </c>
      <c r="H85" s="1565">
        <v>7</v>
      </c>
      <c r="I85" s="1565">
        <v>8</v>
      </c>
      <c r="J85" s="1565">
        <v>4</v>
      </c>
      <c r="K85" s="1565">
        <v>9</v>
      </c>
      <c r="L85" s="1565">
        <v>4</v>
      </c>
      <c r="M85" s="2057">
        <v>11</v>
      </c>
      <c r="N85" s="1565">
        <v>8</v>
      </c>
      <c r="O85" s="2048">
        <v>10</v>
      </c>
    </row>
    <row r="86" spans="1:15" ht="18" hidden="1" customHeight="1" x14ac:dyDescent="0.3">
      <c r="A86" s="552" t="s">
        <v>1157</v>
      </c>
      <c r="B86" s="1565">
        <v>0</v>
      </c>
      <c r="C86" s="1565">
        <v>0</v>
      </c>
      <c r="D86" s="1565">
        <v>1</v>
      </c>
      <c r="E86" s="1565">
        <v>0</v>
      </c>
      <c r="F86" s="1565">
        <v>0</v>
      </c>
      <c r="G86" s="1565">
        <v>0</v>
      </c>
      <c r="H86" s="1565">
        <v>0</v>
      </c>
      <c r="I86" s="1565">
        <v>0</v>
      </c>
      <c r="J86" s="1565">
        <v>0</v>
      </c>
      <c r="K86" s="1565">
        <v>0</v>
      </c>
      <c r="L86" s="1565">
        <v>0</v>
      </c>
      <c r="M86" s="2057"/>
      <c r="N86" s="1565"/>
      <c r="O86" s="2048"/>
    </row>
    <row r="87" spans="1:15" ht="18" customHeight="1" x14ac:dyDescent="0.3">
      <c r="A87" s="552" t="s">
        <v>1158</v>
      </c>
      <c r="B87" s="1565">
        <v>2</v>
      </c>
      <c r="C87" s="1565">
        <v>8</v>
      </c>
      <c r="D87" s="1565">
        <v>10</v>
      </c>
      <c r="E87" s="1565">
        <v>24</v>
      </c>
      <c r="F87" s="1565">
        <v>23</v>
      </c>
      <c r="G87" s="1565">
        <v>24</v>
      </c>
      <c r="H87" s="1565">
        <v>17</v>
      </c>
      <c r="I87" s="1565">
        <v>31</v>
      </c>
      <c r="J87" s="1565">
        <v>23</v>
      </c>
      <c r="K87" s="1565">
        <v>34</v>
      </c>
      <c r="L87" s="1565">
        <v>42</v>
      </c>
      <c r="M87" s="2057">
        <v>35</v>
      </c>
      <c r="N87" s="1565">
        <v>42</v>
      </c>
      <c r="O87" s="2048">
        <v>32</v>
      </c>
    </row>
    <row r="88" spans="1:15" ht="18" customHeight="1" x14ac:dyDescent="0.3">
      <c r="A88" s="552" t="s">
        <v>1159</v>
      </c>
      <c r="B88" s="1565">
        <v>46</v>
      </c>
      <c r="C88" s="1565">
        <v>60</v>
      </c>
      <c r="D88" s="1565">
        <v>64</v>
      </c>
      <c r="E88" s="1565">
        <v>68</v>
      </c>
      <c r="F88" s="1565">
        <v>54</v>
      </c>
      <c r="G88" s="1565">
        <v>48</v>
      </c>
      <c r="H88" s="1565">
        <v>49</v>
      </c>
      <c r="I88" s="1565">
        <v>49</v>
      </c>
      <c r="J88" s="1565">
        <v>43</v>
      </c>
      <c r="K88" s="1565">
        <v>51</v>
      </c>
      <c r="L88" s="1565">
        <v>40</v>
      </c>
      <c r="M88" s="2057">
        <v>44</v>
      </c>
      <c r="N88" s="1565">
        <v>37</v>
      </c>
      <c r="O88" s="2048">
        <v>40</v>
      </c>
    </row>
    <row r="89" spans="1:15" ht="18" hidden="1" customHeight="1" x14ac:dyDescent="0.3">
      <c r="A89" s="552" t="s">
        <v>82</v>
      </c>
      <c r="B89" s="1565">
        <v>24</v>
      </c>
      <c r="C89" s="1565">
        <v>15</v>
      </c>
      <c r="D89" s="1565">
        <v>2</v>
      </c>
      <c r="E89" s="1565">
        <v>1</v>
      </c>
      <c r="F89" s="1565">
        <v>0</v>
      </c>
      <c r="G89" s="1565">
        <v>0</v>
      </c>
      <c r="H89" s="1565">
        <v>0</v>
      </c>
      <c r="I89" s="1565">
        <v>0</v>
      </c>
      <c r="J89" s="1565">
        <v>0</v>
      </c>
      <c r="K89" s="1565">
        <v>0</v>
      </c>
      <c r="L89" s="1565">
        <v>0</v>
      </c>
      <c r="M89" s="2057"/>
      <c r="N89" s="1565"/>
      <c r="O89" s="2048"/>
    </row>
    <row r="90" spans="1:15" ht="18" customHeight="1" x14ac:dyDescent="0.3">
      <c r="A90" s="552" t="s">
        <v>1139</v>
      </c>
      <c r="B90" s="1565">
        <v>0</v>
      </c>
      <c r="C90" s="1565">
        <v>0</v>
      </c>
      <c r="D90" s="1565">
        <v>0</v>
      </c>
      <c r="E90" s="1565">
        <v>0</v>
      </c>
      <c r="F90" s="1565">
        <v>8</v>
      </c>
      <c r="G90" s="1565">
        <v>1</v>
      </c>
      <c r="H90" s="1565">
        <v>4</v>
      </c>
      <c r="I90" s="1565">
        <v>5</v>
      </c>
      <c r="J90" s="1565">
        <v>5</v>
      </c>
      <c r="K90" s="1565">
        <v>6</v>
      </c>
      <c r="L90" s="1565">
        <v>7</v>
      </c>
      <c r="M90" s="2057">
        <v>7</v>
      </c>
      <c r="N90" s="1565">
        <v>7</v>
      </c>
      <c r="O90" s="2048">
        <v>2</v>
      </c>
    </row>
    <row r="91" spans="1:15" ht="18" customHeight="1" x14ac:dyDescent="0.3">
      <c r="A91" s="553" t="s">
        <v>1015</v>
      </c>
      <c r="B91" s="1296">
        <f t="shared" ref="B91:I91" si="26">SUM(B84:B90)</f>
        <v>114</v>
      </c>
      <c r="C91" s="1296">
        <f t="shared" si="26"/>
        <v>124</v>
      </c>
      <c r="D91" s="1296">
        <f t="shared" si="26"/>
        <v>101</v>
      </c>
      <c r="E91" s="1296">
        <f t="shared" si="26"/>
        <v>129</v>
      </c>
      <c r="F91" s="668">
        <f t="shared" si="26"/>
        <v>113</v>
      </c>
      <c r="G91" s="668">
        <f t="shared" si="26"/>
        <v>102</v>
      </c>
      <c r="H91" s="668">
        <f t="shared" si="26"/>
        <v>91</v>
      </c>
      <c r="I91" s="668">
        <f t="shared" si="26"/>
        <v>109</v>
      </c>
      <c r="J91" s="668">
        <f t="shared" ref="J91:O91" si="27">SUM(J84:J90)</f>
        <v>100</v>
      </c>
      <c r="K91" s="668">
        <f t="shared" si="27"/>
        <v>116</v>
      </c>
      <c r="L91" s="668">
        <f t="shared" si="27"/>
        <v>110</v>
      </c>
      <c r="M91" s="2058">
        <f t="shared" si="27"/>
        <v>125</v>
      </c>
      <c r="N91" s="2054">
        <f t="shared" si="27"/>
        <v>106</v>
      </c>
      <c r="O91" s="1566">
        <f t="shared" si="27"/>
        <v>105</v>
      </c>
    </row>
    <row r="92" spans="1:15" ht="18" customHeight="1" x14ac:dyDescent="0.3">
      <c r="A92" s="551" t="s">
        <v>429</v>
      </c>
      <c r="B92" s="1360"/>
      <c r="C92" s="1360"/>
      <c r="D92" s="1360"/>
      <c r="E92" s="1360"/>
      <c r="F92" s="664"/>
      <c r="G92" s="664"/>
      <c r="H92" s="664"/>
      <c r="I92" s="664"/>
      <c r="J92" s="664"/>
      <c r="K92" s="664"/>
      <c r="L92" s="664"/>
      <c r="M92" s="2059"/>
      <c r="N92" s="2052"/>
      <c r="O92" s="2064"/>
    </row>
    <row r="93" spans="1:15" ht="18" customHeight="1" x14ac:dyDescent="0.3">
      <c r="A93" s="557" t="s">
        <v>513</v>
      </c>
      <c r="B93" s="1565"/>
      <c r="C93" s="1565"/>
      <c r="D93" s="1565"/>
      <c r="E93" s="1565"/>
      <c r="F93" s="1565">
        <v>0</v>
      </c>
      <c r="G93" s="1565">
        <v>0</v>
      </c>
      <c r="H93" s="1565">
        <v>3</v>
      </c>
      <c r="I93" s="1565">
        <v>3</v>
      </c>
      <c r="J93" s="1565">
        <v>1</v>
      </c>
      <c r="K93" s="1565">
        <v>3</v>
      </c>
      <c r="L93" s="1565">
        <v>2</v>
      </c>
      <c r="M93" s="2057">
        <v>1</v>
      </c>
      <c r="N93" s="1565">
        <v>0</v>
      </c>
      <c r="O93" s="2048">
        <v>3</v>
      </c>
    </row>
    <row r="94" spans="1:15" ht="18" customHeight="1" x14ac:dyDescent="0.3">
      <c r="A94" s="557" t="s">
        <v>1130</v>
      </c>
      <c r="B94" s="1565">
        <v>7</v>
      </c>
      <c r="C94" s="1565">
        <v>10</v>
      </c>
      <c r="D94" s="1565">
        <v>5</v>
      </c>
      <c r="E94" s="1565">
        <v>10</v>
      </c>
      <c r="F94" s="1565">
        <v>12</v>
      </c>
      <c r="G94" s="1565">
        <v>18</v>
      </c>
      <c r="H94" s="1565">
        <v>17</v>
      </c>
      <c r="I94" s="1565">
        <v>14</v>
      </c>
      <c r="J94" s="1565">
        <v>9</v>
      </c>
      <c r="K94" s="1565">
        <v>6</v>
      </c>
      <c r="L94" s="1565">
        <v>13</v>
      </c>
      <c r="M94" s="2057">
        <v>9</v>
      </c>
      <c r="N94" s="1565">
        <v>3</v>
      </c>
      <c r="O94" s="2048">
        <v>10</v>
      </c>
    </row>
    <row r="95" spans="1:15" ht="18" customHeight="1" x14ac:dyDescent="0.3">
      <c r="A95" s="557" t="s">
        <v>880</v>
      </c>
      <c r="B95" s="1565">
        <v>0</v>
      </c>
      <c r="C95" s="1565">
        <v>0</v>
      </c>
      <c r="D95" s="1565">
        <v>0</v>
      </c>
      <c r="E95" s="1565">
        <v>0</v>
      </c>
      <c r="F95" s="1565">
        <v>0</v>
      </c>
      <c r="G95" s="1565">
        <v>8</v>
      </c>
      <c r="H95" s="1565">
        <v>6</v>
      </c>
      <c r="I95" s="1565">
        <v>2</v>
      </c>
      <c r="J95" s="1565">
        <v>1</v>
      </c>
      <c r="K95" s="1565">
        <v>0</v>
      </c>
      <c r="L95" s="1565">
        <v>0</v>
      </c>
      <c r="M95" s="2057">
        <v>0</v>
      </c>
      <c r="N95" s="1565">
        <v>0</v>
      </c>
      <c r="O95" s="2048">
        <v>0</v>
      </c>
    </row>
    <row r="96" spans="1:15" ht="18" hidden="1" customHeight="1" x14ac:dyDescent="0.3">
      <c r="A96" s="557" t="s">
        <v>776</v>
      </c>
      <c r="B96" s="1565">
        <v>2</v>
      </c>
      <c r="C96" s="1565">
        <v>3</v>
      </c>
      <c r="D96" s="1565">
        <v>6</v>
      </c>
      <c r="E96" s="1565">
        <v>2</v>
      </c>
      <c r="F96" s="1565">
        <v>1</v>
      </c>
      <c r="G96" s="1565">
        <v>0</v>
      </c>
      <c r="H96" s="1565">
        <v>0</v>
      </c>
      <c r="I96" s="1565">
        <v>0</v>
      </c>
      <c r="J96" s="1565">
        <v>0</v>
      </c>
      <c r="K96" s="1565">
        <v>0</v>
      </c>
      <c r="L96" s="1565">
        <v>0</v>
      </c>
      <c r="M96" s="2057"/>
      <c r="N96" s="1565"/>
      <c r="O96" s="2048"/>
    </row>
    <row r="97" spans="1:15" ht="18" hidden="1" customHeight="1" x14ac:dyDescent="0.3">
      <c r="A97" s="557" t="s">
        <v>524</v>
      </c>
      <c r="B97" s="1565">
        <v>0</v>
      </c>
      <c r="C97" s="1565">
        <v>0</v>
      </c>
      <c r="D97" s="1565">
        <v>0</v>
      </c>
      <c r="E97" s="1565">
        <v>1</v>
      </c>
      <c r="F97" s="1565">
        <v>1</v>
      </c>
      <c r="G97" s="1565">
        <v>0</v>
      </c>
      <c r="H97" s="1565">
        <v>0</v>
      </c>
      <c r="I97" s="1565">
        <v>0</v>
      </c>
      <c r="J97" s="1565">
        <v>0</v>
      </c>
      <c r="K97" s="1565">
        <v>0</v>
      </c>
      <c r="L97" s="1565">
        <v>0</v>
      </c>
      <c r="M97" s="2057"/>
      <c r="N97" s="1565"/>
      <c r="O97" s="2048"/>
    </row>
    <row r="98" spans="1:15" ht="18" customHeight="1" x14ac:dyDescent="0.3">
      <c r="A98" s="557" t="s">
        <v>789</v>
      </c>
      <c r="B98" s="1565">
        <v>3</v>
      </c>
      <c r="C98" s="1565">
        <v>4</v>
      </c>
      <c r="D98" s="1565">
        <v>2</v>
      </c>
      <c r="E98" s="1565">
        <v>4</v>
      </c>
      <c r="F98" s="1565">
        <v>3</v>
      </c>
      <c r="G98" s="1565">
        <v>1</v>
      </c>
      <c r="H98" s="1565">
        <v>4</v>
      </c>
      <c r="I98" s="1565">
        <v>4</v>
      </c>
      <c r="J98" s="1565">
        <v>1</v>
      </c>
      <c r="K98" s="1565">
        <v>1</v>
      </c>
      <c r="L98" s="1565">
        <v>1</v>
      </c>
      <c r="M98" s="2057">
        <v>1</v>
      </c>
      <c r="N98" s="1565">
        <v>1</v>
      </c>
      <c r="O98" s="2048">
        <v>2</v>
      </c>
    </row>
    <row r="99" spans="1:15" ht="18" customHeight="1" x14ac:dyDescent="0.3">
      <c r="A99" s="557" t="s">
        <v>525</v>
      </c>
      <c r="B99" s="1565">
        <v>0</v>
      </c>
      <c r="C99" s="1565">
        <v>0</v>
      </c>
      <c r="D99" s="1565">
        <v>0</v>
      </c>
      <c r="E99" s="1565">
        <v>1</v>
      </c>
      <c r="F99" s="1565">
        <v>4</v>
      </c>
      <c r="G99" s="1565">
        <v>0</v>
      </c>
      <c r="H99" s="1565">
        <v>0</v>
      </c>
      <c r="I99" s="1565">
        <v>1</v>
      </c>
      <c r="J99" s="1565">
        <v>3</v>
      </c>
      <c r="K99" s="1565">
        <v>0</v>
      </c>
      <c r="L99" s="1565">
        <v>0</v>
      </c>
      <c r="M99" s="2057">
        <v>0</v>
      </c>
      <c r="N99" s="1565">
        <v>0</v>
      </c>
      <c r="O99" s="2048">
        <v>0</v>
      </c>
    </row>
    <row r="100" spans="1:15" ht="18" customHeight="1" x14ac:dyDescent="0.3">
      <c r="A100" s="557" t="s">
        <v>1106</v>
      </c>
      <c r="B100" s="1567">
        <v>7</v>
      </c>
      <c r="C100" s="1567">
        <v>7</v>
      </c>
      <c r="D100" s="1567">
        <v>6</v>
      </c>
      <c r="E100" s="1567">
        <v>8</v>
      </c>
      <c r="F100" s="1567">
        <v>26</v>
      </c>
      <c r="G100" s="1567">
        <v>12</v>
      </c>
      <c r="H100" s="1567">
        <v>13</v>
      </c>
      <c r="I100" s="1567">
        <v>8</v>
      </c>
      <c r="J100" s="1567">
        <v>11</v>
      </c>
      <c r="K100" s="1567">
        <v>10</v>
      </c>
      <c r="L100" s="1567">
        <v>14</v>
      </c>
      <c r="M100" s="2060">
        <v>19</v>
      </c>
      <c r="N100" s="1567">
        <v>16</v>
      </c>
      <c r="O100" s="2065">
        <v>10</v>
      </c>
    </row>
    <row r="101" spans="1:15" ht="18" customHeight="1" x14ac:dyDescent="0.3">
      <c r="A101" s="557" t="s">
        <v>650</v>
      </c>
      <c r="B101" s="1565">
        <v>0</v>
      </c>
      <c r="C101" s="1565">
        <v>2</v>
      </c>
      <c r="D101" s="1565">
        <v>4</v>
      </c>
      <c r="E101" s="1565">
        <v>1</v>
      </c>
      <c r="F101" s="1565">
        <v>1</v>
      </c>
      <c r="G101" s="1565">
        <v>2</v>
      </c>
      <c r="H101" s="1565">
        <v>4</v>
      </c>
      <c r="I101" s="1565">
        <v>1</v>
      </c>
      <c r="J101" s="1565">
        <v>3</v>
      </c>
      <c r="K101" s="1565">
        <v>0</v>
      </c>
      <c r="L101" s="1565">
        <v>0</v>
      </c>
      <c r="M101" s="2057">
        <v>0</v>
      </c>
      <c r="N101" s="1565">
        <v>0</v>
      </c>
      <c r="O101" s="2048">
        <v>0</v>
      </c>
    </row>
    <row r="102" spans="1:15" ht="18" customHeight="1" x14ac:dyDescent="0.3">
      <c r="A102" s="557" t="s">
        <v>1108</v>
      </c>
      <c r="B102" s="1565">
        <v>8</v>
      </c>
      <c r="C102" s="1565">
        <v>6</v>
      </c>
      <c r="D102" s="1565">
        <v>11</v>
      </c>
      <c r="E102" s="1565">
        <v>6</v>
      </c>
      <c r="F102" s="1565">
        <v>11</v>
      </c>
      <c r="G102" s="1565">
        <v>7</v>
      </c>
      <c r="H102" s="1565">
        <v>16</v>
      </c>
      <c r="I102" s="1565">
        <v>20</v>
      </c>
      <c r="J102" s="1565">
        <v>14</v>
      </c>
      <c r="K102" s="1565">
        <v>13</v>
      </c>
      <c r="L102" s="1565">
        <v>17</v>
      </c>
      <c r="M102" s="2057">
        <v>9</v>
      </c>
      <c r="N102" s="1565">
        <v>17</v>
      </c>
      <c r="O102" s="2048">
        <v>19</v>
      </c>
    </row>
    <row r="103" spans="1:15" ht="18" customHeight="1" x14ac:dyDescent="0.3">
      <c r="A103" s="557" t="s">
        <v>521</v>
      </c>
      <c r="B103" s="1565">
        <v>5</v>
      </c>
      <c r="C103" s="1565">
        <v>2</v>
      </c>
      <c r="D103" s="1565">
        <v>2</v>
      </c>
      <c r="E103" s="1565">
        <v>1</v>
      </c>
      <c r="F103" s="1565">
        <v>5</v>
      </c>
      <c r="G103" s="1565">
        <v>2</v>
      </c>
      <c r="H103" s="1565">
        <v>3</v>
      </c>
      <c r="I103" s="1565">
        <v>2</v>
      </c>
      <c r="J103" s="1565">
        <v>3</v>
      </c>
      <c r="K103" s="1565">
        <v>0</v>
      </c>
      <c r="L103" s="1565">
        <v>0</v>
      </c>
      <c r="M103" s="2057">
        <v>0</v>
      </c>
      <c r="N103" s="1565">
        <v>0</v>
      </c>
      <c r="O103" s="2048">
        <v>0</v>
      </c>
    </row>
    <row r="104" spans="1:15" ht="18" customHeight="1" x14ac:dyDescent="0.3">
      <c r="A104" s="553" t="s">
        <v>1015</v>
      </c>
      <c r="B104" s="1296">
        <f>SUM(B94:B103)</f>
        <v>32</v>
      </c>
      <c r="C104" s="1296">
        <f>SUM(C94:C103)</f>
        <v>34</v>
      </c>
      <c r="D104" s="1296">
        <f>SUM(D94:D103)</f>
        <v>36</v>
      </c>
      <c r="E104" s="1296">
        <f>SUM(E94:E103)</f>
        <v>34</v>
      </c>
      <c r="F104" s="668">
        <f t="shared" ref="F104:K104" si="28">SUM(F93:F103)</f>
        <v>64</v>
      </c>
      <c r="G104" s="668">
        <f t="shared" si="28"/>
        <v>50</v>
      </c>
      <c r="H104" s="668">
        <f t="shared" si="28"/>
        <v>66</v>
      </c>
      <c r="I104" s="668">
        <f t="shared" si="28"/>
        <v>55</v>
      </c>
      <c r="J104" s="668">
        <f t="shared" si="28"/>
        <v>46</v>
      </c>
      <c r="K104" s="668">
        <f t="shared" si="28"/>
        <v>33</v>
      </c>
      <c r="L104" s="668">
        <f>SUM(L93:L103)</f>
        <v>47</v>
      </c>
      <c r="M104" s="2058">
        <f>SUM(M93:M103)</f>
        <v>39</v>
      </c>
      <c r="N104" s="2054">
        <f>SUM(N93:N103)</f>
        <v>37</v>
      </c>
      <c r="O104" s="1566">
        <f>SUM(O93:O103)</f>
        <v>44</v>
      </c>
    </row>
    <row r="105" spans="1:15" ht="18" customHeight="1" thickBot="1" x14ac:dyDescent="0.35">
      <c r="A105" s="558" t="s">
        <v>430</v>
      </c>
      <c r="B105" s="468">
        <f t="shared" ref="B105:I105" si="29">+B104+B91</f>
        <v>146</v>
      </c>
      <c r="C105" s="468">
        <f t="shared" si="29"/>
        <v>158</v>
      </c>
      <c r="D105" s="468">
        <f t="shared" si="29"/>
        <v>137</v>
      </c>
      <c r="E105" s="468">
        <f t="shared" si="29"/>
        <v>163</v>
      </c>
      <c r="F105" s="669">
        <f t="shared" si="29"/>
        <v>177</v>
      </c>
      <c r="G105" s="724">
        <f t="shared" si="29"/>
        <v>152</v>
      </c>
      <c r="H105" s="724">
        <f t="shared" si="29"/>
        <v>157</v>
      </c>
      <c r="I105" s="724">
        <f t="shared" si="29"/>
        <v>164</v>
      </c>
      <c r="J105" s="724">
        <f t="shared" ref="J105:O105" si="30">+J104+J91</f>
        <v>146</v>
      </c>
      <c r="K105" s="724">
        <f t="shared" si="30"/>
        <v>149</v>
      </c>
      <c r="L105" s="724">
        <f t="shared" si="30"/>
        <v>157</v>
      </c>
      <c r="M105" s="2061">
        <f t="shared" si="30"/>
        <v>164</v>
      </c>
      <c r="N105" s="724">
        <f t="shared" si="30"/>
        <v>143</v>
      </c>
      <c r="O105" s="2066">
        <f t="shared" si="30"/>
        <v>149</v>
      </c>
    </row>
    <row r="106" spans="1:15" ht="18" customHeight="1" thickTop="1" thickBot="1" x14ac:dyDescent="0.35">
      <c r="A106" s="559" t="s">
        <v>1003</v>
      </c>
      <c r="B106" s="560">
        <f t="shared" ref="B106:M106" si="31">B105+B80+B53+B27</f>
        <v>403</v>
      </c>
      <c r="C106" s="560">
        <f t="shared" si="31"/>
        <v>421</v>
      </c>
      <c r="D106" s="560">
        <f t="shared" si="31"/>
        <v>426</v>
      </c>
      <c r="E106" s="560">
        <f t="shared" si="31"/>
        <v>473</v>
      </c>
      <c r="F106" s="670">
        <f t="shared" si="31"/>
        <v>485</v>
      </c>
      <c r="G106" s="561">
        <f t="shared" si="31"/>
        <v>419</v>
      </c>
      <c r="H106" s="561">
        <f t="shared" si="31"/>
        <v>475</v>
      </c>
      <c r="I106" s="561">
        <f t="shared" si="31"/>
        <v>481</v>
      </c>
      <c r="J106" s="561">
        <f t="shared" si="31"/>
        <v>447</v>
      </c>
      <c r="K106" s="561">
        <f t="shared" si="31"/>
        <v>472</v>
      </c>
      <c r="L106" s="561">
        <f t="shared" si="31"/>
        <v>497</v>
      </c>
      <c r="M106" s="2062">
        <f t="shared" si="31"/>
        <v>582</v>
      </c>
      <c r="N106" s="670">
        <f>N105+N80+N53+N27</f>
        <v>494</v>
      </c>
      <c r="O106" s="561">
        <f>O105+O80+O53+O27</f>
        <v>460</v>
      </c>
    </row>
    <row r="107" spans="1:15" ht="81" customHeight="1" x14ac:dyDescent="0.25">
      <c r="A107" s="1568" t="s">
        <v>483</v>
      </c>
      <c r="B107" s="1568"/>
      <c r="C107" s="1568"/>
      <c r="D107" s="1568"/>
      <c r="E107" s="1568"/>
      <c r="F107" s="1568"/>
      <c r="G107" s="1568"/>
      <c r="H107" s="1568"/>
      <c r="I107" s="1568"/>
      <c r="J107" s="1568"/>
      <c r="K107" s="1568"/>
      <c r="L107" s="1568"/>
    </row>
  </sheetData>
  <mergeCells count="6">
    <mergeCell ref="A81:O81"/>
    <mergeCell ref="A1:O1"/>
    <mergeCell ref="A2:O2"/>
    <mergeCell ref="A3:O3"/>
    <mergeCell ref="A28:O28"/>
    <mergeCell ref="A54:O54"/>
  </mergeCells>
  <phoneticPr fontId="16" type="noConversion"/>
  <printOptions horizontalCentered="1" verticalCentered="1"/>
  <pageMargins left="0.2" right="0.2" top="0.3" bottom="0.4" header="0" footer="0.15"/>
  <pageSetup scale="53" orientation="landscape" r:id="rId1"/>
  <headerFooter alignWithMargins="0">
    <oddFooter>&amp;LSource: Office of Institutional Research</oddFooter>
  </headerFooter>
  <rowBreaks count="1" manualBreakCount="1">
    <brk id="53" max="16383" man="1"/>
  </rowBreaks>
  <legacyDrawing r:id="rId2"/>
  <webPublishItems count="1">
    <webPublishItem id="5393" divId="2004_2005 FACT BOOK WORKING COPY_5393" sourceType="sheet" destinationFile="C:\Documents and Settings\mkirkpatrick\My Documents\2005-2006 Fact Book\2005-2006 WEB PAGES\05_06degrees_conferred_by_college.htm"/>
  </webPublishItem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14"/>
  <sheetViews>
    <sheetView zoomScale="34" zoomScaleNormal="34" workbookViewId="0">
      <selection sqref="A1:AK1"/>
    </sheetView>
  </sheetViews>
  <sheetFormatPr defaultColWidth="9.109375" defaultRowHeight="13.2" x14ac:dyDescent="0.25"/>
  <cols>
    <col min="1" max="1" width="67.33203125" style="863" customWidth="1"/>
    <col min="2" max="13" width="12.88671875" style="863" customWidth="1"/>
    <col min="14" max="23" width="15.6640625" style="863" customWidth="1"/>
    <col min="24" max="24" width="15.33203125" style="863" customWidth="1"/>
    <col min="25" max="25" width="15.6640625" style="863" customWidth="1"/>
    <col min="26" max="26" width="14.109375" style="863" customWidth="1"/>
    <col min="27" max="27" width="15.6640625" style="863" customWidth="1"/>
    <col min="28" max="28" width="14.109375" style="863" customWidth="1"/>
    <col min="29" max="29" width="15.6640625" style="863" customWidth="1"/>
    <col min="30" max="30" width="14.5546875" style="863" customWidth="1"/>
    <col min="31" max="31" width="15.6640625" style="863" customWidth="1"/>
    <col min="32" max="32" width="14.5546875" style="863" customWidth="1"/>
    <col min="33" max="33" width="15.6640625" style="863" customWidth="1"/>
    <col min="34" max="34" width="14.5546875" style="863" customWidth="1"/>
    <col min="35" max="72" width="15.6640625" style="863" customWidth="1"/>
    <col min="73" max="16384" width="9.109375" style="863"/>
  </cols>
  <sheetData>
    <row r="1" spans="1:37" ht="19.2" x14ac:dyDescent="0.35">
      <c r="A1" s="2214" t="s">
        <v>762</v>
      </c>
      <c r="B1" s="2214"/>
      <c r="C1" s="2214"/>
      <c r="D1" s="2214"/>
      <c r="E1" s="2214"/>
      <c r="F1" s="2214"/>
      <c r="G1" s="2214"/>
      <c r="H1" s="2214"/>
      <c r="I1" s="2214"/>
      <c r="J1" s="2214"/>
      <c r="K1" s="2214"/>
      <c r="L1" s="2214"/>
      <c r="M1" s="2214"/>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row>
    <row r="2" spans="1:37" ht="19.5" customHeight="1" thickBot="1" x14ac:dyDescent="0.4">
      <c r="A2" s="2215" t="s">
        <v>258</v>
      </c>
      <c r="B2" s="2215"/>
      <c r="C2" s="2215"/>
      <c r="D2" s="2215"/>
      <c r="E2" s="2215"/>
      <c r="F2" s="2215"/>
      <c r="G2" s="2215"/>
      <c r="H2" s="2215"/>
      <c r="I2" s="2215"/>
      <c r="J2" s="2215"/>
      <c r="K2" s="2215"/>
      <c r="L2" s="2215"/>
      <c r="M2" s="2215"/>
      <c r="N2" s="2215"/>
      <c r="O2" s="2215"/>
      <c r="P2" s="2215"/>
      <c r="Q2" s="2215"/>
      <c r="R2" s="2215"/>
      <c r="S2" s="2215"/>
      <c r="T2" s="2215"/>
      <c r="U2" s="2215"/>
      <c r="V2" s="2215"/>
      <c r="W2" s="2215"/>
      <c r="X2" s="2215"/>
      <c r="Y2" s="2215"/>
      <c r="Z2" s="2215"/>
      <c r="AA2" s="2215"/>
      <c r="AB2" s="2215"/>
      <c r="AC2" s="2215"/>
      <c r="AD2" s="2215"/>
      <c r="AE2" s="2215"/>
      <c r="AF2" s="2215"/>
      <c r="AG2" s="2215"/>
      <c r="AH2" s="2215"/>
      <c r="AI2" s="2215"/>
      <c r="AJ2" s="2215"/>
      <c r="AK2" s="2215"/>
    </row>
    <row r="3" spans="1:37" ht="20.25" customHeight="1" thickBot="1" x14ac:dyDescent="0.35">
      <c r="A3" s="2211" t="s">
        <v>409</v>
      </c>
      <c r="B3" s="2212"/>
      <c r="C3" s="2212"/>
      <c r="D3" s="2212"/>
      <c r="E3" s="2212"/>
      <c r="F3" s="2212"/>
      <c r="G3" s="2212"/>
      <c r="H3" s="2212"/>
      <c r="I3" s="2212"/>
      <c r="J3" s="2212"/>
      <c r="K3" s="2212"/>
      <c r="L3" s="2212"/>
      <c r="M3" s="2212"/>
      <c r="N3" s="2212"/>
      <c r="O3" s="2212"/>
      <c r="P3" s="2212"/>
      <c r="Q3" s="2212"/>
      <c r="R3" s="2212"/>
      <c r="S3" s="2212"/>
      <c r="T3" s="2212"/>
      <c r="U3" s="2212"/>
      <c r="V3" s="2212"/>
      <c r="W3" s="2212"/>
      <c r="X3" s="2212"/>
      <c r="Y3" s="2212"/>
      <c r="Z3" s="2212"/>
      <c r="AA3" s="2212"/>
      <c r="AB3" s="2212"/>
      <c r="AC3" s="2212"/>
      <c r="AD3" s="2212"/>
      <c r="AE3" s="2212"/>
      <c r="AF3" s="2212"/>
      <c r="AG3" s="2212"/>
      <c r="AH3" s="2212"/>
      <c r="AI3" s="2212"/>
      <c r="AJ3" s="2212"/>
      <c r="AK3" s="2213"/>
    </row>
    <row r="4" spans="1:37" ht="20.25" customHeight="1" x14ac:dyDescent="0.3">
      <c r="A4" s="549" t="s">
        <v>410</v>
      </c>
      <c r="B4" s="547" t="s">
        <v>400</v>
      </c>
      <c r="C4" s="547" t="s">
        <v>1350</v>
      </c>
      <c r="D4" s="547" t="s">
        <v>1351</v>
      </c>
      <c r="E4" s="547" t="s">
        <v>1352</v>
      </c>
      <c r="F4" s="546" t="s">
        <v>795</v>
      </c>
      <c r="G4" s="571" t="s">
        <v>486</v>
      </c>
      <c r="H4" s="546" t="s">
        <v>652</v>
      </c>
      <c r="I4" s="571" t="s">
        <v>486</v>
      </c>
      <c r="J4" s="546" t="s">
        <v>1359</v>
      </c>
      <c r="K4" s="571" t="s">
        <v>486</v>
      </c>
      <c r="L4" s="546" t="s">
        <v>1105</v>
      </c>
      <c r="M4" s="571" t="s">
        <v>486</v>
      </c>
      <c r="N4" s="546" t="s">
        <v>283</v>
      </c>
      <c r="O4" s="571" t="s">
        <v>486</v>
      </c>
      <c r="P4" s="546" t="s">
        <v>1314</v>
      </c>
      <c r="Q4" s="571" t="s">
        <v>486</v>
      </c>
      <c r="R4" s="546" t="s">
        <v>372</v>
      </c>
      <c r="S4" s="571" t="s">
        <v>486</v>
      </c>
      <c r="T4" s="546" t="s">
        <v>615</v>
      </c>
      <c r="U4" s="571" t="s">
        <v>486</v>
      </c>
      <c r="V4" s="546" t="s">
        <v>1418</v>
      </c>
      <c r="W4" s="571" t="s">
        <v>486</v>
      </c>
      <c r="X4" s="546" t="s">
        <v>1446</v>
      </c>
      <c r="Y4" s="571" t="s">
        <v>486</v>
      </c>
      <c r="Z4" s="546" t="s">
        <v>1447</v>
      </c>
      <c r="AA4" s="571" t="s">
        <v>486</v>
      </c>
      <c r="AB4" s="546" t="s">
        <v>1438</v>
      </c>
      <c r="AC4" s="571" t="s">
        <v>486</v>
      </c>
      <c r="AD4" s="546" t="s">
        <v>1549</v>
      </c>
      <c r="AE4" s="571" t="s">
        <v>486</v>
      </c>
      <c r="AF4" s="546" t="s">
        <v>1611</v>
      </c>
      <c r="AG4" s="571" t="s">
        <v>486</v>
      </c>
      <c r="AH4" s="546" t="s">
        <v>1639</v>
      </c>
      <c r="AI4" s="571" t="s">
        <v>486</v>
      </c>
      <c r="AJ4" s="546" t="s">
        <v>1721</v>
      </c>
      <c r="AK4" s="571" t="s">
        <v>486</v>
      </c>
    </row>
    <row r="5" spans="1:37" ht="18" customHeight="1" x14ac:dyDescent="0.3">
      <c r="A5" s="864" t="s">
        <v>411</v>
      </c>
      <c r="B5" s="865"/>
      <c r="C5" s="865"/>
      <c r="D5" s="865"/>
      <c r="E5" s="865"/>
      <c r="F5" s="866"/>
      <c r="G5" s="866"/>
      <c r="H5" s="866"/>
      <c r="I5" s="866"/>
      <c r="J5" s="866"/>
      <c r="K5" s="866"/>
      <c r="L5" s="866"/>
      <c r="M5" s="866"/>
      <c r="N5" s="866"/>
      <c r="O5" s="867"/>
      <c r="P5" s="866"/>
      <c r="Q5" s="867"/>
      <c r="R5" s="866"/>
      <c r="S5" s="867"/>
      <c r="T5" s="866"/>
      <c r="U5" s="867"/>
      <c r="V5" s="866"/>
      <c r="W5" s="867"/>
      <c r="X5" s="866"/>
      <c r="Y5" s="867"/>
      <c r="Z5" s="866"/>
      <c r="AA5" s="867"/>
      <c r="AB5" s="866"/>
      <c r="AC5" s="867"/>
      <c r="AD5" s="866"/>
      <c r="AE5" s="867"/>
      <c r="AF5" s="866"/>
      <c r="AG5" s="867"/>
      <c r="AH5" s="866"/>
      <c r="AI5" s="867"/>
      <c r="AJ5" s="866"/>
      <c r="AK5" s="867"/>
    </row>
    <row r="6" spans="1:37" ht="18" customHeight="1" x14ac:dyDescent="0.3">
      <c r="A6" s="707" t="s">
        <v>1110</v>
      </c>
      <c r="B6" s="544">
        <v>13</v>
      </c>
      <c r="C6" s="544">
        <v>13</v>
      </c>
      <c r="D6" s="544">
        <v>11</v>
      </c>
      <c r="E6" s="544">
        <v>16</v>
      </c>
      <c r="F6" s="544">
        <v>11</v>
      </c>
      <c r="G6" s="573">
        <f>AVERAGE(B6:F6)</f>
        <v>12.8</v>
      </c>
      <c r="H6" s="544">
        <v>10</v>
      </c>
      <c r="I6" s="573">
        <f>(+H6+F6+E6+D6+C6)/5</f>
        <v>12.2</v>
      </c>
      <c r="J6" s="544">
        <v>10</v>
      </c>
      <c r="K6" s="573">
        <f>(+J6+H6+F6+E6+D6)/5</f>
        <v>11.6</v>
      </c>
      <c r="L6" s="544">
        <v>8</v>
      </c>
      <c r="M6" s="573">
        <f>(L6+J6+H6+F6+E6)/5</f>
        <v>11</v>
      </c>
      <c r="N6" s="544">
        <v>7</v>
      </c>
      <c r="O6" s="574">
        <f>(+N6+L6+J6+H6+F6)/5</f>
        <v>9.1999999999999993</v>
      </c>
      <c r="P6" s="544">
        <v>8</v>
      </c>
      <c r="Q6" s="574">
        <f>(P6+N6+L6+J6+H6)/5</f>
        <v>8.6</v>
      </c>
      <c r="R6" s="544">
        <v>2</v>
      </c>
      <c r="S6" s="574">
        <f>(R6+P6+N6+L6+J6)/5</f>
        <v>7</v>
      </c>
      <c r="T6" s="544">
        <v>12</v>
      </c>
      <c r="U6" s="574">
        <f>(T6+R6+P6+N6+L6)/5</f>
        <v>7.4</v>
      </c>
      <c r="V6" s="544">
        <v>14</v>
      </c>
      <c r="W6" s="574">
        <f>(V6+T6+R6+P6+N6)/5</f>
        <v>8.6</v>
      </c>
      <c r="X6" s="544">
        <v>9</v>
      </c>
      <c r="Y6" s="574">
        <f>(X6+V6+T6+R6+P6)/5</f>
        <v>9</v>
      </c>
      <c r="Z6" s="544">
        <v>16</v>
      </c>
      <c r="AA6" s="574">
        <f>(Z6+X6+V6+T6+R6)/5</f>
        <v>10.6</v>
      </c>
      <c r="AB6" s="544">
        <v>6</v>
      </c>
      <c r="AC6" s="574">
        <f>(AB6+Z6+X6+V6+T6)/5</f>
        <v>11.4</v>
      </c>
      <c r="AD6" s="544">
        <v>14</v>
      </c>
      <c r="AE6" s="574">
        <f>(AD6+AB6+Z6+X6+V6)/5</f>
        <v>11.8</v>
      </c>
      <c r="AF6" s="544">
        <v>16</v>
      </c>
      <c r="AG6" s="574">
        <f>(AF6+AD6+AB6+Z6+X6)/5</f>
        <v>12.2</v>
      </c>
      <c r="AH6" s="544">
        <v>9</v>
      </c>
      <c r="AI6" s="574">
        <f>(AH6+AF6+AD6+AB6+Z6)/5</f>
        <v>12.2</v>
      </c>
      <c r="AJ6" s="544">
        <v>9</v>
      </c>
      <c r="AK6" s="574">
        <f>(AJ6+AH6+AF6+AD6+AB6)/5</f>
        <v>10.8</v>
      </c>
    </row>
    <row r="7" spans="1:37" ht="18" customHeight="1" x14ac:dyDescent="0.3">
      <c r="A7" s="707" t="s">
        <v>522</v>
      </c>
      <c r="B7" s="544">
        <v>0</v>
      </c>
      <c r="C7" s="544">
        <v>0</v>
      </c>
      <c r="D7" s="544">
        <v>0</v>
      </c>
      <c r="E7" s="544">
        <v>0</v>
      </c>
      <c r="F7" s="544">
        <v>0</v>
      </c>
      <c r="G7" s="573">
        <f>AVERAGE(B7:F7)</f>
        <v>0</v>
      </c>
      <c r="H7" s="544">
        <v>0</v>
      </c>
      <c r="I7" s="573">
        <f>(+H7+F7+E7+D7+C7)/5</f>
        <v>0</v>
      </c>
      <c r="J7" s="544">
        <v>0</v>
      </c>
      <c r="K7" s="573">
        <f>(+J7+H7+F7+E7+D7)/5</f>
        <v>0</v>
      </c>
      <c r="L7" s="544">
        <v>1</v>
      </c>
      <c r="M7" s="573">
        <f>(L7+J7+H7+F7+E7)/5</f>
        <v>0.2</v>
      </c>
      <c r="N7" s="544">
        <v>1</v>
      </c>
      <c r="O7" s="574">
        <f>(+N7+L7+J7+H7+F7)/5</f>
        <v>0.4</v>
      </c>
      <c r="P7" s="544">
        <v>0</v>
      </c>
      <c r="Q7" s="574">
        <f>(P7+N7+L7+J7+H7)/5</f>
        <v>0.4</v>
      </c>
      <c r="R7" s="544">
        <v>0</v>
      </c>
      <c r="S7" s="574">
        <f>(R7+P7+N7+L7+J7)/5</f>
        <v>0.4</v>
      </c>
      <c r="T7" s="544">
        <v>1</v>
      </c>
      <c r="U7" s="574">
        <f>(T7+R7+P7+N7+L7)/5</f>
        <v>0.6</v>
      </c>
      <c r="V7" s="544">
        <v>1</v>
      </c>
      <c r="W7" s="574">
        <f>(V7+T7+R7+P7+N7)/5</f>
        <v>0.6</v>
      </c>
      <c r="X7" s="544">
        <v>0</v>
      </c>
      <c r="Y7" s="574">
        <f>(X7+V7+T7+R7+P7)/5</f>
        <v>0.4</v>
      </c>
      <c r="Z7" s="544">
        <v>3</v>
      </c>
      <c r="AA7" s="574">
        <f>(Z7+X7+V7+T7+R7)/5</f>
        <v>1</v>
      </c>
      <c r="AB7" s="544">
        <v>0</v>
      </c>
      <c r="AC7" s="574">
        <f>(AB7+Z7+X7+V7+T7)/5</f>
        <v>1</v>
      </c>
      <c r="AD7" s="544">
        <v>1</v>
      </c>
      <c r="AE7" s="574">
        <f>(AD7+AB7+Z7+X7+V7)/5</f>
        <v>1</v>
      </c>
      <c r="AF7" s="544">
        <v>2</v>
      </c>
      <c r="AG7" s="574">
        <f>(AF7+AD7+AB7+Z7+X7)/5</f>
        <v>1.2</v>
      </c>
      <c r="AH7" s="544">
        <v>1</v>
      </c>
      <c r="AI7" s="574">
        <f>(AH7+AF7+AD7+AB7+Z7)/5</f>
        <v>1.4</v>
      </c>
      <c r="AJ7" s="544">
        <v>1</v>
      </c>
      <c r="AK7" s="574">
        <f>(AJ7+AH7+AF7+AD7+AB7)/5</f>
        <v>1</v>
      </c>
    </row>
    <row r="8" spans="1:37" ht="18" customHeight="1" x14ac:dyDescent="0.3">
      <c r="A8" s="707" t="s">
        <v>755</v>
      </c>
      <c r="B8" s="544">
        <v>0</v>
      </c>
      <c r="C8" s="544">
        <v>0</v>
      </c>
      <c r="D8" s="544">
        <v>0</v>
      </c>
      <c r="E8" s="544">
        <v>0</v>
      </c>
      <c r="F8" s="544">
        <v>0</v>
      </c>
      <c r="G8" s="573">
        <f>AVERAGE(B8:F8)</f>
        <v>0</v>
      </c>
      <c r="H8" s="544">
        <v>0</v>
      </c>
      <c r="I8" s="573">
        <f>(+H8+F8+E8+D8+C8)/5</f>
        <v>0</v>
      </c>
      <c r="J8" s="544">
        <v>0</v>
      </c>
      <c r="K8" s="573">
        <v>9</v>
      </c>
      <c r="L8" s="544">
        <v>0</v>
      </c>
      <c r="M8" s="573">
        <f>(L8+J8+H8+F8+E8)/5</f>
        <v>0</v>
      </c>
      <c r="N8" s="544">
        <v>0</v>
      </c>
      <c r="O8" s="574">
        <f>(+N8+L8+J8+H8+F8)/5</f>
        <v>0</v>
      </c>
      <c r="P8" s="544">
        <v>0</v>
      </c>
      <c r="Q8" s="574">
        <f>(P8+N8+L8+J8+H8)/5</f>
        <v>0</v>
      </c>
      <c r="R8" s="544">
        <v>0</v>
      </c>
      <c r="S8" s="574">
        <f>(R8+P8+N8+L8+J8)/5</f>
        <v>0</v>
      </c>
      <c r="T8" s="544">
        <v>0</v>
      </c>
      <c r="U8" s="574">
        <f>(T8+R8+P8+N8+L8)/5</f>
        <v>0</v>
      </c>
      <c r="V8" s="544">
        <v>1</v>
      </c>
      <c r="W8" s="574">
        <f>(V8+T8+R8+P8+N8)/5</f>
        <v>0.2</v>
      </c>
      <c r="X8" s="544">
        <v>0</v>
      </c>
      <c r="Y8" s="574">
        <f>(X8+V8+T8+R8+P8)/5</f>
        <v>0.2</v>
      </c>
      <c r="Z8" s="544">
        <v>0</v>
      </c>
      <c r="AA8" s="574">
        <f>(Z8+X8+V8+T8+R8)/5</f>
        <v>0.2</v>
      </c>
      <c r="AB8" s="544">
        <v>0</v>
      </c>
      <c r="AC8" s="574">
        <f>(AB8+Z8+X8+V8+T8)/5</f>
        <v>0.2</v>
      </c>
      <c r="AD8" s="544">
        <v>0</v>
      </c>
      <c r="AE8" s="574">
        <f>(AD8+AB8+Z8+X8+V8)/5</f>
        <v>0.2</v>
      </c>
      <c r="AF8" s="887">
        <v>0</v>
      </c>
      <c r="AG8" s="574">
        <f>(AF8+AD8+AB8+Z8+X8)/5</f>
        <v>0</v>
      </c>
      <c r="AH8" s="887">
        <v>0</v>
      </c>
      <c r="AI8" s="574">
        <f>(AH8+AF8+AD8+AB8+Z8)/5</f>
        <v>0</v>
      </c>
      <c r="AJ8" s="887">
        <v>0</v>
      </c>
      <c r="AK8" s="574">
        <f>(AJ8+AH8+AF8+AD8+AB8)/5</f>
        <v>0</v>
      </c>
    </row>
    <row r="9" spans="1:37" ht="18" customHeight="1" x14ac:dyDescent="0.3">
      <c r="A9" s="708" t="s">
        <v>1015</v>
      </c>
      <c r="B9" s="572">
        <f>SUM(B6:B8)</f>
        <v>13</v>
      </c>
      <c r="C9" s="572">
        <f>SUM(C6:C8)</f>
        <v>13</v>
      </c>
      <c r="D9" s="572">
        <f>SUM(D6:D8)</f>
        <v>11</v>
      </c>
      <c r="E9" s="572">
        <f>SUM(E6:E8)</f>
        <v>16</v>
      </c>
      <c r="F9" s="572">
        <f>SUM(F6:F8)</f>
        <v>11</v>
      </c>
      <c r="G9" s="573">
        <f>AVERAGE(B9:F9)</f>
        <v>12.8</v>
      </c>
      <c r="H9" s="572">
        <f>SUM(H6:H8)</f>
        <v>10</v>
      </c>
      <c r="I9" s="573">
        <f>(+H9+F9+E9+D9+C9)/5</f>
        <v>12.2</v>
      </c>
      <c r="J9" s="572">
        <f>SUM(J6:J8)</f>
        <v>10</v>
      </c>
      <c r="K9" s="573">
        <f>(+J9+H9+F9+E9+D9)/5</f>
        <v>11.6</v>
      </c>
      <c r="L9" s="572">
        <f>SUM(L6:L8)</f>
        <v>9</v>
      </c>
      <c r="M9" s="573">
        <f>(L9+J9+H9+F9+E9)/5</f>
        <v>11.2</v>
      </c>
      <c r="N9" s="572">
        <f>SUM(N6:N8)</f>
        <v>8</v>
      </c>
      <c r="O9" s="574">
        <f>(+N9+L9+J9+H9+F9)/5</f>
        <v>9.6</v>
      </c>
      <c r="P9" s="572">
        <f>SUM(P6:P8)</f>
        <v>8</v>
      </c>
      <c r="Q9" s="574">
        <f>(P9+N9+L9+J9+H9)/5</f>
        <v>9</v>
      </c>
      <c r="R9" s="572">
        <f>SUM(R6:R8)</f>
        <v>2</v>
      </c>
      <c r="S9" s="574">
        <f>(R9+P9+N9+L9+J9)/5</f>
        <v>7.4</v>
      </c>
      <c r="T9" s="572">
        <f>SUM(T6:T8)</f>
        <v>13</v>
      </c>
      <c r="U9" s="574">
        <f>(T9+R9+P9+N9+L9)/5</f>
        <v>8</v>
      </c>
      <c r="V9" s="572">
        <f>SUM(V6:V8)</f>
        <v>16</v>
      </c>
      <c r="W9" s="574">
        <f>(V9+T9+R9+P9+N9)/5</f>
        <v>9.4</v>
      </c>
      <c r="X9" s="572">
        <f>SUM(X6:X8)</f>
        <v>9</v>
      </c>
      <c r="Y9" s="574">
        <f>(X9+V9+T9+R9+P9)/5</f>
        <v>9.6</v>
      </c>
      <c r="Z9" s="572">
        <f>SUM(Z6:Z8)</f>
        <v>19</v>
      </c>
      <c r="AA9" s="574">
        <f>(Z9+X9+V9+T9+R9)/5</f>
        <v>11.8</v>
      </c>
      <c r="AB9" s="572">
        <f>SUM(AB6:AB8)</f>
        <v>6</v>
      </c>
      <c r="AC9" s="574">
        <f>(AB9+Z9+X9+V9+T9)/5</f>
        <v>12.6</v>
      </c>
      <c r="AD9" s="572">
        <f>SUM(AD6:AD8)</f>
        <v>15</v>
      </c>
      <c r="AE9" s="574">
        <f>(AD9+AB9+Z9+X9+V9)/5</f>
        <v>13</v>
      </c>
      <c r="AF9" s="572">
        <f>SUM(AF6:AF8)</f>
        <v>18</v>
      </c>
      <c r="AG9" s="574">
        <f>(AF9+AD9+AB9+Z9+X9)/5</f>
        <v>13.4</v>
      </c>
      <c r="AH9" s="572">
        <f>SUM(AH6:AH8)</f>
        <v>10</v>
      </c>
      <c r="AI9" s="574">
        <f>(AH9+AF9+AD9+AB9+Z9)/5</f>
        <v>13.6</v>
      </c>
      <c r="AJ9" s="572">
        <f>SUM(AJ6:AJ8)</f>
        <v>10</v>
      </c>
      <c r="AK9" s="574">
        <f>(AJ9+AH9+AF9+AD9+AB9)/5</f>
        <v>11.8</v>
      </c>
    </row>
    <row r="10" spans="1:37" ht="18" customHeight="1" x14ac:dyDescent="0.3">
      <c r="A10" s="864" t="s">
        <v>412</v>
      </c>
      <c r="B10" s="865"/>
      <c r="C10" s="865"/>
      <c r="D10" s="865"/>
      <c r="E10" s="865"/>
      <c r="F10" s="866"/>
      <c r="G10" s="865"/>
      <c r="H10" s="866"/>
      <c r="I10" s="866"/>
      <c r="J10" s="866"/>
      <c r="K10" s="866"/>
      <c r="L10" s="866"/>
      <c r="M10" s="866"/>
      <c r="N10" s="866"/>
      <c r="O10" s="867"/>
      <c r="P10" s="866"/>
      <c r="Q10" s="867"/>
      <c r="R10" s="866"/>
      <c r="S10" s="867"/>
      <c r="T10" s="866"/>
      <c r="U10" s="867"/>
      <c r="V10" s="866"/>
      <c r="W10" s="867"/>
      <c r="X10" s="866"/>
      <c r="Y10" s="867"/>
      <c r="Z10" s="866"/>
      <c r="AA10" s="867"/>
      <c r="AB10" s="866"/>
      <c r="AC10" s="867"/>
      <c r="AD10" s="866"/>
      <c r="AE10" s="867"/>
      <c r="AF10" s="866"/>
      <c r="AG10" s="867"/>
      <c r="AH10" s="866"/>
      <c r="AI10" s="867"/>
      <c r="AJ10" s="866"/>
      <c r="AK10" s="867"/>
    </row>
    <row r="11" spans="1:37" ht="18" customHeight="1" x14ac:dyDescent="0.3">
      <c r="A11" s="868" t="s">
        <v>401</v>
      </c>
      <c r="B11" s="544">
        <v>0</v>
      </c>
      <c r="C11" s="544">
        <v>0</v>
      </c>
      <c r="D11" s="544">
        <v>0</v>
      </c>
      <c r="E11" s="544">
        <v>0</v>
      </c>
      <c r="F11" s="544">
        <v>0</v>
      </c>
      <c r="G11" s="573">
        <f t="shared" ref="G11:G18" si="0">AVERAGE(B11:F11)</f>
        <v>0</v>
      </c>
      <c r="H11" s="869">
        <v>0</v>
      </c>
      <c r="I11" s="573">
        <f t="shared" ref="I11:I18" si="1">(+H11+F11+E11+D11+C11)/5</f>
        <v>0</v>
      </c>
      <c r="J11" s="869">
        <v>0</v>
      </c>
      <c r="K11" s="573">
        <f t="shared" ref="K11:K18" si="2">(+J11+H11+F11+E11+D11)/5</f>
        <v>0</v>
      </c>
      <c r="L11" s="869">
        <v>0</v>
      </c>
      <c r="M11" s="573">
        <f t="shared" ref="M11:M18" si="3">(L11+J11+H11+F11+E11)/5</f>
        <v>0</v>
      </c>
      <c r="N11" s="869">
        <v>0</v>
      </c>
      <c r="O11" s="574">
        <f t="shared" ref="O11:O18" si="4">(+N11+L11+J11+H11+F11)/5</f>
        <v>0</v>
      </c>
      <c r="P11" s="869">
        <v>0</v>
      </c>
      <c r="Q11" s="574">
        <f t="shared" ref="Q11:Q18" si="5">(P11+N11+L11+J11+H11)/5</f>
        <v>0</v>
      </c>
      <c r="R11" s="869">
        <v>0</v>
      </c>
      <c r="S11" s="574">
        <f t="shared" ref="S11:S18" si="6">(R11+P11+N11+L11+J11)/5</f>
        <v>0</v>
      </c>
      <c r="T11" s="869">
        <v>0</v>
      </c>
      <c r="U11" s="574">
        <f t="shared" ref="U11:U18" si="7">(T11+R11+P11+N11+L11)/5</f>
        <v>0</v>
      </c>
      <c r="V11" s="869">
        <v>0</v>
      </c>
      <c r="W11" s="574">
        <f t="shared" ref="W11:W18" si="8">(V11+T11+R11+P11+N11)/5</f>
        <v>0</v>
      </c>
      <c r="X11" s="869">
        <v>0</v>
      </c>
      <c r="Y11" s="574">
        <f t="shared" ref="Y11:Y18" si="9">(X11+V11+T11+R11+P11)/5</f>
        <v>0</v>
      </c>
      <c r="Z11" s="869">
        <v>0</v>
      </c>
      <c r="AA11" s="574">
        <f t="shared" ref="AA11:AA18" si="10">(Z11+X11+V11+T11+R11)/5</f>
        <v>0</v>
      </c>
      <c r="AB11" s="869">
        <v>0</v>
      </c>
      <c r="AC11" s="574">
        <f t="shared" ref="AC11:AC18" si="11">(AB11+Z11+X11+V11+T11)/5</f>
        <v>0</v>
      </c>
      <c r="AD11" s="869">
        <v>0</v>
      </c>
      <c r="AE11" s="574">
        <f t="shared" ref="AE11:AE18" si="12">(AD11+AB11+Z11+X11+V11)/5</f>
        <v>0</v>
      </c>
      <c r="AF11" s="869">
        <v>0</v>
      </c>
      <c r="AG11" s="574">
        <f t="shared" ref="AG11:AG18" si="13">(AF11+AD11+AB11+Z11+X11)/5</f>
        <v>0</v>
      </c>
      <c r="AH11" s="869">
        <v>0</v>
      </c>
      <c r="AI11" s="574">
        <f t="shared" ref="AI11:AI18" si="14">(AH11+AF11+AD11+AB11+Z11)/5</f>
        <v>0</v>
      </c>
      <c r="AJ11" s="869">
        <v>0</v>
      </c>
      <c r="AK11" s="574">
        <f t="shared" ref="AK11:AK18" si="15">(AJ11+AH11+AF11+AD11+AB11)/5</f>
        <v>0</v>
      </c>
    </row>
    <row r="12" spans="1:37" ht="18" customHeight="1" x14ac:dyDescent="0.3">
      <c r="A12" s="707" t="s">
        <v>1136</v>
      </c>
      <c r="B12" s="544">
        <v>0</v>
      </c>
      <c r="C12" s="544">
        <v>0</v>
      </c>
      <c r="D12" s="544">
        <v>0</v>
      </c>
      <c r="E12" s="544">
        <v>0</v>
      </c>
      <c r="F12" s="544">
        <v>6</v>
      </c>
      <c r="G12" s="573">
        <f t="shared" si="0"/>
        <v>1.2</v>
      </c>
      <c r="H12" s="544">
        <v>0</v>
      </c>
      <c r="I12" s="573">
        <f t="shared" si="1"/>
        <v>1.2</v>
      </c>
      <c r="J12" s="544">
        <v>1</v>
      </c>
      <c r="K12" s="573">
        <f t="shared" si="2"/>
        <v>1.4</v>
      </c>
      <c r="L12" s="544">
        <v>2</v>
      </c>
      <c r="M12" s="573">
        <f t="shared" si="3"/>
        <v>1.8</v>
      </c>
      <c r="N12" s="544">
        <v>1</v>
      </c>
      <c r="O12" s="574">
        <f t="shared" si="4"/>
        <v>2</v>
      </c>
      <c r="P12" s="544">
        <v>1</v>
      </c>
      <c r="Q12" s="574">
        <f t="shared" si="5"/>
        <v>1</v>
      </c>
      <c r="R12" s="544">
        <v>0</v>
      </c>
      <c r="S12" s="574">
        <f t="shared" si="6"/>
        <v>1</v>
      </c>
      <c r="T12" s="544">
        <v>1</v>
      </c>
      <c r="U12" s="574">
        <f t="shared" si="7"/>
        <v>1</v>
      </c>
      <c r="V12" s="544">
        <v>0</v>
      </c>
      <c r="W12" s="574">
        <f t="shared" si="8"/>
        <v>0.6</v>
      </c>
      <c r="X12" s="544">
        <v>0</v>
      </c>
      <c r="Y12" s="574">
        <f t="shared" si="9"/>
        <v>0.4</v>
      </c>
      <c r="Z12" s="544">
        <v>0</v>
      </c>
      <c r="AA12" s="574">
        <f t="shared" si="10"/>
        <v>0.2</v>
      </c>
      <c r="AB12" s="544">
        <v>0</v>
      </c>
      <c r="AC12" s="574">
        <f t="shared" si="11"/>
        <v>0.2</v>
      </c>
      <c r="AD12" s="544">
        <v>0</v>
      </c>
      <c r="AE12" s="574">
        <f t="shared" si="12"/>
        <v>0</v>
      </c>
      <c r="AF12" s="544">
        <v>0</v>
      </c>
      <c r="AG12" s="574">
        <f t="shared" si="13"/>
        <v>0</v>
      </c>
      <c r="AH12" s="544">
        <v>0</v>
      </c>
      <c r="AI12" s="574">
        <f t="shared" si="14"/>
        <v>0</v>
      </c>
      <c r="AJ12" s="544">
        <v>0</v>
      </c>
      <c r="AK12" s="574">
        <f t="shared" si="15"/>
        <v>0</v>
      </c>
    </row>
    <row r="13" spans="1:37" ht="18" customHeight="1" x14ac:dyDescent="0.3">
      <c r="A13" s="709" t="s">
        <v>1140</v>
      </c>
      <c r="B13" s="544">
        <v>0</v>
      </c>
      <c r="C13" s="544">
        <v>0</v>
      </c>
      <c r="D13" s="544">
        <v>0</v>
      </c>
      <c r="E13" s="544">
        <v>0</v>
      </c>
      <c r="F13" s="544">
        <v>3</v>
      </c>
      <c r="G13" s="573">
        <f t="shared" si="0"/>
        <v>0.6</v>
      </c>
      <c r="H13" s="544">
        <v>3</v>
      </c>
      <c r="I13" s="573">
        <f t="shared" si="1"/>
        <v>1.2</v>
      </c>
      <c r="J13" s="544">
        <v>4</v>
      </c>
      <c r="K13" s="573">
        <f t="shared" si="2"/>
        <v>2</v>
      </c>
      <c r="L13" s="544">
        <v>6</v>
      </c>
      <c r="M13" s="573">
        <f t="shared" si="3"/>
        <v>3.2</v>
      </c>
      <c r="N13" s="544">
        <v>1</v>
      </c>
      <c r="O13" s="574">
        <f t="shared" si="4"/>
        <v>3.4</v>
      </c>
      <c r="P13" s="544">
        <v>2</v>
      </c>
      <c r="Q13" s="574">
        <f t="shared" si="5"/>
        <v>3.2</v>
      </c>
      <c r="R13" s="544">
        <v>3</v>
      </c>
      <c r="S13" s="574">
        <f t="shared" si="6"/>
        <v>3.2</v>
      </c>
      <c r="T13" s="544">
        <v>2</v>
      </c>
      <c r="U13" s="574">
        <f t="shared" si="7"/>
        <v>2.8</v>
      </c>
      <c r="V13" s="544">
        <v>4</v>
      </c>
      <c r="W13" s="574">
        <f t="shared" si="8"/>
        <v>2.4</v>
      </c>
      <c r="X13" s="544">
        <v>3</v>
      </c>
      <c r="Y13" s="574">
        <f t="shared" si="9"/>
        <v>2.8</v>
      </c>
      <c r="Z13" s="544">
        <v>1</v>
      </c>
      <c r="AA13" s="574">
        <f t="shared" si="10"/>
        <v>2.6</v>
      </c>
      <c r="AB13" s="544">
        <v>3</v>
      </c>
      <c r="AC13" s="574">
        <f t="shared" si="11"/>
        <v>2.6</v>
      </c>
      <c r="AD13" s="544">
        <v>3</v>
      </c>
      <c r="AE13" s="574">
        <f t="shared" si="12"/>
        <v>2.8</v>
      </c>
      <c r="AF13" s="544">
        <v>1</v>
      </c>
      <c r="AG13" s="574">
        <f t="shared" si="13"/>
        <v>2.2000000000000002</v>
      </c>
      <c r="AH13" s="544">
        <v>1</v>
      </c>
      <c r="AI13" s="574">
        <f t="shared" si="14"/>
        <v>1.8</v>
      </c>
      <c r="AJ13" s="544">
        <v>9</v>
      </c>
      <c r="AK13" s="574">
        <f t="shared" si="15"/>
        <v>3.4</v>
      </c>
    </row>
    <row r="14" spans="1:37" ht="18" customHeight="1" x14ac:dyDescent="0.3">
      <c r="A14" s="707" t="s">
        <v>1137</v>
      </c>
      <c r="B14" s="544">
        <v>10</v>
      </c>
      <c r="C14" s="544">
        <v>7</v>
      </c>
      <c r="D14" s="544">
        <v>4</v>
      </c>
      <c r="E14" s="544">
        <v>8</v>
      </c>
      <c r="F14" s="544">
        <v>6</v>
      </c>
      <c r="G14" s="573">
        <f t="shared" si="0"/>
        <v>7</v>
      </c>
      <c r="H14" s="544">
        <v>7</v>
      </c>
      <c r="I14" s="573">
        <f t="shared" si="1"/>
        <v>6.4</v>
      </c>
      <c r="J14" s="544">
        <v>2</v>
      </c>
      <c r="K14" s="573">
        <f t="shared" si="2"/>
        <v>5.4</v>
      </c>
      <c r="L14" s="544">
        <v>4</v>
      </c>
      <c r="M14" s="573">
        <f t="shared" si="3"/>
        <v>5.4</v>
      </c>
      <c r="N14" s="544">
        <v>5</v>
      </c>
      <c r="O14" s="574">
        <f t="shared" si="4"/>
        <v>4.8</v>
      </c>
      <c r="P14" s="544">
        <v>4</v>
      </c>
      <c r="Q14" s="574">
        <f t="shared" si="5"/>
        <v>4.4000000000000004</v>
      </c>
      <c r="R14" s="544">
        <v>1</v>
      </c>
      <c r="S14" s="574">
        <f t="shared" si="6"/>
        <v>3.2</v>
      </c>
      <c r="T14" s="544">
        <v>0</v>
      </c>
      <c r="U14" s="574">
        <f t="shared" si="7"/>
        <v>2.8</v>
      </c>
      <c r="V14" s="544">
        <v>2</v>
      </c>
      <c r="W14" s="574">
        <f t="shared" si="8"/>
        <v>2.4</v>
      </c>
      <c r="X14" s="544">
        <v>0</v>
      </c>
      <c r="Y14" s="574">
        <f t="shared" si="9"/>
        <v>1.4</v>
      </c>
      <c r="Z14" s="544">
        <v>0</v>
      </c>
      <c r="AA14" s="574">
        <f t="shared" si="10"/>
        <v>0.6</v>
      </c>
      <c r="AB14" s="544">
        <v>0</v>
      </c>
      <c r="AC14" s="574">
        <f t="shared" si="11"/>
        <v>0.4</v>
      </c>
      <c r="AD14" s="544">
        <v>0</v>
      </c>
      <c r="AE14" s="574">
        <f t="shared" si="12"/>
        <v>0.4</v>
      </c>
      <c r="AF14" s="544">
        <v>0</v>
      </c>
      <c r="AG14" s="574">
        <f t="shared" si="13"/>
        <v>0</v>
      </c>
      <c r="AH14" s="544">
        <v>0</v>
      </c>
      <c r="AI14" s="574">
        <f t="shared" si="14"/>
        <v>0</v>
      </c>
      <c r="AJ14" s="544">
        <v>0</v>
      </c>
      <c r="AK14" s="574">
        <f t="shared" si="15"/>
        <v>0</v>
      </c>
    </row>
    <row r="15" spans="1:37" ht="18" customHeight="1" x14ac:dyDescent="0.3">
      <c r="A15" s="552" t="s">
        <v>257</v>
      </c>
      <c r="B15" s="544">
        <v>0</v>
      </c>
      <c r="C15" s="544">
        <v>0</v>
      </c>
      <c r="D15" s="544">
        <v>0</v>
      </c>
      <c r="E15" s="544">
        <v>0</v>
      </c>
      <c r="F15" s="544">
        <v>0</v>
      </c>
      <c r="G15" s="573">
        <f t="shared" si="0"/>
        <v>0</v>
      </c>
      <c r="H15" s="544">
        <v>0</v>
      </c>
      <c r="I15" s="573">
        <f t="shared" si="1"/>
        <v>0</v>
      </c>
      <c r="J15" s="544">
        <v>0</v>
      </c>
      <c r="K15" s="573">
        <f t="shared" si="2"/>
        <v>0</v>
      </c>
      <c r="L15" s="544">
        <v>0</v>
      </c>
      <c r="M15" s="573">
        <f t="shared" si="3"/>
        <v>0</v>
      </c>
      <c r="N15" s="544">
        <v>0</v>
      </c>
      <c r="O15" s="574">
        <f t="shared" si="4"/>
        <v>0</v>
      </c>
      <c r="P15" s="544">
        <v>0</v>
      </c>
      <c r="Q15" s="574">
        <f t="shared" si="5"/>
        <v>0</v>
      </c>
      <c r="R15" s="544">
        <v>2</v>
      </c>
      <c r="S15" s="574">
        <f t="shared" si="6"/>
        <v>0.4</v>
      </c>
      <c r="T15" s="544">
        <v>7</v>
      </c>
      <c r="U15" s="574">
        <f t="shared" si="7"/>
        <v>1.8</v>
      </c>
      <c r="V15" s="544">
        <v>3</v>
      </c>
      <c r="W15" s="574">
        <f t="shared" si="8"/>
        <v>2.4</v>
      </c>
      <c r="X15" s="544">
        <v>3</v>
      </c>
      <c r="Y15" s="574">
        <f t="shared" si="9"/>
        <v>3</v>
      </c>
      <c r="Z15" s="544">
        <v>4</v>
      </c>
      <c r="AA15" s="574">
        <f t="shared" si="10"/>
        <v>3.8</v>
      </c>
      <c r="AB15" s="544">
        <v>4</v>
      </c>
      <c r="AC15" s="574">
        <f t="shared" si="11"/>
        <v>4.2</v>
      </c>
      <c r="AD15" s="544">
        <v>4</v>
      </c>
      <c r="AE15" s="574">
        <f t="shared" si="12"/>
        <v>3.6</v>
      </c>
      <c r="AF15" s="544">
        <v>6</v>
      </c>
      <c r="AG15" s="574">
        <f t="shared" si="13"/>
        <v>4.2</v>
      </c>
      <c r="AH15" s="544">
        <v>2</v>
      </c>
      <c r="AI15" s="574">
        <f t="shared" si="14"/>
        <v>4</v>
      </c>
      <c r="AJ15" s="544">
        <v>6</v>
      </c>
      <c r="AK15" s="574">
        <f t="shared" si="15"/>
        <v>4.4000000000000004</v>
      </c>
    </row>
    <row r="16" spans="1:37" ht="18" customHeight="1" x14ac:dyDescent="0.3">
      <c r="A16" s="710" t="s">
        <v>83</v>
      </c>
      <c r="B16" s="544">
        <v>3</v>
      </c>
      <c r="C16" s="544">
        <v>0</v>
      </c>
      <c r="D16" s="544">
        <v>3</v>
      </c>
      <c r="E16" s="544">
        <v>0</v>
      </c>
      <c r="F16" s="544">
        <v>4</v>
      </c>
      <c r="G16" s="573">
        <f t="shared" si="0"/>
        <v>2</v>
      </c>
      <c r="H16" s="544">
        <v>5</v>
      </c>
      <c r="I16" s="573">
        <f t="shared" si="1"/>
        <v>2.4</v>
      </c>
      <c r="J16" s="544">
        <v>2</v>
      </c>
      <c r="K16" s="573">
        <f t="shared" si="2"/>
        <v>2.8</v>
      </c>
      <c r="L16" s="544">
        <v>1</v>
      </c>
      <c r="M16" s="573">
        <f t="shared" si="3"/>
        <v>2.4</v>
      </c>
      <c r="N16" s="544">
        <v>3</v>
      </c>
      <c r="O16" s="574">
        <f t="shared" si="4"/>
        <v>3</v>
      </c>
      <c r="P16" s="544">
        <v>3</v>
      </c>
      <c r="Q16" s="574">
        <f t="shared" si="5"/>
        <v>2.8</v>
      </c>
      <c r="R16" s="544">
        <v>3</v>
      </c>
      <c r="S16" s="574">
        <f t="shared" si="6"/>
        <v>2.4</v>
      </c>
      <c r="T16" s="544">
        <v>0</v>
      </c>
      <c r="U16" s="574">
        <f t="shared" si="7"/>
        <v>2</v>
      </c>
      <c r="V16" s="544">
        <v>1</v>
      </c>
      <c r="W16" s="574">
        <f t="shared" si="8"/>
        <v>2</v>
      </c>
      <c r="X16" s="544">
        <v>4</v>
      </c>
      <c r="Y16" s="574">
        <f t="shared" si="9"/>
        <v>2.2000000000000002</v>
      </c>
      <c r="Z16" s="544">
        <v>2</v>
      </c>
      <c r="AA16" s="574">
        <f t="shared" si="10"/>
        <v>2</v>
      </c>
      <c r="AB16" s="544">
        <v>1</v>
      </c>
      <c r="AC16" s="574">
        <f t="shared" si="11"/>
        <v>1.6</v>
      </c>
      <c r="AD16" s="544">
        <v>0</v>
      </c>
      <c r="AE16" s="574">
        <f t="shared" si="12"/>
        <v>1.6</v>
      </c>
      <c r="AF16" s="544">
        <v>3</v>
      </c>
      <c r="AG16" s="574">
        <f t="shared" si="13"/>
        <v>2</v>
      </c>
      <c r="AH16" s="544">
        <v>0</v>
      </c>
      <c r="AI16" s="574">
        <f t="shared" si="14"/>
        <v>1.2</v>
      </c>
      <c r="AJ16" s="544">
        <v>0</v>
      </c>
      <c r="AK16" s="574">
        <f t="shared" si="15"/>
        <v>0.8</v>
      </c>
    </row>
    <row r="17" spans="1:37" ht="18" customHeight="1" x14ac:dyDescent="0.3">
      <c r="A17" s="707" t="s">
        <v>1141</v>
      </c>
      <c r="B17" s="544">
        <v>2</v>
      </c>
      <c r="C17" s="544">
        <v>7</v>
      </c>
      <c r="D17" s="544">
        <v>3</v>
      </c>
      <c r="E17" s="544">
        <v>6</v>
      </c>
      <c r="F17" s="544">
        <v>4</v>
      </c>
      <c r="G17" s="573">
        <f t="shared" si="0"/>
        <v>4.4000000000000004</v>
      </c>
      <c r="H17" s="544">
        <v>7</v>
      </c>
      <c r="I17" s="573">
        <f t="shared" si="1"/>
        <v>5.4</v>
      </c>
      <c r="J17" s="544">
        <v>1</v>
      </c>
      <c r="K17" s="573">
        <f t="shared" si="2"/>
        <v>4.2</v>
      </c>
      <c r="L17" s="544">
        <v>1</v>
      </c>
      <c r="M17" s="573">
        <f t="shared" si="3"/>
        <v>3.8</v>
      </c>
      <c r="N17" s="544">
        <v>6</v>
      </c>
      <c r="O17" s="574">
        <f t="shared" si="4"/>
        <v>3.8</v>
      </c>
      <c r="P17" s="544">
        <v>6</v>
      </c>
      <c r="Q17" s="574">
        <f t="shared" si="5"/>
        <v>4.2</v>
      </c>
      <c r="R17" s="544">
        <v>3</v>
      </c>
      <c r="S17" s="574">
        <f t="shared" si="6"/>
        <v>3.4</v>
      </c>
      <c r="T17" s="544">
        <v>5</v>
      </c>
      <c r="U17" s="574">
        <f t="shared" si="7"/>
        <v>4.2</v>
      </c>
      <c r="V17" s="544">
        <v>6</v>
      </c>
      <c r="W17" s="574">
        <f t="shared" si="8"/>
        <v>5.2</v>
      </c>
      <c r="X17" s="544">
        <v>2</v>
      </c>
      <c r="Y17" s="574">
        <f t="shared" si="9"/>
        <v>4.4000000000000004</v>
      </c>
      <c r="Z17" s="544">
        <v>3</v>
      </c>
      <c r="AA17" s="574">
        <f t="shared" si="10"/>
        <v>3.8</v>
      </c>
      <c r="AB17" s="544">
        <v>1</v>
      </c>
      <c r="AC17" s="574">
        <f t="shared" si="11"/>
        <v>3.4</v>
      </c>
      <c r="AD17" s="544">
        <v>6</v>
      </c>
      <c r="AE17" s="574">
        <f t="shared" si="12"/>
        <v>3.6</v>
      </c>
      <c r="AF17" s="544">
        <v>1</v>
      </c>
      <c r="AG17" s="574">
        <f t="shared" si="13"/>
        <v>2.6</v>
      </c>
      <c r="AH17" s="544">
        <v>3</v>
      </c>
      <c r="AI17" s="574">
        <f t="shared" si="14"/>
        <v>2.8</v>
      </c>
      <c r="AJ17" s="544">
        <v>4</v>
      </c>
      <c r="AK17" s="574">
        <f t="shared" si="15"/>
        <v>3</v>
      </c>
    </row>
    <row r="18" spans="1:37" ht="18" customHeight="1" x14ac:dyDescent="0.3">
      <c r="A18" s="708" t="s">
        <v>1015</v>
      </c>
      <c r="B18" s="572">
        <f>SUM(B11:B17)</f>
        <v>15</v>
      </c>
      <c r="C18" s="572">
        <f>SUM(C11:C17)</f>
        <v>14</v>
      </c>
      <c r="D18" s="572">
        <f>SUM(D11:D17)</f>
        <v>10</v>
      </c>
      <c r="E18" s="572">
        <f>SUM(E11:E17)</f>
        <v>14</v>
      </c>
      <c r="F18" s="572">
        <f>SUM(F11:F17)</f>
        <v>23</v>
      </c>
      <c r="G18" s="573">
        <f t="shared" si="0"/>
        <v>15.2</v>
      </c>
      <c r="H18" s="572">
        <f>SUM(H11:H17)</f>
        <v>22</v>
      </c>
      <c r="I18" s="573">
        <f t="shared" si="1"/>
        <v>16.600000000000001</v>
      </c>
      <c r="J18" s="572">
        <f>SUM(J11:J17)</f>
        <v>10</v>
      </c>
      <c r="K18" s="573">
        <f t="shared" si="2"/>
        <v>15.8</v>
      </c>
      <c r="L18" s="572">
        <f>SUM(L11:L17)</f>
        <v>14</v>
      </c>
      <c r="M18" s="573">
        <f t="shared" si="3"/>
        <v>16.600000000000001</v>
      </c>
      <c r="N18" s="572">
        <f>SUM(N11:N17)</f>
        <v>16</v>
      </c>
      <c r="O18" s="574">
        <f t="shared" si="4"/>
        <v>17</v>
      </c>
      <c r="P18" s="572">
        <f>SUM(P11:P17)</f>
        <v>16</v>
      </c>
      <c r="Q18" s="574">
        <f t="shared" si="5"/>
        <v>15.6</v>
      </c>
      <c r="R18" s="572">
        <f>SUM(R11:R17)</f>
        <v>12</v>
      </c>
      <c r="S18" s="574">
        <f t="shared" si="6"/>
        <v>13.6</v>
      </c>
      <c r="T18" s="572">
        <f>SUM(T11:T17)</f>
        <v>15</v>
      </c>
      <c r="U18" s="574">
        <f t="shared" si="7"/>
        <v>14.6</v>
      </c>
      <c r="V18" s="572">
        <f>SUM(V11:V17)</f>
        <v>16</v>
      </c>
      <c r="W18" s="574">
        <f t="shared" si="8"/>
        <v>15</v>
      </c>
      <c r="X18" s="572">
        <f>SUM(X11:X17)</f>
        <v>12</v>
      </c>
      <c r="Y18" s="574">
        <f t="shared" si="9"/>
        <v>14.2</v>
      </c>
      <c r="Z18" s="572">
        <f>SUM(Z11:Z17)</f>
        <v>10</v>
      </c>
      <c r="AA18" s="574">
        <f t="shared" si="10"/>
        <v>13</v>
      </c>
      <c r="AB18" s="572">
        <f>SUM(AB11:AB17)</f>
        <v>9</v>
      </c>
      <c r="AC18" s="574">
        <f t="shared" si="11"/>
        <v>12.4</v>
      </c>
      <c r="AD18" s="572">
        <f>SUM(AD11:AD17)</f>
        <v>13</v>
      </c>
      <c r="AE18" s="574">
        <f t="shared" si="12"/>
        <v>12</v>
      </c>
      <c r="AF18" s="572">
        <f>SUM(AF11:AF17)</f>
        <v>11</v>
      </c>
      <c r="AG18" s="574">
        <f t="shared" si="13"/>
        <v>11</v>
      </c>
      <c r="AH18" s="572">
        <f>SUM(AH11:AH17)</f>
        <v>6</v>
      </c>
      <c r="AI18" s="574">
        <f t="shared" si="14"/>
        <v>9.8000000000000007</v>
      </c>
      <c r="AJ18" s="572">
        <f>SUM(AJ11:AJ17)</f>
        <v>19</v>
      </c>
      <c r="AK18" s="574">
        <f t="shared" si="15"/>
        <v>11.6</v>
      </c>
    </row>
    <row r="19" spans="1:37" ht="18" customHeight="1" x14ac:dyDescent="0.3">
      <c r="A19" s="864" t="s">
        <v>413</v>
      </c>
      <c r="B19" s="865"/>
      <c r="C19" s="865"/>
      <c r="D19" s="865"/>
      <c r="E19" s="865"/>
      <c r="F19" s="866"/>
      <c r="G19" s="865"/>
      <c r="H19" s="866"/>
      <c r="I19" s="866"/>
      <c r="J19" s="866"/>
      <c r="K19" s="866"/>
      <c r="L19" s="866"/>
      <c r="M19" s="866"/>
      <c r="N19" s="866"/>
      <c r="O19" s="867"/>
      <c r="P19" s="866"/>
      <c r="Q19" s="867"/>
      <c r="R19" s="866"/>
      <c r="S19" s="867"/>
      <c r="T19" s="866"/>
      <c r="U19" s="867"/>
      <c r="V19" s="866"/>
      <c r="W19" s="867"/>
      <c r="X19" s="866"/>
      <c r="Y19" s="867"/>
      <c r="Z19" s="866"/>
      <c r="AA19" s="867"/>
      <c r="AB19" s="866"/>
      <c r="AC19" s="867"/>
      <c r="AD19" s="866"/>
      <c r="AE19" s="867"/>
      <c r="AF19" s="866"/>
      <c r="AG19" s="867"/>
      <c r="AH19" s="866"/>
      <c r="AI19" s="867"/>
      <c r="AJ19" s="866"/>
      <c r="AK19" s="867"/>
    </row>
    <row r="20" spans="1:37" ht="18" customHeight="1" x14ac:dyDescent="0.3">
      <c r="A20" s="707" t="s">
        <v>1664</v>
      </c>
      <c r="B20" s="544">
        <v>0</v>
      </c>
      <c r="C20" s="544">
        <v>0</v>
      </c>
      <c r="D20" s="544">
        <v>0</v>
      </c>
      <c r="E20" s="544">
        <v>0</v>
      </c>
      <c r="F20" s="544">
        <v>0</v>
      </c>
      <c r="G20" s="573">
        <f>AVERAGE(B20:F20)</f>
        <v>0</v>
      </c>
      <c r="H20" s="544">
        <v>0</v>
      </c>
      <c r="I20" s="573">
        <f>(+H20+F20+E20+D20+C20)/5</f>
        <v>0</v>
      </c>
      <c r="J20" s="544">
        <v>0</v>
      </c>
      <c r="K20" s="573">
        <f>(+J20+H20+F20+E20+D20)/5</f>
        <v>0</v>
      </c>
      <c r="L20" s="544">
        <v>0</v>
      </c>
      <c r="M20" s="573">
        <f>(L20+J20+H20+F20+E20)/5</f>
        <v>0</v>
      </c>
      <c r="N20" s="544">
        <v>0</v>
      </c>
      <c r="O20" s="574">
        <f>(+N20+L20+J20+H20+F20)/5</f>
        <v>0</v>
      </c>
      <c r="P20" s="544">
        <v>0</v>
      </c>
      <c r="Q20" s="574">
        <f>(+P20+N20+L20+J20+H20)/5</f>
        <v>0</v>
      </c>
      <c r="R20" s="544">
        <v>0</v>
      </c>
      <c r="S20" s="574">
        <f>(+R20+P20+N20+L20+J20)/5</f>
        <v>0</v>
      </c>
      <c r="T20" s="544">
        <v>0</v>
      </c>
      <c r="U20" s="574">
        <f>(+T20+R20+P20+N20+L20)/5</f>
        <v>0</v>
      </c>
      <c r="V20" s="544">
        <v>0</v>
      </c>
      <c r="W20" s="574">
        <f>(+V20+T20+R20+P20+N20)/5</f>
        <v>0</v>
      </c>
      <c r="X20" s="544">
        <v>0</v>
      </c>
      <c r="Y20" s="574">
        <f>(+X20+V20+T20+R20+P20)/5</f>
        <v>0</v>
      </c>
      <c r="Z20" s="544">
        <v>0</v>
      </c>
      <c r="AA20" s="574">
        <f>(+Z20+X20+V20+T20+R20)/5</f>
        <v>0</v>
      </c>
      <c r="AB20" s="544">
        <v>0</v>
      </c>
      <c r="AC20" s="574">
        <f>(+AB20+Z20+X20+V20+T20)/5</f>
        <v>0</v>
      </c>
      <c r="AD20" s="544">
        <v>0</v>
      </c>
      <c r="AE20" s="574">
        <f>(+AD20+AB20+Z20+X20+V20)/5</f>
        <v>0</v>
      </c>
      <c r="AF20" s="544">
        <v>0</v>
      </c>
      <c r="AG20" s="574">
        <f>(+AF20+AD20+AB20+Z20+X20)/5</f>
        <v>0</v>
      </c>
      <c r="AH20" s="544">
        <v>0</v>
      </c>
      <c r="AI20" s="574">
        <f>(+AH20+AF20+AD20+AB20+Z20)/5</f>
        <v>0</v>
      </c>
      <c r="AJ20" s="544">
        <v>1</v>
      </c>
      <c r="AK20" s="574">
        <f>(+AJ20+AH20+AF20+AD20+AB20)/5</f>
        <v>0.2</v>
      </c>
    </row>
    <row r="21" spans="1:37" ht="18" customHeight="1" x14ac:dyDescent="0.3">
      <c r="A21" s="707" t="s">
        <v>1050</v>
      </c>
      <c r="B21" s="544">
        <v>48</v>
      </c>
      <c r="C21" s="544">
        <v>41</v>
      </c>
      <c r="D21" s="544">
        <v>36</v>
      </c>
      <c r="E21" s="544">
        <v>28</v>
      </c>
      <c r="F21" s="544">
        <v>29</v>
      </c>
      <c r="G21" s="573">
        <f>AVERAGE(B21:F21)</f>
        <v>36.4</v>
      </c>
      <c r="H21" s="544">
        <v>18</v>
      </c>
      <c r="I21" s="573">
        <f>(+H21+F21+E21+D21+C21)/5</f>
        <v>30.4</v>
      </c>
      <c r="J21" s="544">
        <v>22</v>
      </c>
      <c r="K21" s="573">
        <f>(+J21+H21+F21+E21+D21)/5</f>
        <v>26.6</v>
      </c>
      <c r="L21" s="544">
        <v>20</v>
      </c>
      <c r="M21" s="573">
        <f>(L21+J21+H21+F21+E21)/5</f>
        <v>23.4</v>
      </c>
      <c r="N21" s="544">
        <v>27</v>
      </c>
      <c r="O21" s="574">
        <f>(+N21+L21+J21+H21+F21)/5</f>
        <v>23.2</v>
      </c>
      <c r="P21" s="544">
        <v>21</v>
      </c>
      <c r="Q21" s="574">
        <f>(P21+N21+L21+J21+H21)/5</f>
        <v>21.6</v>
      </c>
      <c r="R21" s="544">
        <v>49</v>
      </c>
      <c r="S21" s="574">
        <f>(R21+P21+N21+L21+J21)/5</f>
        <v>27.8</v>
      </c>
      <c r="T21" s="544">
        <v>24</v>
      </c>
      <c r="U21" s="574">
        <f>(T21+R21+P21+N21+L21)/5</f>
        <v>28.2</v>
      </c>
      <c r="V21" s="544">
        <v>31</v>
      </c>
      <c r="W21" s="574">
        <f>(V21+T21+R21+P21+N21)/5</f>
        <v>30.4</v>
      </c>
      <c r="X21" s="544">
        <v>32</v>
      </c>
      <c r="Y21" s="574">
        <f>(X21+V21+T21+R21+P21)/5</f>
        <v>31.4</v>
      </c>
      <c r="Z21" s="544">
        <v>40</v>
      </c>
      <c r="AA21" s="574">
        <f>(Z21+X21+V21+T21+R21)/5</f>
        <v>35.200000000000003</v>
      </c>
      <c r="AB21" s="544">
        <v>49</v>
      </c>
      <c r="AC21" s="574">
        <f>(AB21+Z21+X21+V21+T21)/5</f>
        <v>35.200000000000003</v>
      </c>
      <c r="AD21" s="544">
        <v>43</v>
      </c>
      <c r="AE21" s="574">
        <f>(AD21+AB21+Z21+X21+V21)/5</f>
        <v>39</v>
      </c>
      <c r="AF21" s="544">
        <v>48</v>
      </c>
      <c r="AG21" s="574">
        <f>(AF21+AD21+AB21+Z21+X21)/5</f>
        <v>42.4</v>
      </c>
      <c r="AH21" s="544">
        <v>49</v>
      </c>
      <c r="AI21" s="574">
        <f>(AH21+AF21+AD21+AB21+Z21)/5</f>
        <v>45.8</v>
      </c>
      <c r="AJ21" s="544">
        <v>36</v>
      </c>
      <c r="AK21" s="574">
        <f>(AJ21+AH21+AF21+AD21+AB21)/5</f>
        <v>45</v>
      </c>
    </row>
    <row r="22" spans="1:37" ht="18" customHeight="1" x14ac:dyDescent="0.3">
      <c r="A22" s="707" t="s">
        <v>1369</v>
      </c>
      <c r="B22" s="544">
        <v>0</v>
      </c>
      <c r="C22" s="544">
        <v>0</v>
      </c>
      <c r="D22" s="544">
        <v>0</v>
      </c>
      <c r="E22" s="544">
        <v>0</v>
      </c>
      <c r="F22" s="544">
        <v>1</v>
      </c>
      <c r="G22" s="573">
        <f>AVERAGE(B22:F22)</f>
        <v>0.2</v>
      </c>
      <c r="H22" s="544">
        <v>1</v>
      </c>
      <c r="I22" s="573">
        <f>(+H22+F22+E22+D22+C22)/5</f>
        <v>0.4</v>
      </c>
      <c r="J22" s="544">
        <v>8</v>
      </c>
      <c r="K22" s="573">
        <f>(+J22+H22+F22+E22+D22)/5</f>
        <v>2</v>
      </c>
      <c r="L22" s="544">
        <v>8</v>
      </c>
      <c r="M22" s="573">
        <f>(L22+J22+H22+F22+E22)/5</f>
        <v>3.6</v>
      </c>
      <c r="N22" s="544">
        <f>2+16</f>
        <v>18</v>
      </c>
      <c r="O22" s="574">
        <f>(+N22+L22+J22+H22+F22)/5</f>
        <v>7.2</v>
      </c>
      <c r="P22" s="544">
        <v>9</v>
      </c>
      <c r="Q22" s="574">
        <f>(P22+N22+L22+J22+H22)/5</f>
        <v>8.8000000000000007</v>
      </c>
      <c r="R22" s="544">
        <v>8</v>
      </c>
      <c r="S22" s="574">
        <f>(R22+P22+N22+L22+J22)/5</f>
        <v>10.199999999999999</v>
      </c>
      <c r="T22" s="544">
        <v>12</v>
      </c>
      <c r="U22" s="574">
        <f>(T22+R22+P22+N22+L22)/5</f>
        <v>11</v>
      </c>
      <c r="V22" s="544">
        <v>16</v>
      </c>
      <c r="W22" s="574">
        <f>(V22+T22+R22+P22+N22)/5</f>
        <v>12.6</v>
      </c>
      <c r="X22" s="544">
        <v>19</v>
      </c>
      <c r="Y22" s="574">
        <f>(X22+V22+T22+R22+P22)/5</f>
        <v>12.8</v>
      </c>
      <c r="Z22" s="544">
        <v>8</v>
      </c>
      <c r="AA22" s="574">
        <f>(Z22+X22+V22+T22+R22)/5</f>
        <v>12.6</v>
      </c>
      <c r="AB22" s="544">
        <v>19</v>
      </c>
      <c r="AC22" s="574">
        <f>(AB22+Z22+X22+V22+T22)/5</f>
        <v>14.8</v>
      </c>
      <c r="AD22" s="544">
        <v>11</v>
      </c>
      <c r="AE22" s="574">
        <f>(AD22+AB22+Z22+X22+V22)/5</f>
        <v>14.6</v>
      </c>
      <c r="AF22" s="544">
        <v>21</v>
      </c>
      <c r="AG22" s="574">
        <f>(AF22+AD22+AB22+Z22+X22)/5</f>
        <v>15.6</v>
      </c>
      <c r="AH22" s="544">
        <v>14</v>
      </c>
      <c r="AI22" s="574">
        <f>(AH22+AF22+AD22+AB22+Z22)/5</f>
        <v>14.6</v>
      </c>
      <c r="AJ22" s="544">
        <v>16</v>
      </c>
      <c r="AK22" s="574">
        <f>(AJ22+AH22+AF22+AD22+AB22)/5</f>
        <v>16.2</v>
      </c>
    </row>
    <row r="23" spans="1:37" ht="18" customHeight="1" x14ac:dyDescent="0.3">
      <c r="A23" s="708" t="s">
        <v>1015</v>
      </c>
      <c r="B23" s="572">
        <f>SUM(B20:B22)</f>
        <v>48</v>
      </c>
      <c r="C23" s="572">
        <f>SUM(C20:C22)</f>
        <v>41</v>
      </c>
      <c r="D23" s="572">
        <f>SUM(D20:D22)</f>
        <v>36</v>
      </c>
      <c r="E23" s="572">
        <f>SUM(E20:E22)</f>
        <v>28</v>
      </c>
      <c r="F23" s="572">
        <f>SUM(F20:F22)</f>
        <v>30</v>
      </c>
      <c r="G23" s="573">
        <f>AVERAGE(B23:F23)</f>
        <v>36.6</v>
      </c>
      <c r="H23" s="572">
        <f>SUM(H20:H22)</f>
        <v>19</v>
      </c>
      <c r="I23" s="573">
        <f>(+H23+F23+E23+D23+C23)/5</f>
        <v>30.8</v>
      </c>
      <c r="J23" s="572">
        <f>SUM(J20:J22)</f>
        <v>30</v>
      </c>
      <c r="K23" s="573">
        <f>(+J23+H23+F23+E23+D23)/5</f>
        <v>28.6</v>
      </c>
      <c r="L23" s="572">
        <f>SUM(L20:L22)</f>
        <v>28</v>
      </c>
      <c r="M23" s="573">
        <f>(L23+J23+H23+F23+E23)/5</f>
        <v>27</v>
      </c>
      <c r="N23" s="572">
        <f>SUM(N20:N22)</f>
        <v>45</v>
      </c>
      <c r="O23" s="574">
        <f>(+N23+L23+J23+H23+F23)/5</f>
        <v>30.4</v>
      </c>
      <c r="P23" s="572">
        <f>SUM(P20:P22)</f>
        <v>30</v>
      </c>
      <c r="Q23" s="574">
        <f>(P23+N23+L23+J23+H23)/5</f>
        <v>30.4</v>
      </c>
      <c r="R23" s="572">
        <f>SUM(R20:R22)</f>
        <v>57</v>
      </c>
      <c r="S23" s="574">
        <f>(R23+P23+N23+L23+J23)/5</f>
        <v>38</v>
      </c>
      <c r="T23" s="572">
        <f>SUM(T20:T22)</f>
        <v>36</v>
      </c>
      <c r="U23" s="574">
        <f>(T23+R23+P23+N23+L23)/5</f>
        <v>39.200000000000003</v>
      </c>
      <c r="V23" s="572">
        <f>SUM(V20:V22)</f>
        <v>47</v>
      </c>
      <c r="W23" s="574">
        <f>(V23+T23+R23+P23+N23)/5</f>
        <v>43</v>
      </c>
      <c r="X23" s="572">
        <f>SUM(X20:X22)</f>
        <v>51</v>
      </c>
      <c r="Y23" s="574">
        <f>(X23+V23+T23+R23+P23)/5</f>
        <v>44.2</v>
      </c>
      <c r="Z23" s="572">
        <f>SUM(Z20:Z22)</f>
        <v>48</v>
      </c>
      <c r="AA23" s="574">
        <f>(Z23+X23+V23+T23+R23)/5</f>
        <v>47.8</v>
      </c>
      <c r="AB23" s="572">
        <f>SUM(AB20:AB22)</f>
        <v>68</v>
      </c>
      <c r="AC23" s="574">
        <f>(AB23+Z23+X23+V23+T23)/5</f>
        <v>50</v>
      </c>
      <c r="AD23" s="572">
        <f>SUM(AD20:AD22)</f>
        <v>54</v>
      </c>
      <c r="AE23" s="574">
        <f>(AD23+AB23+Z23+X23+V23)/5</f>
        <v>53.6</v>
      </c>
      <c r="AF23" s="572">
        <f>SUM(AF20:AF22)</f>
        <v>69</v>
      </c>
      <c r="AG23" s="574">
        <f>(AF23+AD23+AB23+Z23+X23)/5</f>
        <v>58</v>
      </c>
      <c r="AH23" s="572">
        <f>SUM(AH20:AH22)</f>
        <v>63</v>
      </c>
      <c r="AI23" s="574">
        <f>(AH23+AF23+AD23+AB23+Z23)/5</f>
        <v>60.4</v>
      </c>
      <c r="AJ23" s="572">
        <f>SUM(AJ20:AJ22)</f>
        <v>53</v>
      </c>
      <c r="AK23" s="574">
        <f>(AJ23+AH23+AF23+AD23+AB23)/5</f>
        <v>61.4</v>
      </c>
    </row>
    <row r="24" spans="1:37" ht="18" customHeight="1" x14ac:dyDescent="0.3">
      <c r="A24" s="864" t="s">
        <v>414</v>
      </c>
      <c r="B24" s="865"/>
      <c r="C24" s="865"/>
      <c r="D24" s="865"/>
      <c r="E24" s="865"/>
      <c r="F24" s="866"/>
      <c r="G24" s="865"/>
      <c r="H24" s="866"/>
      <c r="I24" s="866"/>
      <c r="J24" s="866"/>
      <c r="K24" s="866"/>
      <c r="L24" s="866"/>
      <c r="M24" s="866"/>
      <c r="N24" s="866"/>
      <c r="O24" s="867"/>
      <c r="P24" s="866"/>
      <c r="Q24" s="867"/>
      <c r="R24" s="866"/>
      <c r="S24" s="867"/>
      <c r="T24" s="866"/>
      <c r="U24" s="867"/>
      <c r="V24" s="866"/>
      <c r="W24" s="867"/>
      <c r="X24" s="866"/>
      <c r="Y24" s="867"/>
      <c r="Z24" s="866"/>
      <c r="AA24" s="867"/>
      <c r="AB24" s="866"/>
      <c r="AC24" s="867"/>
      <c r="AD24" s="866"/>
      <c r="AE24" s="867"/>
      <c r="AF24" s="866"/>
      <c r="AG24" s="867"/>
      <c r="AH24" s="866"/>
      <c r="AI24" s="867"/>
      <c r="AJ24" s="866"/>
      <c r="AK24" s="867"/>
    </row>
    <row r="25" spans="1:37" ht="18" customHeight="1" x14ac:dyDescent="0.3">
      <c r="A25" s="707" t="s">
        <v>1111</v>
      </c>
      <c r="B25" s="544">
        <v>5</v>
      </c>
      <c r="C25" s="544">
        <v>11</v>
      </c>
      <c r="D25" s="544">
        <v>7</v>
      </c>
      <c r="E25" s="544">
        <v>2</v>
      </c>
      <c r="F25" s="544">
        <v>3</v>
      </c>
      <c r="G25" s="573">
        <f t="shared" ref="G25:G30" si="16">AVERAGE(B25:F25)</f>
        <v>5.6</v>
      </c>
      <c r="H25" s="544">
        <v>2</v>
      </c>
      <c r="I25" s="573">
        <f t="shared" ref="I25:I30" si="17">(+H25+F25+E25+D25+C25)/5</f>
        <v>5</v>
      </c>
      <c r="J25" s="544">
        <v>5</v>
      </c>
      <c r="K25" s="573">
        <f t="shared" ref="K25:K30" si="18">(+J25+H25+F25+E25+D25)/5</f>
        <v>3.8</v>
      </c>
      <c r="L25" s="544">
        <v>10</v>
      </c>
      <c r="M25" s="573">
        <f t="shared" ref="M25:M30" si="19">(L25+J25+H25+F25+E25)/5</f>
        <v>4.4000000000000004</v>
      </c>
      <c r="N25" s="544">
        <v>6</v>
      </c>
      <c r="O25" s="574">
        <f t="shared" ref="O25:O30" si="20">(+N25+L25+J25+H25+F25)/5</f>
        <v>5.2</v>
      </c>
      <c r="P25" s="544">
        <v>5</v>
      </c>
      <c r="Q25" s="574">
        <f t="shared" ref="Q25:Q30" si="21">(P25+N25+L25+J25+H25)/5</f>
        <v>5.6</v>
      </c>
      <c r="R25" s="544">
        <v>9</v>
      </c>
      <c r="S25" s="574">
        <f t="shared" ref="S25:S30" si="22">(R25+P25+N25+L25+J25)/5</f>
        <v>7</v>
      </c>
      <c r="T25" s="544">
        <v>7</v>
      </c>
      <c r="U25" s="574">
        <f t="shared" ref="U25:U30" si="23">(T25+R25+P25+N25+L25)/5</f>
        <v>7.4</v>
      </c>
      <c r="V25" s="544">
        <v>11</v>
      </c>
      <c r="W25" s="574">
        <f t="shared" ref="W25:W30" si="24">(V25+T25+R25+P25+N25)/5</f>
        <v>7.6</v>
      </c>
      <c r="X25" s="544">
        <v>12</v>
      </c>
      <c r="Y25" s="574">
        <f t="shared" ref="Y25:Y30" si="25">(X25+V25+T25+R25+P25)/5</f>
        <v>8.8000000000000007</v>
      </c>
      <c r="Z25" s="544">
        <v>6</v>
      </c>
      <c r="AA25" s="574">
        <f t="shared" ref="AA25:AA30" si="26">(Z25+X25+V25+T25+R25)/5</f>
        <v>9</v>
      </c>
      <c r="AB25" s="544">
        <v>8</v>
      </c>
      <c r="AC25" s="574">
        <f t="shared" ref="AC25:AC30" si="27">(AB25+Z25+X25+V25+T25)/5</f>
        <v>8.8000000000000007</v>
      </c>
      <c r="AD25" s="544">
        <v>7</v>
      </c>
      <c r="AE25" s="574">
        <f t="shared" ref="AE25:AE30" si="28">(AD25+AB25+Z25+X25+V25)/5</f>
        <v>8.8000000000000007</v>
      </c>
      <c r="AF25" s="544">
        <v>14</v>
      </c>
      <c r="AG25" s="574">
        <f t="shared" ref="AG25:AG30" si="29">(AF25+AD25+AB25+Z25+X25)/5</f>
        <v>9.4</v>
      </c>
      <c r="AH25" s="544">
        <v>11</v>
      </c>
      <c r="AI25" s="574">
        <f t="shared" ref="AI25:AI30" si="30">(AH25+AF25+AD25+AB25+Z25)/5</f>
        <v>9.1999999999999993</v>
      </c>
      <c r="AJ25" s="544">
        <v>5</v>
      </c>
      <c r="AK25" s="574">
        <f t="shared" ref="AK25:AK30" si="31">(AJ25+AH25+AF25+AD25+AB25)/5</f>
        <v>9</v>
      </c>
    </row>
    <row r="26" spans="1:37" ht="18" customHeight="1" x14ac:dyDescent="0.3">
      <c r="A26" s="707" t="s">
        <v>402</v>
      </c>
      <c r="B26" s="544">
        <v>1</v>
      </c>
      <c r="C26" s="544">
        <v>0</v>
      </c>
      <c r="D26" s="544">
        <v>1</v>
      </c>
      <c r="E26" s="544">
        <v>0</v>
      </c>
      <c r="F26" s="544">
        <v>0</v>
      </c>
      <c r="G26" s="573">
        <f t="shared" si="16"/>
        <v>0.4</v>
      </c>
      <c r="H26" s="544">
        <v>0</v>
      </c>
      <c r="I26" s="573">
        <f t="shared" si="17"/>
        <v>0.2</v>
      </c>
      <c r="J26" s="544">
        <v>0</v>
      </c>
      <c r="K26" s="573">
        <f t="shared" si="18"/>
        <v>0.2</v>
      </c>
      <c r="L26" s="544">
        <v>0</v>
      </c>
      <c r="M26" s="573">
        <f t="shared" si="19"/>
        <v>0</v>
      </c>
      <c r="N26" s="544">
        <v>0</v>
      </c>
      <c r="O26" s="574">
        <f t="shared" si="20"/>
        <v>0</v>
      </c>
      <c r="P26" s="544">
        <v>0</v>
      </c>
      <c r="Q26" s="574">
        <f t="shared" si="21"/>
        <v>0</v>
      </c>
      <c r="R26" s="544">
        <v>0</v>
      </c>
      <c r="S26" s="574">
        <f t="shared" si="22"/>
        <v>0</v>
      </c>
      <c r="T26" s="544">
        <v>0</v>
      </c>
      <c r="U26" s="574">
        <f t="shared" si="23"/>
        <v>0</v>
      </c>
      <c r="V26" s="544">
        <v>0</v>
      </c>
      <c r="W26" s="574">
        <f t="shared" si="24"/>
        <v>0</v>
      </c>
      <c r="X26" s="544">
        <v>0</v>
      </c>
      <c r="Y26" s="574">
        <f t="shared" si="25"/>
        <v>0</v>
      </c>
      <c r="Z26" s="544">
        <v>0</v>
      </c>
      <c r="AA26" s="574">
        <f t="shared" si="26"/>
        <v>0</v>
      </c>
      <c r="AB26" s="544">
        <v>0</v>
      </c>
      <c r="AC26" s="574">
        <f t="shared" si="27"/>
        <v>0</v>
      </c>
      <c r="AD26" s="544">
        <v>0</v>
      </c>
      <c r="AE26" s="574">
        <f t="shared" si="28"/>
        <v>0</v>
      </c>
      <c r="AF26" s="544">
        <v>0</v>
      </c>
      <c r="AG26" s="574">
        <f t="shared" si="29"/>
        <v>0</v>
      </c>
      <c r="AH26" s="544">
        <v>0</v>
      </c>
      <c r="AI26" s="574">
        <f t="shared" si="30"/>
        <v>0</v>
      </c>
      <c r="AJ26" s="544">
        <v>0</v>
      </c>
      <c r="AK26" s="574">
        <f t="shared" si="31"/>
        <v>0</v>
      </c>
    </row>
    <row r="27" spans="1:37" ht="18" customHeight="1" x14ac:dyDescent="0.3">
      <c r="A27" s="707" t="s">
        <v>1113</v>
      </c>
      <c r="B27" s="544">
        <v>0</v>
      </c>
      <c r="C27" s="544">
        <v>0</v>
      </c>
      <c r="D27" s="544">
        <v>0</v>
      </c>
      <c r="E27" s="544">
        <v>0</v>
      </c>
      <c r="F27" s="544">
        <v>5</v>
      </c>
      <c r="G27" s="573">
        <f t="shared" si="16"/>
        <v>1</v>
      </c>
      <c r="H27" s="544">
        <v>0</v>
      </c>
      <c r="I27" s="573">
        <f t="shared" si="17"/>
        <v>1</v>
      </c>
      <c r="J27" s="544">
        <v>6</v>
      </c>
      <c r="K27" s="573">
        <f t="shared" si="18"/>
        <v>2.2000000000000002</v>
      </c>
      <c r="L27" s="544">
        <v>4</v>
      </c>
      <c r="M27" s="573">
        <f t="shared" si="19"/>
        <v>3</v>
      </c>
      <c r="N27" s="544">
        <v>5</v>
      </c>
      <c r="O27" s="574">
        <f t="shared" si="20"/>
        <v>4</v>
      </c>
      <c r="P27" s="544">
        <v>6</v>
      </c>
      <c r="Q27" s="574">
        <f t="shared" si="21"/>
        <v>4.2</v>
      </c>
      <c r="R27" s="544">
        <v>3</v>
      </c>
      <c r="S27" s="574">
        <f t="shared" si="22"/>
        <v>4.8</v>
      </c>
      <c r="T27" s="544">
        <v>1</v>
      </c>
      <c r="U27" s="574">
        <f t="shared" si="23"/>
        <v>3.8</v>
      </c>
      <c r="V27" s="544">
        <v>1</v>
      </c>
      <c r="W27" s="574">
        <f t="shared" si="24"/>
        <v>3.2</v>
      </c>
      <c r="X27" s="544">
        <v>1</v>
      </c>
      <c r="Y27" s="574">
        <f t="shared" si="25"/>
        <v>2.4</v>
      </c>
      <c r="Z27" s="544">
        <v>4</v>
      </c>
      <c r="AA27" s="574">
        <f t="shared" si="26"/>
        <v>2</v>
      </c>
      <c r="AB27" s="544">
        <v>3</v>
      </c>
      <c r="AC27" s="574">
        <f t="shared" si="27"/>
        <v>2</v>
      </c>
      <c r="AD27" s="544">
        <v>4</v>
      </c>
      <c r="AE27" s="574">
        <f t="shared" si="28"/>
        <v>2.6</v>
      </c>
      <c r="AF27" s="544">
        <v>5</v>
      </c>
      <c r="AG27" s="574">
        <f t="shared" si="29"/>
        <v>3.4</v>
      </c>
      <c r="AH27" s="544">
        <v>3</v>
      </c>
      <c r="AI27" s="574">
        <f t="shared" si="30"/>
        <v>3.8</v>
      </c>
      <c r="AJ27" s="544">
        <v>4</v>
      </c>
      <c r="AK27" s="574">
        <f t="shared" si="31"/>
        <v>3.8</v>
      </c>
    </row>
    <row r="28" spans="1:37" ht="18" customHeight="1" x14ac:dyDescent="0.3">
      <c r="A28" s="707" t="s">
        <v>1114</v>
      </c>
      <c r="B28" s="544">
        <v>0</v>
      </c>
      <c r="C28" s="544">
        <v>1</v>
      </c>
      <c r="D28" s="544">
        <v>0</v>
      </c>
      <c r="E28" s="544">
        <v>1</v>
      </c>
      <c r="F28" s="544">
        <v>2</v>
      </c>
      <c r="G28" s="573">
        <f t="shared" si="16"/>
        <v>0.8</v>
      </c>
      <c r="H28" s="544">
        <v>1</v>
      </c>
      <c r="I28" s="573">
        <f t="shared" si="17"/>
        <v>1</v>
      </c>
      <c r="J28" s="544">
        <v>0</v>
      </c>
      <c r="K28" s="573">
        <f t="shared" si="18"/>
        <v>0.8</v>
      </c>
      <c r="L28" s="544">
        <v>0</v>
      </c>
      <c r="M28" s="573">
        <f t="shared" si="19"/>
        <v>0.8</v>
      </c>
      <c r="N28" s="544">
        <v>0</v>
      </c>
      <c r="O28" s="574">
        <f t="shared" si="20"/>
        <v>0.6</v>
      </c>
      <c r="P28" s="544">
        <v>0</v>
      </c>
      <c r="Q28" s="574">
        <f t="shared" si="21"/>
        <v>0.2</v>
      </c>
      <c r="R28" s="544">
        <v>0</v>
      </c>
      <c r="S28" s="574">
        <f t="shared" si="22"/>
        <v>0</v>
      </c>
      <c r="T28" s="544">
        <v>0</v>
      </c>
      <c r="U28" s="574">
        <f t="shared" si="23"/>
        <v>0</v>
      </c>
      <c r="V28" s="544">
        <v>0</v>
      </c>
      <c r="W28" s="574">
        <f t="shared" si="24"/>
        <v>0</v>
      </c>
      <c r="X28" s="544">
        <v>0</v>
      </c>
      <c r="Y28" s="574">
        <f t="shared" si="25"/>
        <v>0</v>
      </c>
      <c r="Z28" s="544">
        <v>0</v>
      </c>
      <c r="AA28" s="574">
        <f t="shared" si="26"/>
        <v>0</v>
      </c>
      <c r="AB28" s="544">
        <v>0</v>
      </c>
      <c r="AC28" s="574">
        <f t="shared" si="27"/>
        <v>0</v>
      </c>
      <c r="AD28" s="544">
        <v>0</v>
      </c>
      <c r="AE28" s="574">
        <f t="shared" si="28"/>
        <v>0</v>
      </c>
      <c r="AF28" s="544">
        <v>0</v>
      </c>
      <c r="AG28" s="574">
        <f t="shared" si="29"/>
        <v>0</v>
      </c>
      <c r="AH28" s="544">
        <v>0</v>
      </c>
      <c r="AI28" s="574">
        <f t="shared" si="30"/>
        <v>0</v>
      </c>
      <c r="AJ28" s="544">
        <v>0</v>
      </c>
      <c r="AK28" s="574">
        <f t="shared" si="31"/>
        <v>0</v>
      </c>
    </row>
    <row r="29" spans="1:37" ht="18" customHeight="1" x14ac:dyDescent="0.3">
      <c r="A29" s="708" t="s">
        <v>1015</v>
      </c>
      <c r="B29" s="572">
        <f>SUM(B25:B28)</f>
        <v>6</v>
      </c>
      <c r="C29" s="572">
        <f>SUM(C25:C28)</f>
        <v>12</v>
      </c>
      <c r="D29" s="572">
        <f>SUM(D25:D28)</f>
        <v>8</v>
      </c>
      <c r="E29" s="572">
        <f>SUM(E25:E28)</f>
        <v>3</v>
      </c>
      <c r="F29" s="572">
        <f>SUM(F25:F28)</f>
        <v>10</v>
      </c>
      <c r="G29" s="573">
        <f t="shared" si="16"/>
        <v>7.8</v>
      </c>
      <c r="H29" s="572">
        <f>SUM(H25:H28)</f>
        <v>3</v>
      </c>
      <c r="I29" s="573">
        <f t="shared" si="17"/>
        <v>7.2</v>
      </c>
      <c r="J29" s="572">
        <f>SUM(J25:J28)</f>
        <v>11</v>
      </c>
      <c r="K29" s="573">
        <f t="shared" si="18"/>
        <v>7</v>
      </c>
      <c r="L29" s="572">
        <f>SUM(L25:L28)</f>
        <v>14</v>
      </c>
      <c r="M29" s="573">
        <f t="shared" si="19"/>
        <v>8.1999999999999993</v>
      </c>
      <c r="N29" s="572">
        <f>SUM(N25:N28)</f>
        <v>11</v>
      </c>
      <c r="O29" s="574">
        <f t="shared" si="20"/>
        <v>9.8000000000000007</v>
      </c>
      <c r="P29" s="572">
        <f>SUM(P25:P28)</f>
        <v>11</v>
      </c>
      <c r="Q29" s="574">
        <f t="shared" si="21"/>
        <v>10</v>
      </c>
      <c r="R29" s="572">
        <f>SUM(R25:R28)</f>
        <v>12</v>
      </c>
      <c r="S29" s="574">
        <f t="shared" si="22"/>
        <v>11.8</v>
      </c>
      <c r="T29" s="572">
        <f>SUM(T25:T28)</f>
        <v>8</v>
      </c>
      <c r="U29" s="574">
        <f t="shared" si="23"/>
        <v>11.2</v>
      </c>
      <c r="V29" s="572">
        <f>SUM(V25:V28)</f>
        <v>12</v>
      </c>
      <c r="W29" s="574">
        <f t="shared" si="24"/>
        <v>10.8</v>
      </c>
      <c r="X29" s="572">
        <f>SUM(X25:X28)</f>
        <v>13</v>
      </c>
      <c r="Y29" s="574">
        <f t="shared" si="25"/>
        <v>11.2</v>
      </c>
      <c r="Z29" s="572">
        <f>SUM(Z25:Z28)</f>
        <v>10</v>
      </c>
      <c r="AA29" s="574">
        <f t="shared" si="26"/>
        <v>11</v>
      </c>
      <c r="AB29" s="572">
        <f>SUM(AB25:AB28)</f>
        <v>11</v>
      </c>
      <c r="AC29" s="574">
        <f t="shared" si="27"/>
        <v>10.8</v>
      </c>
      <c r="AD29" s="572">
        <f>SUM(AD25:AD28)</f>
        <v>11</v>
      </c>
      <c r="AE29" s="574">
        <f t="shared" si="28"/>
        <v>11.4</v>
      </c>
      <c r="AF29" s="572">
        <f>SUM(AF25:AF28)</f>
        <v>19</v>
      </c>
      <c r="AG29" s="574">
        <f t="shared" si="29"/>
        <v>12.8</v>
      </c>
      <c r="AH29" s="572">
        <f>SUM(AH25:AH28)</f>
        <v>14</v>
      </c>
      <c r="AI29" s="574">
        <f t="shared" si="30"/>
        <v>13</v>
      </c>
      <c r="AJ29" s="572">
        <f>SUM(AJ25:AJ28)</f>
        <v>9</v>
      </c>
      <c r="AK29" s="574">
        <f t="shared" si="31"/>
        <v>12.8</v>
      </c>
    </row>
    <row r="30" spans="1:37" ht="18" customHeight="1" thickBot="1" x14ac:dyDescent="0.35">
      <c r="A30" s="856" t="s">
        <v>415</v>
      </c>
      <c r="B30" s="857">
        <f>+B29+B23+B18+B9</f>
        <v>82</v>
      </c>
      <c r="C30" s="857">
        <f>+C29+C23+C18+C9</f>
        <v>80</v>
      </c>
      <c r="D30" s="857">
        <f>+D29+D23+D18+D9</f>
        <v>65</v>
      </c>
      <c r="E30" s="857">
        <f>+E29+E23+E18+E9</f>
        <v>61</v>
      </c>
      <c r="F30" s="857">
        <f>+F29+F23+F18+F9</f>
        <v>74</v>
      </c>
      <c r="G30" s="579">
        <f t="shared" si="16"/>
        <v>72.400000000000006</v>
      </c>
      <c r="H30" s="857">
        <f>+H29+H23+H18+H9</f>
        <v>54</v>
      </c>
      <c r="I30" s="579">
        <f t="shared" si="17"/>
        <v>66.8</v>
      </c>
      <c r="J30" s="857">
        <f>+J29+J23+J18+J9</f>
        <v>61</v>
      </c>
      <c r="K30" s="579">
        <f t="shared" si="18"/>
        <v>63</v>
      </c>
      <c r="L30" s="857">
        <f>+L29+L23+L18+L9</f>
        <v>65</v>
      </c>
      <c r="M30" s="580">
        <f t="shared" si="19"/>
        <v>63</v>
      </c>
      <c r="N30" s="860">
        <f>+N29+N23+N18+N9</f>
        <v>80</v>
      </c>
      <c r="O30" s="582">
        <f t="shared" si="20"/>
        <v>66.8</v>
      </c>
      <c r="P30" s="860">
        <f>+P29+P23+P18+P9</f>
        <v>65</v>
      </c>
      <c r="Q30" s="582">
        <f t="shared" si="21"/>
        <v>65</v>
      </c>
      <c r="R30" s="860">
        <f>+R29+R23+R18+R9</f>
        <v>83</v>
      </c>
      <c r="S30" s="582">
        <f t="shared" si="22"/>
        <v>70.8</v>
      </c>
      <c r="T30" s="860">
        <f>+T29+T23+T18+T9</f>
        <v>72</v>
      </c>
      <c r="U30" s="582">
        <f t="shared" si="23"/>
        <v>73</v>
      </c>
      <c r="V30" s="860">
        <f>+V29+V23+V18+V9</f>
        <v>91</v>
      </c>
      <c r="W30" s="582">
        <f t="shared" si="24"/>
        <v>78.2</v>
      </c>
      <c r="X30" s="860">
        <f>+X29+X23+X18+X9</f>
        <v>85</v>
      </c>
      <c r="Y30" s="582">
        <f t="shared" si="25"/>
        <v>79.2</v>
      </c>
      <c r="Z30" s="860">
        <f>+Z29+Z23+Z18+Z9</f>
        <v>87</v>
      </c>
      <c r="AA30" s="582">
        <f t="shared" si="26"/>
        <v>83.6</v>
      </c>
      <c r="AB30" s="860">
        <f>+AB29+AB23+AB18+AB9</f>
        <v>94</v>
      </c>
      <c r="AC30" s="582">
        <f t="shared" si="27"/>
        <v>85.8</v>
      </c>
      <c r="AD30" s="860">
        <f>+AD29+AD23+AD18+AD9</f>
        <v>93</v>
      </c>
      <c r="AE30" s="582">
        <f t="shared" si="28"/>
        <v>90</v>
      </c>
      <c r="AF30" s="860">
        <f>+AF29+AF23+AF18+AF9</f>
        <v>117</v>
      </c>
      <c r="AG30" s="582">
        <f t="shared" si="29"/>
        <v>95.2</v>
      </c>
      <c r="AH30" s="860">
        <f>+AH29+AH23+AH18+AH9</f>
        <v>93</v>
      </c>
      <c r="AI30" s="582">
        <f t="shared" si="30"/>
        <v>96.8</v>
      </c>
      <c r="AJ30" s="860">
        <f>+AJ29+AJ23+AJ18+AJ9</f>
        <v>91</v>
      </c>
      <c r="AK30" s="582">
        <f t="shared" si="31"/>
        <v>97.6</v>
      </c>
    </row>
    <row r="31" spans="1:37" ht="20.25" customHeight="1" thickBot="1" x14ac:dyDescent="0.35">
      <c r="A31" s="2211" t="s">
        <v>416</v>
      </c>
      <c r="B31" s="2212"/>
      <c r="C31" s="2212"/>
      <c r="D31" s="2212"/>
      <c r="E31" s="2212"/>
      <c r="F31" s="2212"/>
      <c r="G31" s="2212"/>
      <c r="H31" s="2212"/>
      <c r="I31" s="2212"/>
      <c r="J31" s="2212"/>
      <c r="K31" s="2212"/>
      <c r="L31" s="2212"/>
      <c r="M31" s="2212"/>
      <c r="N31" s="2212"/>
      <c r="O31" s="2212"/>
      <c r="P31" s="2212"/>
      <c r="Q31" s="2212"/>
      <c r="R31" s="2212"/>
      <c r="S31" s="2212"/>
      <c r="T31" s="2212"/>
      <c r="U31" s="2212"/>
      <c r="V31" s="2212"/>
      <c r="W31" s="2212"/>
      <c r="X31" s="2212"/>
      <c r="Y31" s="2212"/>
      <c r="Z31" s="2212"/>
      <c r="AA31" s="2212"/>
      <c r="AB31" s="2212"/>
      <c r="AC31" s="2212"/>
      <c r="AD31" s="2212"/>
      <c r="AE31" s="2212"/>
      <c r="AF31" s="2212"/>
      <c r="AG31" s="2212"/>
      <c r="AH31" s="2212"/>
      <c r="AI31" s="2212"/>
      <c r="AJ31" s="2212"/>
      <c r="AK31" s="2213"/>
    </row>
    <row r="32" spans="1:37" ht="20.25" customHeight="1" x14ac:dyDescent="0.3">
      <c r="A32" s="549" t="s">
        <v>410</v>
      </c>
      <c r="B32" s="547" t="s">
        <v>400</v>
      </c>
      <c r="C32" s="547" t="s">
        <v>1350</v>
      </c>
      <c r="D32" s="547" t="s">
        <v>1351</v>
      </c>
      <c r="E32" s="547" t="s">
        <v>1352</v>
      </c>
      <c r="F32" s="546" t="s">
        <v>795</v>
      </c>
      <c r="G32" s="571" t="s">
        <v>486</v>
      </c>
      <c r="H32" s="546" t="s">
        <v>652</v>
      </c>
      <c r="I32" s="571" t="s">
        <v>486</v>
      </c>
      <c r="J32" s="546" t="s">
        <v>1359</v>
      </c>
      <c r="K32" s="571" t="s">
        <v>486</v>
      </c>
      <c r="L32" s="546" t="s">
        <v>1105</v>
      </c>
      <c r="M32" s="571" t="s">
        <v>486</v>
      </c>
      <c r="N32" s="550" t="s">
        <v>283</v>
      </c>
      <c r="O32" s="571" t="s">
        <v>486</v>
      </c>
      <c r="P32" s="550" t="s">
        <v>1314</v>
      </c>
      <c r="Q32" s="571" t="s">
        <v>486</v>
      </c>
      <c r="R32" s="550" t="s">
        <v>372</v>
      </c>
      <c r="S32" s="571" t="s">
        <v>486</v>
      </c>
      <c r="T32" s="550" t="s">
        <v>615</v>
      </c>
      <c r="U32" s="571" t="s">
        <v>486</v>
      </c>
      <c r="V32" s="550" t="str">
        <f>+V4</f>
        <v>2008-2009</v>
      </c>
      <c r="W32" s="571" t="s">
        <v>486</v>
      </c>
      <c r="X32" s="546" t="s">
        <v>1446</v>
      </c>
      <c r="Y32" s="571" t="s">
        <v>486</v>
      </c>
      <c r="Z32" s="546" t="s">
        <v>1447</v>
      </c>
      <c r="AA32" s="571" t="s">
        <v>486</v>
      </c>
      <c r="AB32" s="546" t="s">
        <v>1438</v>
      </c>
      <c r="AC32" s="571" t="s">
        <v>486</v>
      </c>
      <c r="AD32" s="546" t="s">
        <v>1549</v>
      </c>
      <c r="AE32" s="571" t="s">
        <v>486</v>
      </c>
      <c r="AF32" s="546" t="s">
        <v>1611</v>
      </c>
      <c r="AG32" s="571" t="s">
        <v>486</v>
      </c>
      <c r="AH32" s="546" t="s">
        <v>1639</v>
      </c>
      <c r="AI32" s="571" t="s">
        <v>486</v>
      </c>
      <c r="AJ32" s="546" t="str">
        <f>+AJ4</f>
        <v>2015-2016</v>
      </c>
      <c r="AK32" s="571" t="s">
        <v>486</v>
      </c>
    </row>
    <row r="33" spans="1:37" ht="18" customHeight="1" x14ac:dyDescent="0.3">
      <c r="A33" s="864" t="s">
        <v>417</v>
      </c>
      <c r="B33" s="865"/>
      <c r="C33" s="865"/>
      <c r="D33" s="865"/>
      <c r="E33" s="865"/>
      <c r="F33" s="866"/>
      <c r="G33" s="866"/>
      <c r="H33" s="866"/>
      <c r="I33" s="866"/>
      <c r="J33" s="866"/>
      <c r="K33" s="866"/>
      <c r="L33" s="866"/>
      <c r="M33" s="866"/>
      <c r="N33" s="866"/>
      <c r="O33" s="870"/>
      <c r="P33" s="866"/>
      <c r="Q33" s="870"/>
      <c r="R33" s="866"/>
      <c r="S33" s="870"/>
      <c r="T33" s="866"/>
      <c r="U33" s="870"/>
      <c r="V33" s="866"/>
      <c r="W33" s="870"/>
      <c r="X33" s="866"/>
      <c r="Y33" s="870"/>
      <c r="Z33" s="866"/>
      <c r="AA33" s="870"/>
      <c r="AB33" s="866"/>
      <c r="AC33" s="870"/>
      <c r="AD33" s="866"/>
      <c r="AE33" s="870"/>
      <c r="AF33" s="866"/>
      <c r="AG33" s="870"/>
      <c r="AH33" s="866"/>
      <c r="AI33" s="870"/>
      <c r="AJ33" s="866"/>
      <c r="AK33" s="870"/>
    </row>
    <row r="34" spans="1:37" ht="18" customHeight="1" x14ac:dyDescent="0.3">
      <c r="A34" s="707" t="s">
        <v>1128</v>
      </c>
      <c r="B34" s="544">
        <v>20</v>
      </c>
      <c r="C34" s="544">
        <v>17</v>
      </c>
      <c r="D34" s="544">
        <v>18</v>
      </c>
      <c r="E34" s="544">
        <v>19</v>
      </c>
      <c r="F34" s="544">
        <v>10</v>
      </c>
      <c r="G34" s="573">
        <f>AVERAGE(B34:F34)</f>
        <v>16.8</v>
      </c>
      <c r="H34" s="544">
        <v>12</v>
      </c>
      <c r="I34" s="573">
        <f>(+H34+F34+E34+D34+C34)/5</f>
        <v>15.2</v>
      </c>
      <c r="J34" s="544">
        <v>23</v>
      </c>
      <c r="K34" s="573">
        <f>(+J34+H34+F34+E34+D34)/5</f>
        <v>16.399999999999999</v>
      </c>
      <c r="L34" s="544">
        <v>22</v>
      </c>
      <c r="M34" s="573">
        <f>(L34+J34+H34+F34+E34)/5</f>
        <v>17.2</v>
      </c>
      <c r="N34" s="544">
        <v>17</v>
      </c>
      <c r="O34" s="574">
        <f>(+N34+L34+J34+H34+F34)/5</f>
        <v>16.8</v>
      </c>
      <c r="P34" s="544">
        <v>17</v>
      </c>
      <c r="Q34" s="574">
        <f>(P34+N34+L34+J34+H34)/5</f>
        <v>18.2</v>
      </c>
      <c r="R34" s="544">
        <v>14</v>
      </c>
      <c r="S34" s="574">
        <f>(R34+P34+N34+L34+J34)/5</f>
        <v>18.600000000000001</v>
      </c>
      <c r="T34" s="544">
        <v>9</v>
      </c>
      <c r="U34" s="574">
        <f>(T34+R34+P34+N34+L34)/5</f>
        <v>15.8</v>
      </c>
      <c r="V34" s="544">
        <v>10</v>
      </c>
      <c r="W34" s="574">
        <f>(V34+T34+R34+P34+N34)/5</f>
        <v>13.4</v>
      </c>
      <c r="X34" s="544">
        <v>22</v>
      </c>
      <c r="Y34" s="574">
        <f>(X34+V34+T34+R34+P34)/5</f>
        <v>14.4</v>
      </c>
      <c r="Z34" s="544">
        <v>8</v>
      </c>
      <c r="AA34" s="574">
        <f>(Z34+X34+V34+T34+R34)/5</f>
        <v>12.6</v>
      </c>
      <c r="AB34" s="544">
        <v>10</v>
      </c>
      <c r="AC34" s="574">
        <f>(AB34+Z34+X34+V34+T34)/5</f>
        <v>11.8</v>
      </c>
      <c r="AD34" s="544">
        <v>11</v>
      </c>
      <c r="AE34" s="574">
        <f>(AD34+AB34+Z34+X34+V34)/5</f>
        <v>12.2</v>
      </c>
      <c r="AF34" s="544">
        <v>15</v>
      </c>
      <c r="AG34" s="574">
        <f>(AF34+AD34+AB34+Z34+X34)/5</f>
        <v>13.2</v>
      </c>
      <c r="AH34" s="544">
        <v>10</v>
      </c>
      <c r="AI34" s="574">
        <f>(AH34+AF34+AD34+AB34+Z34)/5</f>
        <v>10.8</v>
      </c>
      <c r="AJ34" s="544">
        <v>5</v>
      </c>
      <c r="AK34" s="574">
        <f>(AJ34+AH34+AF34+AD34+AB34)/5</f>
        <v>10.199999999999999</v>
      </c>
    </row>
    <row r="35" spans="1:37" ht="18" customHeight="1" x14ac:dyDescent="0.3">
      <c r="A35" s="707" t="s">
        <v>1522</v>
      </c>
      <c r="B35" s="544">
        <v>0</v>
      </c>
      <c r="C35" s="544">
        <v>0</v>
      </c>
      <c r="D35" s="544">
        <v>0</v>
      </c>
      <c r="E35" s="544">
        <v>0</v>
      </c>
      <c r="F35" s="544">
        <v>0</v>
      </c>
      <c r="G35" s="573">
        <f>AVERAGE(B35:F35)</f>
        <v>0</v>
      </c>
      <c r="H35" s="544">
        <v>0</v>
      </c>
      <c r="I35" s="573">
        <f>(+H35+F35+E35+D35+C35)/5</f>
        <v>0</v>
      </c>
      <c r="J35" s="544">
        <v>0</v>
      </c>
      <c r="K35" s="573">
        <f>(+J35+H35+F35+E35+D35)/5</f>
        <v>0</v>
      </c>
      <c r="L35" s="544">
        <v>0</v>
      </c>
      <c r="M35" s="573">
        <f>(L35+J35+H35+F35+E35)/5</f>
        <v>0</v>
      </c>
      <c r="N35" s="544">
        <v>0</v>
      </c>
      <c r="O35" s="574">
        <f>(+N35+L35+J35+H35+F35)/5</f>
        <v>0</v>
      </c>
      <c r="P35" s="544">
        <v>0</v>
      </c>
      <c r="Q35" s="574">
        <f>(P35+N35+L35+J35+H35)/5</f>
        <v>0</v>
      </c>
      <c r="R35" s="544">
        <v>0</v>
      </c>
      <c r="S35" s="574">
        <f>(R35+P35+N35+L35+J35)/5</f>
        <v>0</v>
      </c>
      <c r="T35" s="544">
        <v>0</v>
      </c>
      <c r="U35" s="574">
        <f>(T35+R35+P35+N35+L35)/5</f>
        <v>0</v>
      </c>
      <c r="V35" s="544">
        <v>3</v>
      </c>
      <c r="W35" s="574">
        <f>(V35+T35+R35+P35+N35)/5</f>
        <v>0.6</v>
      </c>
      <c r="X35" s="544">
        <v>3</v>
      </c>
      <c r="Y35" s="574">
        <f>(X35+V35+T35+R35+P35)/5</f>
        <v>1.2</v>
      </c>
      <c r="Z35" s="544">
        <v>6</v>
      </c>
      <c r="AA35" s="574">
        <f>(Z35+X35+V35+T35+R35)/5</f>
        <v>2.4</v>
      </c>
      <c r="AB35" s="544">
        <v>5</v>
      </c>
      <c r="AC35" s="574">
        <f>(AB35+Z35+X35+V35+T35)/5</f>
        <v>3.4</v>
      </c>
      <c r="AD35" s="544">
        <v>9</v>
      </c>
      <c r="AE35" s="574">
        <f>(AD35+AB35+Z35+X35+V35)/5</f>
        <v>5.2</v>
      </c>
      <c r="AF35" s="544">
        <v>14</v>
      </c>
      <c r="AG35" s="574">
        <f>(AF35+AD35+AB35+Z35+X35)/5</f>
        <v>7.4</v>
      </c>
      <c r="AH35" s="544">
        <v>9</v>
      </c>
      <c r="AI35" s="574">
        <f>(AH35+AF35+AD35+AB35+Z35)/5</f>
        <v>8.6</v>
      </c>
      <c r="AJ35" s="544">
        <v>10</v>
      </c>
      <c r="AK35" s="574">
        <f>(AJ35+AH35+AF35+AD35+AB35)/5</f>
        <v>9.4</v>
      </c>
    </row>
    <row r="36" spans="1:37" ht="18" customHeight="1" x14ac:dyDescent="0.3">
      <c r="A36" s="708" t="s">
        <v>1015</v>
      </c>
      <c r="B36" s="572">
        <f>SUM(B34:B35)</f>
        <v>20</v>
      </c>
      <c r="C36" s="572">
        <f>SUM(C34:C35)</f>
        <v>17</v>
      </c>
      <c r="D36" s="572">
        <f>SUM(D34:D35)</f>
        <v>18</v>
      </c>
      <c r="E36" s="572">
        <f>SUM(E34:E35)</f>
        <v>19</v>
      </c>
      <c r="F36" s="572">
        <f>SUM(F34:F35)</f>
        <v>10</v>
      </c>
      <c r="G36" s="573">
        <f>AVERAGE(B36:F36)</f>
        <v>16.8</v>
      </c>
      <c r="H36" s="572">
        <f>SUM(H34:H35)</f>
        <v>12</v>
      </c>
      <c r="I36" s="573">
        <f>(+H36+F36+E36+D36+C36)/5</f>
        <v>15.2</v>
      </c>
      <c r="J36" s="572">
        <f>SUM(J34:J35)</f>
        <v>23</v>
      </c>
      <c r="K36" s="573">
        <f>(+J36+H36+F36+E36+D36)/5</f>
        <v>16.399999999999999</v>
      </c>
      <c r="L36" s="572">
        <f>SUM(L34:L35)</f>
        <v>22</v>
      </c>
      <c r="M36" s="573">
        <f>(L36+J36+H36+F36+E36)/5</f>
        <v>17.2</v>
      </c>
      <c r="N36" s="572">
        <f>SUM(N34:N35)</f>
        <v>17</v>
      </c>
      <c r="O36" s="574">
        <f>(+N36+L36+J36+H36+F36)/5</f>
        <v>16.8</v>
      </c>
      <c r="P36" s="572">
        <f>SUM(P34:P35)</f>
        <v>17</v>
      </c>
      <c r="Q36" s="574">
        <f>(P36+N36+L36+J36+H36)/5</f>
        <v>18.2</v>
      </c>
      <c r="R36" s="572">
        <f>SUM(R34:R35)</f>
        <v>14</v>
      </c>
      <c r="S36" s="574">
        <f>(R36+P36+N36+L36+J36)/5</f>
        <v>18.600000000000001</v>
      </c>
      <c r="T36" s="572">
        <f>SUM(T34:T35)</f>
        <v>9</v>
      </c>
      <c r="U36" s="574">
        <f>(T36+R36+P36+N36+L36)/5</f>
        <v>15.8</v>
      </c>
      <c r="V36" s="572">
        <f>SUM(V34:V35)</f>
        <v>13</v>
      </c>
      <c r="W36" s="574">
        <f>(V36+T36+R36+P36+N36)/5</f>
        <v>14</v>
      </c>
      <c r="X36" s="572">
        <f>SUM(X34:X35)</f>
        <v>25</v>
      </c>
      <c r="Y36" s="574">
        <f>(X36+V36+T36+R36+P36)/5</f>
        <v>15.6</v>
      </c>
      <c r="Z36" s="572">
        <f>SUM(Z34:Z35)</f>
        <v>14</v>
      </c>
      <c r="AA36" s="574">
        <f>(Z36+X36+V36+T36+R36)/5</f>
        <v>15</v>
      </c>
      <c r="AB36" s="572">
        <f>SUM(AB34:AB35)</f>
        <v>15</v>
      </c>
      <c r="AC36" s="574">
        <f>(AB36+Z36+X36+V36+T36)/5</f>
        <v>15.2</v>
      </c>
      <c r="AD36" s="572">
        <f>SUM(AD34:AD35)</f>
        <v>20</v>
      </c>
      <c r="AE36" s="574">
        <f>(AD36+AB36+Z36+X36+V36)/5</f>
        <v>17.399999999999999</v>
      </c>
      <c r="AF36" s="572">
        <f>SUM(AF34:AF35)</f>
        <v>29</v>
      </c>
      <c r="AG36" s="574">
        <f>(AF36+AD36+AB36+Z36+X36)/5</f>
        <v>20.6</v>
      </c>
      <c r="AH36" s="572">
        <f>SUM(AH34:AH35)</f>
        <v>19</v>
      </c>
      <c r="AI36" s="574">
        <f>(AH36+AF36+AD36+AB36+Z36)/5</f>
        <v>19.399999999999999</v>
      </c>
      <c r="AJ36" s="572">
        <f>SUM(AJ34:AJ35)</f>
        <v>15</v>
      </c>
      <c r="AK36" s="574">
        <f>(AJ36+AH36+AF36+AD36+AB36)/5</f>
        <v>19.600000000000001</v>
      </c>
    </row>
    <row r="37" spans="1:37" ht="18" customHeight="1" x14ac:dyDescent="0.3">
      <c r="A37" s="864" t="s">
        <v>418</v>
      </c>
      <c r="B37" s="865"/>
      <c r="C37" s="865"/>
      <c r="D37" s="865"/>
      <c r="E37" s="865"/>
      <c r="F37" s="866"/>
      <c r="G37" s="866"/>
      <c r="H37" s="866"/>
      <c r="I37" s="866"/>
      <c r="J37" s="866"/>
      <c r="K37" s="866"/>
      <c r="L37" s="866"/>
      <c r="M37" s="866"/>
      <c r="N37" s="866"/>
      <c r="O37" s="867"/>
      <c r="P37" s="866"/>
      <c r="Q37" s="867"/>
      <c r="R37" s="866"/>
      <c r="S37" s="867"/>
      <c r="T37" s="866"/>
      <c r="U37" s="867"/>
      <c r="V37" s="866"/>
      <c r="W37" s="867"/>
      <c r="X37" s="866"/>
      <c r="Y37" s="867"/>
      <c r="Z37" s="866"/>
      <c r="AA37" s="867"/>
      <c r="AB37" s="866"/>
      <c r="AC37" s="867"/>
      <c r="AD37" s="866"/>
      <c r="AE37" s="867"/>
      <c r="AF37" s="866"/>
      <c r="AG37" s="867"/>
      <c r="AH37" s="866"/>
      <c r="AI37" s="867"/>
      <c r="AJ37" s="866"/>
      <c r="AK37" s="867"/>
    </row>
    <row r="38" spans="1:37" ht="18" customHeight="1" x14ac:dyDescent="0.3">
      <c r="A38" s="707" t="s">
        <v>1132</v>
      </c>
      <c r="B38" s="544">
        <v>13</v>
      </c>
      <c r="C38" s="544">
        <v>14</v>
      </c>
      <c r="D38" s="544">
        <v>8</v>
      </c>
      <c r="E38" s="544">
        <v>14</v>
      </c>
      <c r="F38" s="544">
        <v>8</v>
      </c>
      <c r="G38" s="573">
        <f t="shared" ref="G38:G43" si="32">AVERAGE(B38:F38)</f>
        <v>11.4</v>
      </c>
      <c r="H38" s="544">
        <v>4</v>
      </c>
      <c r="I38" s="573">
        <f t="shared" ref="I38:I43" si="33">(+H38+F38+E38+D38+C38)/5</f>
        <v>9.6</v>
      </c>
      <c r="J38" s="544">
        <v>4</v>
      </c>
      <c r="K38" s="573">
        <f t="shared" ref="K38:K43" si="34">(+J38+H38+F38+E38+D38)/5</f>
        <v>7.6</v>
      </c>
      <c r="L38" s="544">
        <v>7</v>
      </c>
      <c r="M38" s="573">
        <f t="shared" ref="M38:M43" si="35">(L38+J38+H38+F38+E38)/5</f>
        <v>7.4</v>
      </c>
      <c r="N38" s="544">
        <v>6</v>
      </c>
      <c r="O38" s="574">
        <f t="shared" ref="O38:O43" si="36">(+N38+L38+J38+H38+F38)/5</f>
        <v>5.8</v>
      </c>
      <c r="P38" s="544">
        <v>9</v>
      </c>
      <c r="Q38" s="574">
        <f t="shared" ref="Q38:Q43" si="37">(P38+N38+L38+J38+H38)/5</f>
        <v>6</v>
      </c>
      <c r="R38" s="544">
        <v>16</v>
      </c>
      <c r="S38" s="574">
        <f t="shared" ref="S38:S43" si="38">(R38+P38+N38+L38+J38)/5</f>
        <v>8.4</v>
      </c>
      <c r="T38" s="544">
        <v>4</v>
      </c>
      <c r="U38" s="574">
        <f t="shared" ref="U38:U43" si="39">(T38+R38+P38+N38+L38)/5</f>
        <v>8.4</v>
      </c>
      <c r="V38" s="544">
        <v>6</v>
      </c>
      <c r="W38" s="574">
        <f t="shared" ref="W38:W43" si="40">(V38+T38+R38+P38+N38)/5</f>
        <v>8.1999999999999993</v>
      </c>
      <c r="X38" s="544">
        <v>9</v>
      </c>
      <c r="Y38" s="574">
        <f t="shared" ref="Y38:Y43" si="41">(X38+V38+T38+R38+P38)/5</f>
        <v>8.8000000000000007</v>
      </c>
      <c r="Z38" s="544">
        <v>8</v>
      </c>
      <c r="AA38" s="574">
        <f t="shared" ref="AA38:AA43" si="42">(Z38+X38+V38+T38+R38)/5</f>
        <v>8.6</v>
      </c>
      <c r="AB38" s="544">
        <v>7</v>
      </c>
      <c r="AC38" s="574">
        <f t="shared" ref="AC38:AC43" si="43">(AB38+Z38+X38+V38+T38)/5</f>
        <v>6.8</v>
      </c>
      <c r="AD38" s="544">
        <v>8</v>
      </c>
      <c r="AE38" s="574">
        <f t="shared" ref="AE38:AE43" si="44">(AD38+AB38+Z38+X38+V38)/5</f>
        <v>7.6</v>
      </c>
      <c r="AF38" s="544">
        <v>10</v>
      </c>
      <c r="AG38" s="574">
        <f t="shared" ref="AG38:AG43" si="45">(AF38+AD38+AB38+Z38+X38)/5</f>
        <v>8.4</v>
      </c>
      <c r="AH38" s="544">
        <v>9</v>
      </c>
      <c r="AI38" s="574">
        <f t="shared" ref="AI38:AI43" si="46">(AH38+AF38+AD38+AB38+Z38)/5</f>
        <v>8.4</v>
      </c>
      <c r="AJ38" s="544">
        <v>5</v>
      </c>
      <c r="AK38" s="574">
        <f t="shared" ref="AK38:AK43" si="47">(AJ38+AH38+AF38+AD38+AB38)/5</f>
        <v>7.8</v>
      </c>
    </row>
    <row r="39" spans="1:37" ht="18" customHeight="1" x14ac:dyDescent="0.3">
      <c r="A39" s="707" t="s">
        <v>774</v>
      </c>
      <c r="B39" s="544">
        <v>0</v>
      </c>
      <c r="C39" s="544">
        <v>0</v>
      </c>
      <c r="D39" s="544">
        <v>0</v>
      </c>
      <c r="E39" s="544">
        <v>0</v>
      </c>
      <c r="F39" s="544">
        <v>1</v>
      </c>
      <c r="G39" s="573">
        <f t="shared" si="32"/>
        <v>0.2</v>
      </c>
      <c r="H39" s="544">
        <v>1</v>
      </c>
      <c r="I39" s="573">
        <f t="shared" si="33"/>
        <v>0.4</v>
      </c>
      <c r="J39" s="544">
        <v>5</v>
      </c>
      <c r="K39" s="573">
        <f t="shared" si="34"/>
        <v>1.4</v>
      </c>
      <c r="L39" s="544">
        <v>2</v>
      </c>
      <c r="M39" s="573">
        <f t="shared" si="35"/>
        <v>1.8</v>
      </c>
      <c r="N39" s="544">
        <v>0</v>
      </c>
      <c r="O39" s="574">
        <f t="shared" si="36"/>
        <v>1.8</v>
      </c>
      <c r="P39" s="544">
        <v>1</v>
      </c>
      <c r="Q39" s="574">
        <f t="shared" si="37"/>
        <v>1.8</v>
      </c>
      <c r="R39" s="544">
        <v>0</v>
      </c>
      <c r="S39" s="574">
        <f t="shared" si="38"/>
        <v>1.6</v>
      </c>
      <c r="T39" s="544">
        <v>0</v>
      </c>
      <c r="U39" s="574">
        <f t="shared" si="39"/>
        <v>0.6</v>
      </c>
      <c r="V39" s="544">
        <v>2</v>
      </c>
      <c r="W39" s="574">
        <f t="shared" si="40"/>
        <v>0.6</v>
      </c>
      <c r="X39" s="544">
        <v>1</v>
      </c>
      <c r="Y39" s="574">
        <f t="shared" si="41"/>
        <v>0.8</v>
      </c>
      <c r="Z39" s="544">
        <v>0</v>
      </c>
      <c r="AA39" s="574">
        <f t="shared" si="42"/>
        <v>0.6</v>
      </c>
      <c r="AB39" s="544">
        <v>0</v>
      </c>
      <c r="AC39" s="574">
        <f t="shared" si="43"/>
        <v>0.6</v>
      </c>
      <c r="AD39" s="544">
        <v>0</v>
      </c>
      <c r="AE39" s="574">
        <f t="shared" si="44"/>
        <v>0.6</v>
      </c>
      <c r="AF39" s="544">
        <v>0</v>
      </c>
      <c r="AG39" s="574">
        <f t="shared" si="45"/>
        <v>0.2</v>
      </c>
      <c r="AH39" s="544">
        <v>0</v>
      </c>
      <c r="AI39" s="574">
        <f t="shared" si="46"/>
        <v>0</v>
      </c>
      <c r="AJ39" s="544">
        <v>0</v>
      </c>
      <c r="AK39" s="574">
        <f t="shared" si="47"/>
        <v>0</v>
      </c>
    </row>
    <row r="40" spans="1:37" ht="18" customHeight="1" x14ac:dyDescent="0.3">
      <c r="A40" s="707" t="s">
        <v>872</v>
      </c>
      <c r="B40" s="544">
        <v>0</v>
      </c>
      <c r="C40" s="544">
        <v>0</v>
      </c>
      <c r="D40" s="544">
        <v>0</v>
      </c>
      <c r="E40" s="544">
        <v>0</v>
      </c>
      <c r="F40" s="544">
        <v>0</v>
      </c>
      <c r="G40" s="573">
        <f t="shared" si="32"/>
        <v>0</v>
      </c>
      <c r="H40" s="544">
        <v>0</v>
      </c>
      <c r="I40" s="573">
        <f t="shared" si="33"/>
        <v>0</v>
      </c>
      <c r="J40" s="544">
        <v>0</v>
      </c>
      <c r="K40" s="573">
        <f t="shared" si="34"/>
        <v>0</v>
      </c>
      <c r="L40" s="544">
        <v>0</v>
      </c>
      <c r="M40" s="573">
        <f t="shared" si="35"/>
        <v>0</v>
      </c>
      <c r="N40" s="544">
        <v>0</v>
      </c>
      <c r="O40" s="574">
        <f t="shared" si="36"/>
        <v>0</v>
      </c>
      <c r="P40" s="544">
        <v>0</v>
      </c>
      <c r="Q40" s="574">
        <f t="shared" si="37"/>
        <v>0</v>
      </c>
      <c r="R40" s="544">
        <v>0</v>
      </c>
      <c r="S40" s="574">
        <f t="shared" si="38"/>
        <v>0</v>
      </c>
      <c r="T40" s="544">
        <v>0</v>
      </c>
      <c r="U40" s="574">
        <f t="shared" si="39"/>
        <v>0</v>
      </c>
      <c r="V40" s="544">
        <v>0</v>
      </c>
      <c r="W40" s="574">
        <f t="shared" si="40"/>
        <v>0</v>
      </c>
      <c r="X40" s="544">
        <v>0</v>
      </c>
      <c r="Y40" s="574">
        <f t="shared" si="41"/>
        <v>0</v>
      </c>
      <c r="Z40" s="544">
        <v>3</v>
      </c>
      <c r="AA40" s="574">
        <f t="shared" si="42"/>
        <v>0.6</v>
      </c>
      <c r="AB40" s="544">
        <v>2</v>
      </c>
      <c r="AC40" s="574">
        <f t="shared" si="43"/>
        <v>1</v>
      </c>
      <c r="AD40" s="544">
        <v>4</v>
      </c>
      <c r="AE40" s="574">
        <f t="shared" si="44"/>
        <v>1.8</v>
      </c>
      <c r="AF40" s="544">
        <v>5</v>
      </c>
      <c r="AG40" s="574">
        <f t="shared" si="45"/>
        <v>2.8</v>
      </c>
      <c r="AH40" s="544">
        <v>2</v>
      </c>
      <c r="AI40" s="574">
        <f t="shared" si="46"/>
        <v>3.2</v>
      </c>
      <c r="AJ40" s="544">
        <v>3</v>
      </c>
      <c r="AK40" s="574">
        <f t="shared" si="47"/>
        <v>3.2</v>
      </c>
    </row>
    <row r="41" spans="1:37" ht="18" customHeight="1" x14ac:dyDescent="0.3">
      <c r="A41" s="707" t="s">
        <v>1145</v>
      </c>
      <c r="B41" s="544">
        <v>3</v>
      </c>
      <c r="C41" s="544">
        <v>2</v>
      </c>
      <c r="D41" s="544">
        <v>4</v>
      </c>
      <c r="E41" s="544">
        <v>10</v>
      </c>
      <c r="F41" s="544">
        <v>3</v>
      </c>
      <c r="G41" s="573">
        <f t="shared" si="32"/>
        <v>4.4000000000000004</v>
      </c>
      <c r="H41" s="544">
        <v>3</v>
      </c>
      <c r="I41" s="573">
        <f t="shared" si="33"/>
        <v>4.4000000000000004</v>
      </c>
      <c r="J41" s="544">
        <v>7</v>
      </c>
      <c r="K41" s="573">
        <f t="shared" si="34"/>
        <v>5.4</v>
      </c>
      <c r="L41" s="544">
        <v>0</v>
      </c>
      <c r="M41" s="573">
        <f t="shared" si="35"/>
        <v>4.5999999999999996</v>
      </c>
      <c r="N41" s="544">
        <v>3</v>
      </c>
      <c r="O41" s="574">
        <f t="shared" si="36"/>
        <v>3.2</v>
      </c>
      <c r="P41" s="544">
        <v>0</v>
      </c>
      <c r="Q41" s="574">
        <f t="shared" si="37"/>
        <v>2.6</v>
      </c>
      <c r="R41" s="544">
        <v>0</v>
      </c>
      <c r="S41" s="574">
        <f t="shared" si="38"/>
        <v>2</v>
      </c>
      <c r="T41" s="544">
        <v>0</v>
      </c>
      <c r="U41" s="574">
        <f t="shared" si="39"/>
        <v>0.6</v>
      </c>
      <c r="V41" s="544">
        <v>0</v>
      </c>
      <c r="W41" s="574">
        <f t="shared" si="40"/>
        <v>0.6</v>
      </c>
      <c r="X41" s="544">
        <v>0</v>
      </c>
      <c r="Y41" s="574">
        <f t="shared" si="41"/>
        <v>0</v>
      </c>
      <c r="Z41" s="544">
        <v>0</v>
      </c>
      <c r="AA41" s="574">
        <f t="shared" si="42"/>
        <v>0</v>
      </c>
      <c r="AB41" s="544">
        <v>0</v>
      </c>
      <c r="AC41" s="574">
        <f t="shared" si="43"/>
        <v>0</v>
      </c>
      <c r="AD41" s="544">
        <v>0</v>
      </c>
      <c r="AE41" s="574">
        <f t="shared" si="44"/>
        <v>0</v>
      </c>
      <c r="AF41" s="544">
        <v>0</v>
      </c>
      <c r="AG41" s="574">
        <f t="shared" si="45"/>
        <v>0</v>
      </c>
      <c r="AH41" s="544">
        <v>4</v>
      </c>
      <c r="AI41" s="574">
        <f t="shared" si="46"/>
        <v>0.8</v>
      </c>
      <c r="AJ41" s="544">
        <v>14</v>
      </c>
      <c r="AK41" s="574">
        <f t="shared" si="47"/>
        <v>3.6</v>
      </c>
    </row>
    <row r="42" spans="1:37" ht="18" customHeight="1" x14ac:dyDescent="0.3">
      <c r="A42" s="707" t="s">
        <v>1133</v>
      </c>
      <c r="B42" s="544">
        <v>1</v>
      </c>
      <c r="C42" s="544">
        <v>1</v>
      </c>
      <c r="D42" s="544">
        <v>1</v>
      </c>
      <c r="E42" s="544">
        <v>2</v>
      </c>
      <c r="F42" s="544">
        <v>0</v>
      </c>
      <c r="G42" s="573">
        <f t="shared" si="32"/>
        <v>1</v>
      </c>
      <c r="H42" s="544">
        <v>1</v>
      </c>
      <c r="I42" s="573">
        <f t="shared" si="33"/>
        <v>1</v>
      </c>
      <c r="J42" s="544">
        <v>4</v>
      </c>
      <c r="K42" s="573">
        <f t="shared" si="34"/>
        <v>1.6</v>
      </c>
      <c r="L42" s="544">
        <v>6</v>
      </c>
      <c r="M42" s="573">
        <f t="shared" si="35"/>
        <v>2.6</v>
      </c>
      <c r="N42" s="544">
        <v>2</v>
      </c>
      <c r="O42" s="574">
        <f t="shared" si="36"/>
        <v>2.6</v>
      </c>
      <c r="P42" s="544">
        <v>5</v>
      </c>
      <c r="Q42" s="574">
        <f t="shared" si="37"/>
        <v>3.6</v>
      </c>
      <c r="R42" s="544">
        <v>1</v>
      </c>
      <c r="S42" s="574">
        <f t="shared" si="38"/>
        <v>3.6</v>
      </c>
      <c r="T42" s="544">
        <v>5</v>
      </c>
      <c r="U42" s="574">
        <f t="shared" si="39"/>
        <v>3.8</v>
      </c>
      <c r="V42" s="544">
        <v>2</v>
      </c>
      <c r="W42" s="574">
        <f t="shared" si="40"/>
        <v>3</v>
      </c>
      <c r="X42" s="544">
        <v>0</v>
      </c>
      <c r="Y42" s="574">
        <f t="shared" si="41"/>
        <v>2.6</v>
      </c>
      <c r="Z42" s="544">
        <v>3</v>
      </c>
      <c r="AA42" s="574">
        <f t="shared" si="42"/>
        <v>2.2000000000000002</v>
      </c>
      <c r="AB42" s="544">
        <v>5</v>
      </c>
      <c r="AC42" s="574">
        <f t="shared" si="43"/>
        <v>3</v>
      </c>
      <c r="AD42" s="544">
        <v>6</v>
      </c>
      <c r="AE42" s="574">
        <f t="shared" si="44"/>
        <v>3.2</v>
      </c>
      <c r="AF42" s="544">
        <v>6</v>
      </c>
      <c r="AG42" s="574">
        <f t="shared" si="45"/>
        <v>4</v>
      </c>
      <c r="AH42" s="544">
        <v>1</v>
      </c>
      <c r="AI42" s="574">
        <f t="shared" si="46"/>
        <v>4.2</v>
      </c>
      <c r="AJ42" s="544">
        <v>2</v>
      </c>
      <c r="AK42" s="574">
        <f t="shared" si="47"/>
        <v>4</v>
      </c>
    </row>
    <row r="43" spans="1:37" ht="18" customHeight="1" x14ac:dyDescent="0.3">
      <c r="A43" s="708" t="s">
        <v>1015</v>
      </c>
      <c r="B43" s="572">
        <f>SUM(B38:B42)</f>
        <v>17</v>
      </c>
      <c r="C43" s="572">
        <f>SUM(C38:C42)</f>
        <v>17</v>
      </c>
      <c r="D43" s="572">
        <f>SUM(D38:D42)</f>
        <v>13</v>
      </c>
      <c r="E43" s="572">
        <f>SUM(E38:E42)</f>
        <v>26</v>
      </c>
      <c r="F43" s="572">
        <f>SUM(F38:F42)</f>
        <v>12</v>
      </c>
      <c r="G43" s="573">
        <f t="shared" si="32"/>
        <v>17</v>
      </c>
      <c r="H43" s="572">
        <f>SUM(H38:H42)</f>
        <v>9</v>
      </c>
      <c r="I43" s="573">
        <f t="shared" si="33"/>
        <v>15.4</v>
      </c>
      <c r="J43" s="572">
        <f>SUM(J38:J42)</f>
        <v>20</v>
      </c>
      <c r="K43" s="573">
        <f t="shared" si="34"/>
        <v>16</v>
      </c>
      <c r="L43" s="572">
        <f>SUM(L38:L42)</f>
        <v>15</v>
      </c>
      <c r="M43" s="573">
        <f t="shared" si="35"/>
        <v>16.399999999999999</v>
      </c>
      <c r="N43" s="572">
        <f>SUM(N38:N42)</f>
        <v>11</v>
      </c>
      <c r="O43" s="574">
        <f t="shared" si="36"/>
        <v>13.4</v>
      </c>
      <c r="P43" s="572">
        <f>SUM(P38:P42)</f>
        <v>15</v>
      </c>
      <c r="Q43" s="574">
        <f t="shared" si="37"/>
        <v>14</v>
      </c>
      <c r="R43" s="572">
        <f>SUM(R38:R42)</f>
        <v>17</v>
      </c>
      <c r="S43" s="574">
        <f t="shared" si="38"/>
        <v>15.6</v>
      </c>
      <c r="T43" s="572">
        <f>SUM(T38:T42)</f>
        <v>9</v>
      </c>
      <c r="U43" s="574">
        <f t="shared" si="39"/>
        <v>13.4</v>
      </c>
      <c r="V43" s="572">
        <f>SUM(V38:V42)</f>
        <v>10</v>
      </c>
      <c r="W43" s="574">
        <f t="shared" si="40"/>
        <v>12.4</v>
      </c>
      <c r="X43" s="572">
        <f>SUM(X38:X42)</f>
        <v>10</v>
      </c>
      <c r="Y43" s="574">
        <f t="shared" si="41"/>
        <v>12.2</v>
      </c>
      <c r="Z43" s="572">
        <f>SUM(Z38:Z42)</f>
        <v>14</v>
      </c>
      <c r="AA43" s="574">
        <f t="shared" si="42"/>
        <v>12</v>
      </c>
      <c r="AB43" s="572">
        <f>SUM(AB38:AB42)</f>
        <v>14</v>
      </c>
      <c r="AC43" s="574">
        <f t="shared" si="43"/>
        <v>11.4</v>
      </c>
      <c r="AD43" s="572">
        <f>SUM(AD38:AD42)</f>
        <v>18</v>
      </c>
      <c r="AE43" s="574">
        <f t="shared" si="44"/>
        <v>13.2</v>
      </c>
      <c r="AF43" s="572">
        <f>SUM(AF38:AF42)</f>
        <v>21</v>
      </c>
      <c r="AG43" s="574">
        <f t="shared" si="45"/>
        <v>15.4</v>
      </c>
      <c r="AH43" s="572">
        <f>SUM(AH38:AH42)</f>
        <v>16</v>
      </c>
      <c r="AI43" s="574">
        <f t="shared" si="46"/>
        <v>16.600000000000001</v>
      </c>
      <c r="AJ43" s="572">
        <f>SUM(AJ38:AJ42)</f>
        <v>24</v>
      </c>
      <c r="AK43" s="574">
        <f t="shared" si="47"/>
        <v>18.600000000000001</v>
      </c>
    </row>
    <row r="44" spans="1:37" ht="18" customHeight="1" x14ac:dyDescent="0.3">
      <c r="A44" s="864" t="s">
        <v>419</v>
      </c>
      <c r="B44" s="865"/>
      <c r="C44" s="865"/>
      <c r="D44" s="865"/>
      <c r="E44" s="865"/>
      <c r="F44" s="866"/>
      <c r="G44" s="866"/>
      <c r="H44" s="866"/>
      <c r="I44" s="866"/>
      <c r="J44" s="866"/>
      <c r="K44" s="866"/>
      <c r="L44" s="866"/>
      <c r="M44" s="866"/>
      <c r="N44" s="866"/>
      <c r="O44" s="867"/>
      <c r="P44" s="866"/>
      <c r="Q44" s="867"/>
      <c r="R44" s="866"/>
      <c r="S44" s="867"/>
      <c r="T44" s="866"/>
      <c r="U44" s="867"/>
      <c r="V44" s="866"/>
      <c r="W44" s="867"/>
      <c r="X44" s="866"/>
      <c r="Y44" s="867"/>
      <c r="Z44" s="866"/>
      <c r="AA44" s="867"/>
      <c r="AB44" s="866"/>
      <c r="AC44" s="867"/>
      <c r="AD44" s="866"/>
      <c r="AE44" s="867"/>
      <c r="AF44" s="866"/>
      <c r="AG44" s="867"/>
      <c r="AH44" s="866"/>
      <c r="AI44" s="867"/>
      <c r="AJ44" s="866"/>
      <c r="AK44" s="867"/>
    </row>
    <row r="45" spans="1:37" ht="18" customHeight="1" x14ac:dyDescent="0.3">
      <c r="A45" s="707" t="s">
        <v>1129</v>
      </c>
      <c r="B45" s="544">
        <v>18</v>
      </c>
      <c r="C45" s="544">
        <v>17</v>
      </c>
      <c r="D45" s="544">
        <v>14</v>
      </c>
      <c r="E45" s="544">
        <v>7</v>
      </c>
      <c r="F45" s="544">
        <v>13</v>
      </c>
      <c r="G45" s="573">
        <f>AVERAGE(B45:F45)</f>
        <v>13.8</v>
      </c>
      <c r="H45" s="544">
        <v>12</v>
      </c>
      <c r="I45" s="573">
        <f>(+H45+F45+E45+D45+C45)/5</f>
        <v>12.6</v>
      </c>
      <c r="J45" s="544">
        <v>14</v>
      </c>
      <c r="K45" s="573">
        <f>(+J45+H45+F45+E45+D45)/5</f>
        <v>12</v>
      </c>
      <c r="L45" s="544">
        <v>23</v>
      </c>
      <c r="M45" s="573">
        <f>(L45+J45+H45+F45+E45)/5</f>
        <v>13.8</v>
      </c>
      <c r="N45" s="544">
        <v>16</v>
      </c>
      <c r="O45" s="574">
        <f>(+N45+L45+J45+H45+F45)/5</f>
        <v>15.6</v>
      </c>
      <c r="P45" s="544">
        <v>26</v>
      </c>
      <c r="Q45" s="574">
        <f>(P45+N45+L45+J45+H45)/5</f>
        <v>18.2</v>
      </c>
      <c r="R45" s="544">
        <v>21</v>
      </c>
      <c r="S45" s="574">
        <f>(R45+P45+N45+L45+J45)/5</f>
        <v>20</v>
      </c>
      <c r="T45" s="544">
        <v>11</v>
      </c>
      <c r="U45" s="574">
        <f>(T45+R45+P45+N45+L45)/5</f>
        <v>19.399999999999999</v>
      </c>
      <c r="V45" s="544">
        <v>14</v>
      </c>
      <c r="W45" s="574">
        <f>(V45+T45+R45+P45+N45)/5</f>
        <v>17.600000000000001</v>
      </c>
      <c r="X45" s="544">
        <v>11</v>
      </c>
      <c r="Y45" s="574">
        <f>(X45+V45+T45+R45+P45)/5</f>
        <v>16.600000000000001</v>
      </c>
      <c r="Z45" s="544">
        <v>19</v>
      </c>
      <c r="AA45" s="574">
        <f>(Z45+X45+V45+T45+R45)/5</f>
        <v>15.2</v>
      </c>
      <c r="AB45" s="544">
        <v>11</v>
      </c>
      <c r="AC45" s="574">
        <f>(AB45+Z45+X45+V45+T45)/5</f>
        <v>13.2</v>
      </c>
      <c r="AD45" s="544">
        <v>23</v>
      </c>
      <c r="AE45" s="574">
        <f>(AD45+AB45+Z45+X45+V45)/5</f>
        <v>15.6</v>
      </c>
      <c r="AF45" s="544">
        <v>16</v>
      </c>
      <c r="AG45" s="574">
        <f>(AF45+AD45+AB45+Z45+X45)/5</f>
        <v>16</v>
      </c>
      <c r="AH45" s="544">
        <v>16</v>
      </c>
      <c r="AI45" s="574">
        <f>(AH45+AF45+AD45+AB45+Z45)/5</f>
        <v>17</v>
      </c>
      <c r="AJ45" s="544">
        <v>17</v>
      </c>
      <c r="AK45" s="574">
        <f>(AJ45+AH45+AF45+AD45+AB45)/5</f>
        <v>16.600000000000001</v>
      </c>
    </row>
    <row r="46" spans="1:37" ht="18" customHeight="1" x14ac:dyDescent="0.3">
      <c r="A46" s="707" t="s">
        <v>775</v>
      </c>
      <c r="B46" s="544">
        <v>0</v>
      </c>
      <c r="C46" s="544">
        <v>0</v>
      </c>
      <c r="D46" s="544">
        <v>0</v>
      </c>
      <c r="E46" s="544">
        <v>0</v>
      </c>
      <c r="F46" s="544">
        <v>0</v>
      </c>
      <c r="G46" s="573">
        <f>AVERAGE(B46:F46)</f>
        <v>0</v>
      </c>
      <c r="H46" s="544">
        <v>0</v>
      </c>
      <c r="I46" s="573">
        <f>(+H46+F46+E46+D46+C46)/5</f>
        <v>0</v>
      </c>
      <c r="J46" s="544">
        <v>0</v>
      </c>
      <c r="K46" s="573">
        <f>(+J46+H46+F46+E46+D46)/5</f>
        <v>0</v>
      </c>
      <c r="L46" s="544">
        <v>0</v>
      </c>
      <c r="M46" s="573">
        <f>(L46+J46+H46+F46+E46)/5</f>
        <v>0</v>
      </c>
      <c r="N46" s="544">
        <v>1</v>
      </c>
      <c r="O46" s="574">
        <f>(+N46+L46+J46+H46+F46)/5</f>
        <v>0.2</v>
      </c>
      <c r="P46" s="544">
        <v>0</v>
      </c>
      <c r="Q46" s="574">
        <f>(P46+N46+L46+J46+H46)/5</f>
        <v>0.2</v>
      </c>
      <c r="R46" s="544">
        <v>0</v>
      </c>
      <c r="S46" s="574">
        <f>(R46+P46+N46+L46+J46)/5</f>
        <v>0.2</v>
      </c>
      <c r="T46" s="544">
        <v>0</v>
      </c>
      <c r="U46" s="574">
        <f>(T46+R46+P46+N46+L46)/5</f>
        <v>0.2</v>
      </c>
      <c r="V46" s="544">
        <v>1</v>
      </c>
      <c r="W46" s="574">
        <f>(V46+T46+R46+P46+N46)/5</f>
        <v>0.4</v>
      </c>
      <c r="X46" s="544">
        <v>0</v>
      </c>
      <c r="Y46" s="574">
        <f>(X46+V46+T46+R46+P46)/5</f>
        <v>0.2</v>
      </c>
      <c r="Z46" s="544">
        <v>0</v>
      </c>
      <c r="AA46" s="574">
        <f>(Z46+X46+V46+T46+R46)/5</f>
        <v>0.2</v>
      </c>
      <c r="AB46" s="544">
        <v>0</v>
      </c>
      <c r="AC46" s="574">
        <f>(AB46+Z46+X46+V46+T46)/5</f>
        <v>0.2</v>
      </c>
      <c r="AD46" s="544">
        <v>0</v>
      </c>
      <c r="AE46" s="574">
        <f>(AD46+AB46+Z46+X46+V46)/5</f>
        <v>0.2</v>
      </c>
      <c r="AF46" s="544">
        <v>0</v>
      </c>
      <c r="AG46" s="574">
        <f>(AF46+AD46+AB46+Z46+X46)/5</f>
        <v>0</v>
      </c>
      <c r="AH46" s="544">
        <v>0</v>
      </c>
      <c r="AI46" s="574">
        <f>(AH46+AF46+AD46+AB46+Z46)/5</f>
        <v>0</v>
      </c>
      <c r="AJ46" s="544">
        <v>0</v>
      </c>
      <c r="AK46" s="574">
        <f>(AJ46+AH46+AF46+AD46+AB46)/5</f>
        <v>0</v>
      </c>
    </row>
    <row r="47" spans="1:37" ht="18" customHeight="1" x14ac:dyDescent="0.3">
      <c r="A47" s="708" t="s">
        <v>1015</v>
      </c>
      <c r="B47" s="572">
        <f>+B46+B45</f>
        <v>18</v>
      </c>
      <c r="C47" s="572">
        <f>+C46+C45</f>
        <v>17</v>
      </c>
      <c r="D47" s="572">
        <f>+D46+D45</f>
        <v>14</v>
      </c>
      <c r="E47" s="572">
        <f>+E46+E45</f>
        <v>7</v>
      </c>
      <c r="F47" s="572">
        <f>+F46+F45</f>
        <v>13</v>
      </c>
      <c r="G47" s="573">
        <f>AVERAGE(B47:F47)</f>
        <v>13.8</v>
      </c>
      <c r="H47" s="572">
        <f>+H46+H45</f>
        <v>12</v>
      </c>
      <c r="I47" s="573">
        <f>(+H47+F47+E47+D47+C47)/5</f>
        <v>12.6</v>
      </c>
      <c r="J47" s="572">
        <f>+J46+J45</f>
        <v>14</v>
      </c>
      <c r="K47" s="573">
        <f>(+J47+H47+F47+E47+D47)/5</f>
        <v>12</v>
      </c>
      <c r="L47" s="572">
        <f>+L46+L45</f>
        <v>23</v>
      </c>
      <c r="M47" s="573">
        <f>(L47+J47+H47+F47+E47)/5</f>
        <v>13.8</v>
      </c>
      <c r="N47" s="572">
        <f>+N46+N45</f>
        <v>17</v>
      </c>
      <c r="O47" s="574">
        <f>(+N47+L47+J47+H47+F47)/5</f>
        <v>15.8</v>
      </c>
      <c r="P47" s="572">
        <f>+P46+P45</f>
        <v>26</v>
      </c>
      <c r="Q47" s="574">
        <f>(P47+N47+L47+J47+H47)/5</f>
        <v>18.399999999999999</v>
      </c>
      <c r="R47" s="572">
        <f>+R46+R45</f>
        <v>21</v>
      </c>
      <c r="S47" s="574">
        <f>(R47+P47+N47+L47+J47)/5</f>
        <v>20.2</v>
      </c>
      <c r="T47" s="572">
        <f>+T46+T45</f>
        <v>11</v>
      </c>
      <c r="U47" s="574">
        <f>(T47+R47+P47+N47+L47)/5</f>
        <v>19.600000000000001</v>
      </c>
      <c r="V47" s="572">
        <f>+V46+V45</f>
        <v>15</v>
      </c>
      <c r="W47" s="574">
        <f>(V47+T47+R47+P47+N47)/5</f>
        <v>18</v>
      </c>
      <c r="X47" s="572">
        <f>+X46+X45</f>
        <v>11</v>
      </c>
      <c r="Y47" s="574">
        <f>(X47+V47+T47+R47+P47)/5</f>
        <v>16.8</v>
      </c>
      <c r="Z47" s="572">
        <f>+Z46+Z45</f>
        <v>19</v>
      </c>
      <c r="AA47" s="574">
        <f>(Z47+X47+V47+T47+R47)/5</f>
        <v>15.4</v>
      </c>
      <c r="AB47" s="572">
        <f>+AB46+AB45</f>
        <v>11</v>
      </c>
      <c r="AC47" s="574">
        <f>(AB47+Z47+X47+V47+T47)/5</f>
        <v>13.4</v>
      </c>
      <c r="AD47" s="572">
        <f>+AD46+AD45</f>
        <v>23</v>
      </c>
      <c r="AE47" s="574">
        <f>(AD47+AB47+Z47+X47+V47)/5</f>
        <v>15.8</v>
      </c>
      <c r="AF47" s="572">
        <f>+AF46+AF45</f>
        <v>16</v>
      </c>
      <c r="AG47" s="574">
        <f>(AF47+AD47+AB47+Z47+X47)/5</f>
        <v>16</v>
      </c>
      <c r="AH47" s="572">
        <f>+AH46+AH45</f>
        <v>16</v>
      </c>
      <c r="AI47" s="574">
        <f>(AH47+AF47+AD47+AB47+Z47)/5</f>
        <v>17</v>
      </c>
      <c r="AJ47" s="572">
        <f>+AJ46+AJ45</f>
        <v>17</v>
      </c>
      <c r="AK47" s="574">
        <f>(AJ47+AH47+AF47+AD47+AB47)/5</f>
        <v>16.600000000000001</v>
      </c>
    </row>
    <row r="48" spans="1:37" ht="18" customHeight="1" x14ac:dyDescent="0.3">
      <c r="A48" s="864" t="s">
        <v>420</v>
      </c>
      <c r="B48" s="865"/>
      <c r="C48" s="865"/>
      <c r="D48" s="865"/>
      <c r="E48" s="865"/>
      <c r="F48" s="866"/>
      <c r="G48" s="866"/>
      <c r="H48" s="866"/>
      <c r="I48" s="866"/>
      <c r="J48" s="866"/>
      <c r="K48" s="866"/>
      <c r="L48" s="866"/>
      <c r="M48" s="866"/>
      <c r="N48" s="866"/>
      <c r="O48" s="867"/>
      <c r="P48" s="866"/>
      <c r="Q48" s="867"/>
      <c r="R48" s="866"/>
      <c r="S48" s="867"/>
      <c r="T48" s="866"/>
      <c r="U48" s="867"/>
      <c r="V48" s="866"/>
      <c r="W48" s="867"/>
      <c r="X48" s="866"/>
      <c r="Y48" s="867"/>
      <c r="Z48" s="866"/>
      <c r="AA48" s="867"/>
      <c r="AB48" s="866"/>
      <c r="AC48" s="867"/>
      <c r="AD48" s="866"/>
      <c r="AE48" s="867"/>
      <c r="AF48" s="866"/>
      <c r="AG48" s="867"/>
      <c r="AH48" s="866"/>
      <c r="AI48" s="867"/>
      <c r="AJ48" s="866"/>
      <c r="AK48" s="867"/>
    </row>
    <row r="49" spans="1:37" ht="18" customHeight="1" x14ac:dyDescent="0.3">
      <c r="A49" s="707" t="s">
        <v>1123</v>
      </c>
      <c r="B49" s="544">
        <v>5</v>
      </c>
      <c r="C49" s="544">
        <v>12</v>
      </c>
      <c r="D49" s="544">
        <v>13</v>
      </c>
      <c r="E49" s="544">
        <v>19</v>
      </c>
      <c r="F49" s="544">
        <v>14</v>
      </c>
      <c r="G49" s="573">
        <f>AVERAGE(B49:F49)</f>
        <v>12.6</v>
      </c>
      <c r="H49" s="544">
        <v>21</v>
      </c>
      <c r="I49" s="573">
        <f>(+H49+F49+E49+D49+C49)/5</f>
        <v>15.8</v>
      </c>
      <c r="J49" s="544">
        <v>19</v>
      </c>
      <c r="K49" s="573">
        <f>(+J49+H49+F49+E49+D49)/5</f>
        <v>17.2</v>
      </c>
      <c r="L49" s="544">
        <v>25</v>
      </c>
      <c r="M49" s="573">
        <f>(L49+J49+H49+F49+E49)/5</f>
        <v>19.600000000000001</v>
      </c>
      <c r="N49" s="544">
        <v>23</v>
      </c>
      <c r="O49" s="574">
        <f>(+N49+L49+J49+H49+F49)/5</f>
        <v>20.399999999999999</v>
      </c>
      <c r="P49" s="544">
        <v>19</v>
      </c>
      <c r="Q49" s="574">
        <f>(P49+N49+L49+J49+H49)/5</f>
        <v>21.4</v>
      </c>
      <c r="R49" s="544">
        <v>16</v>
      </c>
      <c r="S49" s="574">
        <f>(R49+P49+N49+L49+J49)/5</f>
        <v>20.399999999999999</v>
      </c>
      <c r="T49" s="544">
        <v>23</v>
      </c>
      <c r="U49" s="574">
        <f>(T49+R49+P49+N49+L49)/5</f>
        <v>21.2</v>
      </c>
      <c r="V49" s="544">
        <v>31</v>
      </c>
      <c r="W49" s="574">
        <f>(V49+T49+R49+P49+N49)/5</f>
        <v>22.4</v>
      </c>
      <c r="X49" s="544">
        <v>27</v>
      </c>
      <c r="Y49" s="574">
        <f>(X49+V49+T49+R49+P49)/5</f>
        <v>23.2</v>
      </c>
      <c r="Z49" s="544">
        <v>23</v>
      </c>
      <c r="AA49" s="574">
        <f>(Z49+X49+V49+T49+R49)/5</f>
        <v>24</v>
      </c>
      <c r="AB49" s="544">
        <v>23</v>
      </c>
      <c r="AC49" s="574">
        <f>(AB49+Z49+X49+V49+T49)/5</f>
        <v>25.4</v>
      </c>
      <c r="AD49" s="544">
        <v>32</v>
      </c>
      <c r="AE49" s="574">
        <f>(AD49+AB49+Z49+X49+V49)/5</f>
        <v>27.2</v>
      </c>
      <c r="AF49" s="544">
        <v>37</v>
      </c>
      <c r="AG49" s="574">
        <f>(AF49+AD49+AB49+Z49+X49)/5</f>
        <v>28.4</v>
      </c>
      <c r="AH49" s="544">
        <v>30</v>
      </c>
      <c r="AI49" s="574">
        <f>(AH49+AF49+AD49+AB49+Z49)/5</f>
        <v>29</v>
      </c>
      <c r="AJ49" s="544">
        <v>20</v>
      </c>
      <c r="AK49" s="574">
        <f>(AJ49+AH49+AF49+AD49+AB49)/5</f>
        <v>28.4</v>
      </c>
    </row>
    <row r="50" spans="1:37" ht="18" customHeight="1" x14ac:dyDescent="0.3">
      <c r="A50" s="707" t="s">
        <v>1124</v>
      </c>
      <c r="B50" s="544">
        <v>0</v>
      </c>
      <c r="C50" s="544">
        <v>0</v>
      </c>
      <c r="D50" s="544">
        <v>0</v>
      </c>
      <c r="E50" s="544">
        <v>0</v>
      </c>
      <c r="F50" s="544">
        <v>2</v>
      </c>
      <c r="G50" s="573">
        <f>AVERAGE(B50:F50)</f>
        <v>0.4</v>
      </c>
      <c r="H50" s="544">
        <v>2</v>
      </c>
      <c r="I50" s="573">
        <f>(+H50+F50+E50+D50+C50)/5</f>
        <v>0.8</v>
      </c>
      <c r="J50" s="544">
        <v>3</v>
      </c>
      <c r="K50" s="573">
        <f>(+J50+H50+F50+E50+D50)/5</f>
        <v>1.4</v>
      </c>
      <c r="L50" s="544">
        <v>2</v>
      </c>
      <c r="M50" s="573">
        <f>(L50+J50+H50+F50+E50)/5</f>
        <v>1.8</v>
      </c>
      <c r="N50" s="544">
        <v>8</v>
      </c>
      <c r="O50" s="574">
        <f>(+N50+L50+J50+H50+F50)/5</f>
        <v>3.4</v>
      </c>
      <c r="P50" s="544">
        <v>4</v>
      </c>
      <c r="Q50" s="574">
        <f>(P50+N50+L50+J50+H50)/5</f>
        <v>3.8</v>
      </c>
      <c r="R50" s="544">
        <v>1</v>
      </c>
      <c r="S50" s="574">
        <f>(R50+P50+N50+L50+J50)/5</f>
        <v>3.6</v>
      </c>
      <c r="T50" s="544">
        <v>2</v>
      </c>
      <c r="U50" s="574">
        <f>(T50+R50+P50+N50+L50)/5</f>
        <v>3.4</v>
      </c>
      <c r="V50" s="544">
        <v>2</v>
      </c>
      <c r="W50" s="574">
        <f>(V50+T50+R50+P50+N50)/5</f>
        <v>3.4</v>
      </c>
      <c r="X50" s="544">
        <v>4</v>
      </c>
      <c r="Y50" s="574">
        <f>(X50+V50+T50+R50+P50)/5</f>
        <v>2.6</v>
      </c>
      <c r="Z50" s="544">
        <v>3</v>
      </c>
      <c r="AA50" s="574">
        <f>(Z50+X50+V50+T50+R50)/5</f>
        <v>2.4</v>
      </c>
      <c r="AB50" s="544">
        <v>6</v>
      </c>
      <c r="AC50" s="574">
        <f>(AB50+Z50+X50+V50+T50)/5</f>
        <v>3.4</v>
      </c>
      <c r="AD50" s="544">
        <v>3</v>
      </c>
      <c r="AE50" s="574">
        <f>(AD50+AB50+Z50+X50+V50)/5</f>
        <v>3.6</v>
      </c>
      <c r="AF50" s="544">
        <v>5</v>
      </c>
      <c r="AG50" s="574">
        <f>(AF50+AD50+AB50+Z50+X50)/5</f>
        <v>4.2</v>
      </c>
      <c r="AH50" s="544">
        <v>2</v>
      </c>
      <c r="AI50" s="574">
        <f>(AH50+AF50+AD50+AB50+Z50)/5</f>
        <v>3.8</v>
      </c>
      <c r="AJ50" s="544">
        <v>3</v>
      </c>
      <c r="AK50" s="574">
        <f>(AJ50+AH50+AF50+AD50+AB50)/5</f>
        <v>3.8</v>
      </c>
    </row>
    <row r="51" spans="1:37" ht="18" customHeight="1" x14ac:dyDescent="0.3">
      <c r="A51" s="707" t="s">
        <v>1127</v>
      </c>
      <c r="B51" s="544">
        <v>2</v>
      </c>
      <c r="C51" s="544">
        <v>0</v>
      </c>
      <c r="D51" s="544">
        <v>0</v>
      </c>
      <c r="E51" s="544">
        <v>1</v>
      </c>
      <c r="F51" s="544">
        <v>0</v>
      </c>
      <c r="G51" s="573">
        <f>AVERAGE(B51:F51)</f>
        <v>0.6</v>
      </c>
      <c r="H51" s="544">
        <v>0</v>
      </c>
      <c r="I51" s="573">
        <f>(+H51+F51+E51+D51+C51)/5</f>
        <v>0.2</v>
      </c>
      <c r="J51" s="544">
        <v>0</v>
      </c>
      <c r="K51" s="573">
        <f>(+J51+H51+F51+E51+D51)/5</f>
        <v>0.2</v>
      </c>
      <c r="L51" s="544">
        <v>0</v>
      </c>
      <c r="M51" s="573">
        <f>(L51+J51+H51+F51+E51)/5</f>
        <v>0.2</v>
      </c>
      <c r="N51" s="544">
        <v>0</v>
      </c>
      <c r="O51" s="574">
        <f>(+N51+L51+J51+H51+F51)/5</f>
        <v>0</v>
      </c>
      <c r="P51" s="544">
        <v>0</v>
      </c>
      <c r="Q51" s="574">
        <f>(P51+N51+L51+J51+H51)/5</f>
        <v>0</v>
      </c>
      <c r="R51" s="544">
        <v>0</v>
      </c>
      <c r="S51" s="574">
        <f>(R51+P51+N51+L51+J51)/5</f>
        <v>0</v>
      </c>
      <c r="T51" s="544">
        <v>0</v>
      </c>
      <c r="U51" s="574">
        <f>(T51+R51+P51+N51+L51)/5</f>
        <v>0</v>
      </c>
      <c r="V51" s="544">
        <v>0</v>
      </c>
      <c r="W51" s="574">
        <f>(V51+T51+R51+P51+N51)/5</f>
        <v>0</v>
      </c>
      <c r="X51" s="544">
        <v>0</v>
      </c>
      <c r="Y51" s="574">
        <f>(X51+V51+T51+R51+P51)/5</f>
        <v>0</v>
      </c>
      <c r="Z51" s="544">
        <v>0</v>
      </c>
      <c r="AA51" s="574">
        <f>(Z51+X51+V51+T51+R51)/5</f>
        <v>0</v>
      </c>
      <c r="AB51" s="544">
        <v>0</v>
      </c>
      <c r="AC51" s="574">
        <f>(AB51+Z51+X51+V51+T51)/5</f>
        <v>0</v>
      </c>
      <c r="AD51" s="544">
        <v>0</v>
      </c>
      <c r="AE51" s="574">
        <f>(AD51+AB51+Z51+X51+V51)/5</f>
        <v>0</v>
      </c>
      <c r="AF51" s="544">
        <v>0</v>
      </c>
      <c r="AG51" s="574">
        <f>(AF51+AD51+AB51+Z51+X51)/5</f>
        <v>0</v>
      </c>
      <c r="AH51" s="544">
        <v>0</v>
      </c>
      <c r="AI51" s="574">
        <f>(AH51+AF51+AD51+AB51+Z51)/5</f>
        <v>0</v>
      </c>
      <c r="AJ51" s="544">
        <v>0</v>
      </c>
      <c r="AK51" s="574">
        <f>(AJ51+AH51+AF51+AD51+AB51)/5</f>
        <v>0</v>
      </c>
    </row>
    <row r="52" spans="1:37" ht="18" customHeight="1" x14ac:dyDescent="0.3">
      <c r="A52" s="708" t="s">
        <v>1015</v>
      </c>
      <c r="B52" s="572">
        <f>SUM(B49:B51)</f>
        <v>7</v>
      </c>
      <c r="C52" s="572">
        <f>SUM(C49:C51)</f>
        <v>12</v>
      </c>
      <c r="D52" s="572">
        <f>SUM(D49:D51)</f>
        <v>13</v>
      </c>
      <c r="E52" s="572">
        <f>SUM(E49:E51)</f>
        <v>20</v>
      </c>
      <c r="F52" s="572">
        <f>SUM(F49:F51)</f>
        <v>16</v>
      </c>
      <c r="G52" s="573">
        <f>AVERAGE(B52:F52)</f>
        <v>13.6</v>
      </c>
      <c r="H52" s="572">
        <f>SUM(H49:H51)</f>
        <v>23</v>
      </c>
      <c r="I52" s="573">
        <f>(+H52+F52+E52+D52+C52)/5</f>
        <v>16.8</v>
      </c>
      <c r="J52" s="572">
        <f>SUM(J49:J51)</f>
        <v>22</v>
      </c>
      <c r="K52" s="573">
        <f>(+J52+H52+F52+E52+D52)/5</f>
        <v>18.8</v>
      </c>
      <c r="L52" s="572">
        <f>SUM(L49:L51)</f>
        <v>27</v>
      </c>
      <c r="M52" s="573">
        <f>(L52+J52+H52+F52+E52)/5</f>
        <v>21.6</v>
      </c>
      <c r="N52" s="572">
        <f>SUM(N49:N51)</f>
        <v>31</v>
      </c>
      <c r="O52" s="574">
        <f>(+N52+L52+J52+H52+F52)/5</f>
        <v>23.8</v>
      </c>
      <c r="P52" s="572">
        <f>SUM(P49:P51)</f>
        <v>23</v>
      </c>
      <c r="Q52" s="574">
        <f>(P52+N52+L52+J52+H52)/5</f>
        <v>25.2</v>
      </c>
      <c r="R52" s="572">
        <f>SUM(R49:R51)</f>
        <v>17</v>
      </c>
      <c r="S52" s="574">
        <f>(R52+P52+N52+L52+J52)/5</f>
        <v>24</v>
      </c>
      <c r="T52" s="572">
        <f>SUM(T49:T51)</f>
        <v>25</v>
      </c>
      <c r="U52" s="574">
        <f>(T52+R52+P52+N52+L52)/5</f>
        <v>24.6</v>
      </c>
      <c r="V52" s="572">
        <f>SUM(V49:V51)</f>
        <v>33</v>
      </c>
      <c r="W52" s="574">
        <f>(V52+T52+R52+P52+N52)/5</f>
        <v>25.8</v>
      </c>
      <c r="X52" s="572">
        <f>SUM(X49:X51)</f>
        <v>31</v>
      </c>
      <c r="Y52" s="574">
        <f>(X52+V52+T52+R52+P52)/5</f>
        <v>25.8</v>
      </c>
      <c r="Z52" s="572">
        <f>SUM(Z49:Z51)</f>
        <v>26</v>
      </c>
      <c r="AA52" s="574">
        <f>(Z52+X52+V52+T52+R52)/5</f>
        <v>26.4</v>
      </c>
      <c r="AB52" s="572">
        <f>SUM(AB49:AB51)</f>
        <v>29</v>
      </c>
      <c r="AC52" s="574">
        <f>(AB52+Z52+X52+V52+T52)/5</f>
        <v>28.8</v>
      </c>
      <c r="AD52" s="572">
        <f>SUM(AD49:AD51)</f>
        <v>35</v>
      </c>
      <c r="AE52" s="574">
        <f>(AD52+AB52+Z52+X52+V52)/5</f>
        <v>30.8</v>
      </c>
      <c r="AF52" s="572">
        <f>SUM(AF49:AF51)</f>
        <v>42</v>
      </c>
      <c r="AG52" s="574">
        <f>(AF52+AD52+AB52+Z52+X52)/5</f>
        <v>32.6</v>
      </c>
      <c r="AH52" s="572">
        <f>SUM(AH49:AH51)</f>
        <v>32</v>
      </c>
      <c r="AI52" s="574">
        <f>(AH52+AF52+AD52+AB52+Z52)/5</f>
        <v>32.799999999999997</v>
      </c>
      <c r="AJ52" s="572">
        <f>SUM(AJ49:AJ51)</f>
        <v>23</v>
      </c>
      <c r="AK52" s="574">
        <f>(AJ52+AH52+AF52+AD52+AB52)/5</f>
        <v>32.200000000000003</v>
      </c>
    </row>
    <row r="53" spans="1:37" ht="18" customHeight="1" x14ac:dyDescent="0.3">
      <c r="A53" s="864" t="s">
        <v>422</v>
      </c>
      <c r="B53" s="865"/>
      <c r="C53" s="865"/>
      <c r="D53" s="865"/>
      <c r="E53" s="865"/>
      <c r="F53" s="866"/>
      <c r="G53" s="866"/>
      <c r="H53" s="866"/>
      <c r="I53" s="866"/>
      <c r="J53" s="866"/>
      <c r="K53" s="866"/>
      <c r="L53" s="866"/>
      <c r="M53" s="866"/>
      <c r="N53" s="866"/>
      <c r="O53" s="867"/>
      <c r="P53" s="866"/>
      <c r="Q53" s="867"/>
      <c r="R53" s="866"/>
      <c r="S53" s="867"/>
      <c r="T53" s="866"/>
      <c r="U53" s="867"/>
      <c r="V53" s="866"/>
      <c r="W53" s="867"/>
      <c r="X53" s="866"/>
      <c r="Y53" s="867"/>
      <c r="Z53" s="866"/>
      <c r="AA53" s="867"/>
      <c r="AB53" s="866"/>
      <c r="AC53" s="867"/>
      <c r="AD53" s="866"/>
      <c r="AE53" s="867"/>
      <c r="AF53" s="866"/>
      <c r="AG53" s="867"/>
      <c r="AH53" s="866"/>
      <c r="AI53" s="867"/>
      <c r="AJ53" s="866"/>
      <c r="AK53" s="867"/>
    </row>
    <row r="54" spans="1:37" ht="18" customHeight="1" x14ac:dyDescent="0.3">
      <c r="A54" s="707" t="s">
        <v>1125</v>
      </c>
      <c r="B54" s="544">
        <v>3</v>
      </c>
      <c r="C54" s="544">
        <v>7</v>
      </c>
      <c r="D54" s="544">
        <v>3</v>
      </c>
      <c r="E54" s="544">
        <v>2</v>
      </c>
      <c r="F54" s="544">
        <v>9</v>
      </c>
      <c r="G54" s="573">
        <f>AVERAGE(B54:F54)</f>
        <v>4.8</v>
      </c>
      <c r="H54" s="544">
        <v>3</v>
      </c>
      <c r="I54" s="573">
        <f>(+H54+F54+E54+D54+C54)/5</f>
        <v>4.8</v>
      </c>
      <c r="J54" s="544">
        <v>2</v>
      </c>
      <c r="K54" s="573">
        <f>(+J54+H54+F54+E54+D54)/5</f>
        <v>3.8</v>
      </c>
      <c r="L54" s="544">
        <v>7</v>
      </c>
      <c r="M54" s="573">
        <f>(L54+J54+H54+F54+E54)/5</f>
        <v>4.5999999999999996</v>
      </c>
      <c r="N54" s="544">
        <v>11</v>
      </c>
      <c r="O54" s="574">
        <f>(+N54+L54+J54+H54+F54)/5</f>
        <v>6.4</v>
      </c>
      <c r="P54" s="544">
        <v>5</v>
      </c>
      <c r="Q54" s="574">
        <f>(P54+N54+L54+J54+H54)/5</f>
        <v>5.6</v>
      </c>
      <c r="R54" s="544">
        <v>6</v>
      </c>
      <c r="S54" s="574">
        <f>(R54+P54+N54+L54+J54)/5</f>
        <v>6.2</v>
      </c>
      <c r="T54" s="544">
        <v>3</v>
      </c>
      <c r="U54" s="574">
        <f>(T54+R54+P54+N54+L54)/5</f>
        <v>6.4</v>
      </c>
      <c r="V54" s="544">
        <v>8</v>
      </c>
      <c r="W54" s="574">
        <f>(V54+T54+R54+P54+N54)/5</f>
        <v>6.6</v>
      </c>
      <c r="X54" s="544">
        <v>4</v>
      </c>
      <c r="Y54" s="574">
        <f>(X54+V54+T54+R54+P54)/5</f>
        <v>5.2</v>
      </c>
      <c r="Z54" s="544">
        <v>4</v>
      </c>
      <c r="AA54" s="574">
        <f>(Z54+X54+V54+T54+R54)/5</f>
        <v>5</v>
      </c>
      <c r="AB54" s="544">
        <v>5</v>
      </c>
      <c r="AC54" s="574">
        <f>(AB54+Z54+X54+V54+T54)/5</f>
        <v>4.8</v>
      </c>
      <c r="AD54" s="544">
        <v>3</v>
      </c>
      <c r="AE54" s="574">
        <f>(AD54+AB54+Z54+X54+V54)/5</f>
        <v>4.8</v>
      </c>
      <c r="AF54" s="544">
        <v>3</v>
      </c>
      <c r="AG54" s="574">
        <f>(AF54+AD54+AB54+Z54+X54)/5</f>
        <v>3.8</v>
      </c>
      <c r="AH54" s="544">
        <v>5</v>
      </c>
      <c r="AI54" s="574">
        <f>(AH54+AF54+AD54+AB54+Z54)/5</f>
        <v>4</v>
      </c>
      <c r="AJ54" s="544">
        <v>9</v>
      </c>
      <c r="AK54" s="574">
        <f>(AJ54+AH54+AF54+AD54+AB54)/5</f>
        <v>5</v>
      </c>
    </row>
    <row r="55" spans="1:37" ht="18" customHeight="1" x14ac:dyDescent="0.3">
      <c r="A55" s="707" t="s">
        <v>1126</v>
      </c>
      <c r="B55" s="544">
        <v>1</v>
      </c>
      <c r="C55" s="544">
        <v>4</v>
      </c>
      <c r="D55" s="544">
        <v>5</v>
      </c>
      <c r="E55" s="544">
        <v>4</v>
      </c>
      <c r="F55" s="544">
        <v>1</v>
      </c>
      <c r="G55" s="573">
        <f>AVERAGE(B55:F55)</f>
        <v>3</v>
      </c>
      <c r="H55" s="544">
        <v>4</v>
      </c>
      <c r="I55" s="573">
        <f>(+H55+F55+E55+D55+C55)/5</f>
        <v>3.6</v>
      </c>
      <c r="J55" s="544">
        <v>4</v>
      </c>
      <c r="K55" s="573">
        <f>(+J55+H55+F55+E55+D55)/5</f>
        <v>3.6</v>
      </c>
      <c r="L55" s="544">
        <v>0</v>
      </c>
      <c r="M55" s="573">
        <f>(L55+J55+H55+F55+E55)/5</f>
        <v>2.6</v>
      </c>
      <c r="N55" s="544">
        <v>0</v>
      </c>
      <c r="O55" s="574">
        <f>(+N55+L55+J55+H55+F55)/5</f>
        <v>1.8</v>
      </c>
      <c r="P55" s="544">
        <v>0</v>
      </c>
      <c r="Q55" s="574">
        <f>(P55+N55+L55+J55+H55)/5</f>
        <v>1.6</v>
      </c>
      <c r="R55" s="544">
        <v>0</v>
      </c>
      <c r="S55" s="574">
        <f>(R55+P55+N55+L55+J55)/5</f>
        <v>0.8</v>
      </c>
      <c r="T55" s="544">
        <v>0</v>
      </c>
      <c r="U55" s="574">
        <f>(T55+R55+P55+N55+L55)/5</f>
        <v>0</v>
      </c>
      <c r="V55" s="544">
        <v>0</v>
      </c>
      <c r="W55" s="574">
        <f>(V55+T55+R55+P55+N55)/5</f>
        <v>0</v>
      </c>
      <c r="X55" s="544">
        <v>3</v>
      </c>
      <c r="Y55" s="574">
        <f>(X55+V55+T55+R55+P55)/5</f>
        <v>0.6</v>
      </c>
      <c r="Z55" s="544">
        <v>2</v>
      </c>
      <c r="AA55" s="574">
        <f>(Z55+X55+V55+T55+R55)/5</f>
        <v>1</v>
      </c>
      <c r="AB55" s="544">
        <v>2</v>
      </c>
      <c r="AC55" s="574">
        <f>(AB55+Z55+X55+V55+T55)/5</f>
        <v>1.4</v>
      </c>
      <c r="AD55" s="544">
        <v>2</v>
      </c>
      <c r="AE55" s="574">
        <f>(AD55+AB55+Z55+X55+V55)/5</f>
        <v>1.8</v>
      </c>
      <c r="AF55" s="544">
        <v>3</v>
      </c>
      <c r="AG55" s="574">
        <f>(AF55+AD55+AB55+Z55+X55)/5</f>
        <v>2.4</v>
      </c>
      <c r="AH55" s="544">
        <v>0</v>
      </c>
      <c r="AI55" s="574">
        <f>(AH55+AF55+AD55+AB55+Z55)/5</f>
        <v>1.8</v>
      </c>
      <c r="AJ55" s="544">
        <v>0</v>
      </c>
      <c r="AK55" s="574">
        <f>(AJ55+AH55+AF55+AD55+AB55)/5</f>
        <v>1.4</v>
      </c>
    </row>
    <row r="56" spans="1:37" ht="18" customHeight="1" x14ac:dyDescent="0.3">
      <c r="A56" s="708" t="s">
        <v>1015</v>
      </c>
      <c r="B56" s="572">
        <f>+B55+B54</f>
        <v>4</v>
      </c>
      <c r="C56" s="572">
        <f>+C55+C54</f>
        <v>11</v>
      </c>
      <c r="D56" s="572">
        <f>+D55+D54</f>
        <v>8</v>
      </c>
      <c r="E56" s="572">
        <f>+E55+E54</f>
        <v>6</v>
      </c>
      <c r="F56" s="572">
        <f>+F55+F54</f>
        <v>10</v>
      </c>
      <c r="G56" s="573">
        <f>AVERAGE(B56:F56)</f>
        <v>7.8</v>
      </c>
      <c r="H56" s="572">
        <f>+H55+H54</f>
        <v>7</v>
      </c>
      <c r="I56" s="573">
        <f>(+H56+F56+E56+D56+C56)/5</f>
        <v>8.4</v>
      </c>
      <c r="J56" s="572">
        <f>+J55+J54</f>
        <v>6</v>
      </c>
      <c r="K56" s="573">
        <f>(+J56+H56+F56+E56+D56)/5</f>
        <v>7.4</v>
      </c>
      <c r="L56" s="572">
        <f>+L55+L54</f>
        <v>7</v>
      </c>
      <c r="M56" s="573">
        <f>(L56+J56+H56+F56+E56)/5</f>
        <v>7.2</v>
      </c>
      <c r="N56" s="572">
        <f>+N55+N54</f>
        <v>11</v>
      </c>
      <c r="O56" s="574">
        <f>(+N56+L56+J56+H56+F56)/5</f>
        <v>8.1999999999999993</v>
      </c>
      <c r="P56" s="572">
        <f>+P55+P54</f>
        <v>5</v>
      </c>
      <c r="Q56" s="574">
        <f>(P56+N56+L56+J56+H56)/5</f>
        <v>7.2</v>
      </c>
      <c r="R56" s="572">
        <f>+R55+R54</f>
        <v>6</v>
      </c>
      <c r="S56" s="574">
        <f>(R56+P56+N56+L56+J56)/5</f>
        <v>7</v>
      </c>
      <c r="T56" s="572">
        <f>+T55+T54</f>
        <v>3</v>
      </c>
      <c r="U56" s="574">
        <f>(T56+R56+P56+N56+L56)/5</f>
        <v>6.4</v>
      </c>
      <c r="V56" s="572">
        <f>+V55+V54</f>
        <v>8</v>
      </c>
      <c r="W56" s="574">
        <f>(V56+T56+R56+P56+N56)/5</f>
        <v>6.6</v>
      </c>
      <c r="X56" s="572">
        <f>+X55+X54</f>
        <v>7</v>
      </c>
      <c r="Y56" s="574">
        <f>(X56+V56+T56+R56+P56)/5</f>
        <v>5.8</v>
      </c>
      <c r="Z56" s="572">
        <f>+Z55+Z54</f>
        <v>6</v>
      </c>
      <c r="AA56" s="574">
        <f>(Z56+X56+V56+T56+R56)/5</f>
        <v>6</v>
      </c>
      <c r="AB56" s="572">
        <f>+AB55+AB54</f>
        <v>7</v>
      </c>
      <c r="AC56" s="574">
        <f>(AB56+Z56+X56+V56+T56)/5</f>
        <v>6.2</v>
      </c>
      <c r="AD56" s="572">
        <f>+AD55+AD54</f>
        <v>5</v>
      </c>
      <c r="AE56" s="574">
        <f>(AD56+AB56+Z56+X56+V56)/5</f>
        <v>6.6</v>
      </c>
      <c r="AF56" s="572">
        <f>+AF55+AF54</f>
        <v>6</v>
      </c>
      <c r="AG56" s="574">
        <f>(AF56+AD56+AB56+Z56+X56)/5</f>
        <v>6.2</v>
      </c>
      <c r="AH56" s="572">
        <f>+AH55+AH54</f>
        <v>5</v>
      </c>
      <c r="AI56" s="574">
        <f>(AH56+AF56+AD56+AB56+Z56)/5</f>
        <v>5.8</v>
      </c>
      <c r="AJ56" s="572">
        <f>+AJ55+AJ54</f>
        <v>9</v>
      </c>
      <c r="AK56" s="574">
        <f>(AJ56+AH56+AF56+AD56+AB56)/5</f>
        <v>6.4</v>
      </c>
    </row>
    <row r="57" spans="1:37" ht="18" customHeight="1" thickBot="1" x14ac:dyDescent="0.35">
      <c r="A57" s="562" t="s">
        <v>423</v>
      </c>
      <c r="B57" s="563">
        <f>+B56+B52+B47+B43+B36</f>
        <v>66</v>
      </c>
      <c r="C57" s="563">
        <f>+C56+C52+C47+C43+C36</f>
        <v>74</v>
      </c>
      <c r="D57" s="563">
        <f>+D56+D52+D47+D43+D36</f>
        <v>66</v>
      </c>
      <c r="E57" s="563">
        <f>+E56+E52+E47+E43+E36</f>
        <v>78</v>
      </c>
      <c r="F57" s="563">
        <f>+F56+F52+F47+F43+F36</f>
        <v>61</v>
      </c>
      <c r="G57" s="575">
        <f>AVERAGE(B57:F57)</f>
        <v>69</v>
      </c>
      <c r="H57" s="563">
        <f>+H56+H52+H47+H43+H36</f>
        <v>63</v>
      </c>
      <c r="I57" s="575">
        <f>(+H57+F57+E57+D57+C57)/5</f>
        <v>68.400000000000006</v>
      </c>
      <c r="J57" s="563">
        <f>+J56+J52+J47+J43+J36</f>
        <v>85</v>
      </c>
      <c r="K57" s="575">
        <f>(+J57+H57+F57+E57+D57)/5</f>
        <v>70.599999999999994</v>
      </c>
      <c r="L57" s="563">
        <f>+L56+L52+L47+L43+L36</f>
        <v>94</v>
      </c>
      <c r="M57" s="576">
        <f>(L57+J57+H57+F57+E57)/5</f>
        <v>76.2</v>
      </c>
      <c r="N57" s="577">
        <f>+N56+N52+N47+N43+N36</f>
        <v>87</v>
      </c>
      <c r="O57" s="578">
        <f>(+N57+L57+J57+H57+F57)/5</f>
        <v>78</v>
      </c>
      <c r="P57" s="577">
        <f>+P56+P52+P47+P43+P36</f>
        <v>86</v>
      </c>
      <c r="Q57" s="578">
        <f>(P57+N57+L57+J57+H57)/5</f>
        <v>83</v>
      </c>
      <c r="R57" s="577">
        <f>+R56+R52+R47+R43+R36</f>
        <v>75</v>
      </c>
      <c r="S57" s="578">
        <f>(R57+P57+N57+L57+J57)/5</f>
        <v>85.4</v>
      </c>
      <c r="T57" s="577">
        <f>+T56+T52+T47+T43+T36</f>
        <v>57</v>
      </c>
      <c r="U57" s="578">
        <f>(T57+R57+P57+N57+L57)/5</f>
        <v>79.8</v>
      </c>
      <c r="V57" s="577">
        <f>+V56+V52+V47+V43+V36</f>
        <v>79</v>
      </c>
      <c r="W57" s="578">
        <f>(V57+T57+R57+P57+N57)/5</f>
        <v>76.8</v>
      </c>
      <c r="X57" s="577">
        <f>+X56+X52+X47+X43+X36</f>
        <v>84</v>
      </c>
      <c r="Y57" s="578">
        <f>(X57+V57+T57+R57+P57)/5</f>
        <v>76.2</v>
      </c>
      <c r="Z57" s="577">
        <f>+Z56+Z52+Z47+Z43+Z36</f>
        <v>79</v>
      </c>
      <c r="AA57" s="578">
        <f>(Z57+X57+V57+T57+R57)/5</f>
        <v>74.8</v>
      </c>
      <c r="AB57" s="577">
        <f>+AB56+AB52+AB47+AB43+AB36</f>
        <v>76</v>
      </c>
      <c r="AC57" s="578">
        <f>(AB57+Z57+X57+V57+T57)/5</f>
        <v>75</v>
      </c>
      <c r="AD57" s="577">
        <f>+AD56+AD52+AD47+AD43+AD36</f>
        <v>101</v>
      </c>
      <c r="AE57" s="578">
        <f>(AD57+AB57+Z57+X57+V57)/5</f>
        <v>83.8</v>
      </c>
      <c r="AF57" s="577">
        <f>+AF56+AF52+AF47+AF43+AF36</f>
        <v>114</v>
      </c>
      <c r="AG57" s="578">
        <f>(AF57+AD57+AB57+Z57+X57)/5</f>
        <v>90.8</v>
      </c>
      <c r="AH57" s="577">
        <f>+AH56+AH52+AH47+AH43+AH36</f>
        <v>88</v>
      </c>
      <c r="AI57" s="578">
        <f>(AH57+AF57+AD57+AB57+Z57)/5</f>
        <v>91.6</v>
      </c>
      <c r="AJ57" s="577">
        <f>+AJ56+AJ52+AJ47+AJ43+AJ36</f>
        <v>88</v>
      </c>
      <c r="AK57" s="578">
        <f>(AJ57+AH57+AF57+AD57+AB57)/5</f>
        <v>93.4</v>
      </c>
    </row>
    <row r="58" spans="1:37" ht="20.25" customHeight="1" thickBot="1" x14ac:dyDescent="0.35">
      <c r="A58" s="2211" t="s">
        <v>424</v>
      </c>
      <c r="B58" s="2212"/>
      <c r="C58" s="2212"/>
      <c r="D58" s="2212"/>
      <c r="E58" s="2212"/>
      <c r="F58" s="2212"/>
      <c r="G58" s="2212"/>
      <c r="H58" s="2212"/>
      <c r="I58" s="2212"/>
      <c r="J58" s="2212"/>
      <c r="K58" s="2212"/>
      <c r="L58" s="2212"/>
      <c r="M58" s="2212"/>
      <c r="N58" s="2212"/>
      <c r="O58" s="2212"/>
      <c r="P58" s="2212"/>
      <c r="Q58" s="2212"/>
      <c r="R58" s="2212"/>
      <c r="S58" s="2212"/>
      <c r="T58" s="2212"/>
      <c r="U58" s="2212"/>
      <c r="V58" s="2212"/>
      <c r="W58" s="2212"/>
      <c r="X58" s="2212"/>
      <c r="Y58" s="2212"/>
      <c r="Z58" s="2212"/>
      <c r="AA58" s="2212"/>
      <c r="AB58" s="2212"/>
      <c r="AC58" s="2212"/>
      <c r="AD58" s="2212"/>
      <c r="AE58" s="2212"/>
      <c r="AF58" s="2212"/>
      <c r="AG58" s="2212"/>
      <c r="AH58" s="2212"/>
      <c r="AI58" s="2212"/>
      <c r="AJ58" s="2212"/>
      <c r="AK58" s="2213"/>
    </row>
    <row r="59" spans="1:37" ht="20.25" customHeight="1" x14ac:dyDescent="0.3">
      <c r="A59" s="549" t="s">
        <v>410</v>
      </c>
      <c r="B59" s="547" t="s">
        <v>400</v>
      </c>
      <c r="C59" s="547" t="s">
        <v>1350</v>
      </c>
      <c r="D59" s="547" t="s">
        <v>1351</v>
      </c>
      <c r="E59" s="547" t="s">
        <v>1352</v>
      </c>
      <c r="F59" s="546" t="s">
        <v>795</v>
      </c>
      <c r="G59" s="571" t="s">
        <v>486</v>
      </c>
      <c r="H59" s="546" t="s">
        <v>652</v>
      </c>
      <c r="I59" s="571" t="s">
        <v>486</v>
      </c>
      <c r="J59" s="546" t="s">
        <v>1359</v>
      </c>
      <c r="K59" s="571" t="s">
        <v>486</v>
      </c>
      <c r="L59" s="546" t="s">
        <v>1105</v>
      </c>
      <c r="M59" s="571" t="s">
        <v>486</v>
      </c>
      <c r="N59" s="546" t="s">
        <v>283</v>
      </c>
      <c r="O59" s="571" t="s">
        <v>486</v>
      </c>
      <c r="P59" s="546" t="s">
        <v>1314</v>
      </c>
      <c r="Q59" s="571" t="s">
        <v>486</v>
      </c>
      <c r="R59" s="546" t="s">
        <v>372</v>
      </c>
      <c r="S59" s="571" t="s">
        <v>486</v>
      </c>
      <c r="T59" s="546" t="s">
        <v>615</v>
      </c>
      <c r="U59" s="571" t="s">
        <v>486</v>
      </c>
      <c r="V59" s="550" t="str">
        <f>+V32</f>
        <v>2008-2009</v>
      </c>
      <c r="W59" s="571" t="s">
        <v>486</v>
      </c>
      <c r="X59" s="546" t="s">
        <v>1446</v>
      </c>
      <c r="Y59" s="571" t="s">
        <v>486</v>
      </c>
      <c r="Z59" s="546" t="s">
        <v>1447</v>
      </c>
      <c r="AA59" s="571" t="s">
        <v>486</v>
      </c>
      <c r="AB59" s="546" t="s">
        <v>1438</v>
      </c>
      <c r="AC59" s="571" t="s">
        <v>486</v>
      </c>
      <c r="AD59" s="546" t="s">
        <v>1549</v>
      </c>
      <c r="AE59" s="571" t="s">
        <v>486</v>
      </c>
      <c r="AF59" s="546" t="s">
        <v>1611</v>
      </c>
      <c r="AG59" s="571" t="s">
        <v>486</v>
      </c>
      <c r="AH59" s="546" t="s">
        <v>1639</v>
      </c>
      <c r="AI59" s="571" t="s">
        <v>486</v>
      </c>
      <c r="AJ59" s="546" t="str">
        <f>+AJ32</f>
        <v>2015-2016</v>
      </c>
      <c r="AK59" s="571" t="s">
        <v>486</v>
      </c>
    </row>
    <row r="60" spans="1:37" ht="18" customHeight="1" x14ac:dyDescent="0.3">
      <c r="A60" s="871" t="s">
        <v>1024</v>
      </c>
      <c r="B60" s="872"/>
      <c r="C60" s="872"/>
      <c r="D60" s="872"/>
      <c r="E60" s="872"/>
      <c r="F60" s="873"/>
      <c r="G60" s="873"/>
      <c r="H60" s="873"/>
      <c r="I60" s="873"/>
      <c r="J60" s="873"/>
      <c r="K60" s="873"/>
      <c r="L60" s="873"/>
      <c r="M60" s="874"/>
      <c r="N60" s="873"/>
      <c r="O60" s="870"/>
      <c r="P60" s="873"/>
      <c r="Q60" s="870"/>
      <c r="R60" s="873"/>
      <c r="S60" s="870"/>
      <c r="T60" s="873"/>
      <c r="U60" s="870"/>
      <c r="V60" s="873"/>
      <c r="W60" s="870"/>
      <c r="X60" s="873"/>
      <c r="Y60" s="870"/>
      <c r="Z60" s="873"/>
      <c r="AA60" s="870"/>
      <c r="AB60" s="873"/>
      <c r="AC60" s="870"/>
      <c r="AD60" s="873"/>
      <c r="AE60" s="870"/>
      <c r="AF60" s="873"/>
      <c r="AG60" s="870"/>
      <c r="AH60" s="873"/>
      <c r="AI60" s="870"/>
      <c r="AJ60" s="873"/>
      <c r="AK60" s="870"/>
    </row>
    <row r="61" spans="1:37" ht="18" customHeight="1" x14ac:dyDescent="0.3">
      <c r="A61" s="707" t="s">
        <v>1165</v>
      </c>
      <c r="B61" s="544">
        <v>3</v>
      </c>
      <c r="C61" s="544">
        <v>2</v>
      </c>
      <c r="D61" s="544">
        <v>5</v>
      </c>
      <c r="E61" s="544">
        <v>8</v>
      </c>
      <c r="F61" s="544">
        <v>6</v>
      </c>
      <c r="G61" s="573">
        <f t="shared" ref="G61:G72" si="48">AVERAGE(B61:F61)</f>
        <v>4.8</v>
      </c>
      <c r="H61" s="544">
        <v>1</v>
      </c>
      <c r="I61" s="573">
        <f t="shared" ref="I61:I72" si="49">(+H61+F61+E61+D61+C61)/5</f>
        <v>4.4000000000000004</v>
      </c>
      <c r="J61" s="544">
        <v>10</v>
      </c>
      <c r="K61" s="573">
        <f t="shared" ref="K61:K72" si="50">(+J61+H61+F61+E61+D61)/5</f>
        <v>6</v>
      </c>
      <c r="L61" s="544">
        <v>10</v>
      </c>
      <c r="M61" s="573">
        <f t="shared" ref="M61:M72" si="51">(L61+J61+H61+F61+E61)/5</f>
        <v>7</v>
      </c>
      <c r="N61" s="544">
        <v>10</v>
      </c>
      <c r="O61" s="574">
        <f t="shared" ref="O61:O72" si="52">(+N61+L61+J61+H61+F61)/5</f>
        <v>7.4</v>
      </c>
      <c r="P61" s="544">
        <v>7</v>
      </c>
      <c r="Q61" s="574">
        <f t="shared" ref="Q61:Q72" si="53">(P61+N61+L61+J61+H61)/5</f>
        <v>7.6</v>
      </c>
      <c r="R61" s="544">
        <v>4</v>
      </c>
      <c r="S61" s="574">
        <f t="shared" ref="S61:S72" si="54">(R61+P61+N61+L61+J61)/5</f>
        <v>8.1999999999999993</v>
      </c>
      <c r="T61" s="544">
        <v>9</v>
      </c>
      <c r="U61" s="574">
        <f t="shared" ref="U61:U72" si="55">(T61+R61+P61+N61+L61)/5</f>
        <v>8</v>
      </c>
      <c r="V61" s="544">
        <v>6</v>
      </c>
      <c r="W61" s="574">
        <f t="shared" ref="W61:W72" si="56">(V61+T61+R61+P61+N61)/5</f>
        <v>7.2</v>
      </c>
      <c r="X61" s="544">
        <v>17</v>
      </c>
      <c r="Y61" s="574">
        <f t="shared" ref="Y61:Y72" si="57">(X61+V61+T61+R61+P61)/5</f>
        <v>8.6</v>
      </c>
      <c r="Z61" s="544">
        <v>4</v>
      </c>
      <c r="AA61" s="574">
        <f t="shared" ref="AA61:AA72" si="58">(Z61+X61+V61+T61+R61)/5</f>
        <v>8</v>
      </c>
      <c r="AB61" s="544">
        <v>13</v>
      </c>
      <c r="AC61" s="574">
        <f t="shared" ref="AC61:AC72" si="59">(AB61+Z61+X61+V61+T61)/5</f>
        <v>9.8000000000000007</v>
      </c>
      <c r="AD61" s="544">
        <v>4</v>
      </c>
      <c r="AE61" s="574">
        <f t="shared" ref="AE61:AE72" si="60">(AD61+AB61+Z61+X61+V61)/5</f>
        <v>8.8000000000000007</v>
      </c>
      <c r="AF61" s="544">
        <v>6</v>
      </c>
      <c r="AG61" s="574">
        <f t="shared" ref="AG61:AG72" si="61">(AF61+AD61+AB61+Z61+X61)/5</f>
        <v>8.8000000000000007</v>
      </c>
      <c r="AH61" s="544">
        <v>5</v>
      </c>
      <c r="AI61" s="574">
        <f t="shared" ref="AI61:AI72" si="62">(AH61+AF61+AD61+AB61+Z61)/5</f>
        <v>6.4</v>
      </c>
      <c r="AJ61" s="544">
        <v>4</v>
      </c>
      <c r="AK61" s="574">
        <f t="shared" ref="AK61:AK72" si="63">(AJ61+AH61+AF61+AD61+AB61)/5</f>
        <v>6.4</v>
      </c>
    </row>
    <row r="62" spans="1:37" ht="18" customHeight="1" x14ac:dyDescent="0.3">
      <c r="A62" s="707" t="s">
        <v>389</v>
      </c>
      <c r="B62" s="544">
        <v>2</v>
      </c>
      <c r="C62" s="544">
        <v>4</v>
      </c>
      <c r="D62" s="544">
        <v>5</v>
      </c>
      <c r="E62" s="544">
        <v>4</v>
      </c>
      <c r="F62" s="544">
        <v>0</v>
      </c>
      <c r="G62" s="573">
        <f t="shared" si="48"/>
        <v>3</v>
      </c>
      <c r="H62" s="544">
        <v>0</v>
      </c>
      <c r="I62" s="573">
        <f t="shared" si="49"/>
        <v>2.6</v>
      </c>
      <c r="J62" s="544">
        <v>0</v>
      </c>
      <c r="K62" s="573">
        <f t="shared" si="50"/>
        <v>1.8</v>
      </c>
      <c r="L62" s="544">
        <v>0</v>
      </c>
      <c r="M62" s="573">
        <f t="shared" si="51"/>
        <v>0.8</v>
      </c>
      <c r="N62" s="544">
        <v>0</v>
      </c>
      <c r="O62" s="574">
        <f t="shared" si="52"/>
        <v>0</v>
      </c>
      <c r="P62" s="544">
        <v>0</v>
      </c>
      <c r="Q62" s="574">
        <f t="shared" si="53"/>
        <v>0</v>
      </c>
      <c r="R62" s="544">
        <v>0</v>
      </c>
      <c r="S62" s="574">
        <f t="shared" si="54"/>
        <v>0</v>
      </c>
      <c r="T62" s="544">
        <v>0</v>
      </c>
      <c r="U62" s="574">
        <f t="shared" si="55"/>
        <v>0</v>
      </c>
      <c r="V62" s="544">
        <v>0</v>
      </c>
      <c r="W62" s="574">
        <f t="shared" si="56"/>
        <v>0</v>
      </c>
      <c r="X62" s="544">
        <v>0</v>
      </c>
      <c r="Y62" s="574">
        <f t="shared" si="57"/>
        <v>0</v>
      </c>
      <c r="Z62" s="544">
        <v>0</v>
      </c>
      <c r="AA62" s="574">
        <f t="shared" si="58"/>
        <v>0</v>
      </c>
      <c r="AB62" s="544">
        <v>0</v>
      </c>
      <c r="AC62" s="574">
        <f t="shared" si="59"/>
        <v>0</v>
      </c>
      <c r="AD62" s="544">
        <v>0</v>
      </c>
      <c r="AE62" s="574">
        <f t="shared" si="60"/>
        <v>0</v>
      </c>
      <c r="AF62" s="544">
        <v>0</v>
      </c>
      <c r="AG62" s="574">
        <f t="shared" si="61"/>
        <v>0</v>
      </c>
      <c r="AH62" s="544">
        <v>0</v>
      </c>
      <c r="AI62" s="574">
        <f t="shared" si="62"/>
        <v>0</v>
      </c>
      <c r="AJ62" s="544">
        <v>0</v>
      </c>
      <c r="AK62" s="574">
        <f t="shared" si="63"/>
        <v>0</v>
      </c>
    </row>
    <row r="63" spans="1:37" ht="18" customHeight="1" x14ac:dyDescent="0.3">
      <c r="A63" s="707" t="s">
        <v>390</v>
      </c>
      <c r="B63" s="544">
        <v>0</v>
      </c>
      <c r="C63" s="544">
        <v>1</v>
      </c>
      <c r="D63" s="544">
        <v>3</v>
      </c>
      <c r="E63" s="544">
        <v>3</v>
      </c>
      <c r="F63" s="544">
        <v>0</v>
      </c>
      <c r="G63" s="573">
        <f t="shared" si="48"/>
        <v>1.4</v>
      </c>
      <c r="H63" s="544">
        <v>0</v>
      </c>
      <c r="I63" s="573">
        <f t="shared" si="49"/>
        <v>1.4</v>
      </c>
      <c r="J63" s="544">
        <v>0</v>
      </c>
      <c r="K63" s="573">
        <f t="shared" si="50"/>
        <v>1.2</v>
      </c>
      <c r="L63" s="544">
        <v>0</v>
      </c>
      <c r="M63" s="573">
        <f t="shared" si="51"/>
        <v>0.6</v>
      </c>
      <c r="N63" s="544">
        <v>0</v>
      </c>
      <c r="O63" s="574">
        <f t="shared" si="52"/>
        <v>0</v>
      </c>
      <c r="P63" s="544">
        <v>0</v>
      </c>
      <c r="Q63" s="574">
        <f t="shared" si="53"/>
        <v>0</v>
      </c>
      <c r="R63" s="544">
        <v>0</v>
      </c>
      <c r="S63" s="574">
        <f t="shared" si="54"/>
        <v>0</v>
      </c>
      <c r="T63" s="544">
        <v>0</v>
      </c>
      <c r="U63" s="574">
        <f t="shared" si="55"/>
        <v>0</v>
      </c>
      <c r="V63" s="544">
        <v>0</v>
      </c>
      <c r="W63" s="574">
        <f t="shared" si="56"/>
        <v>0</v>
      </c>
      <c r="X63" s="544">
        <v>0</v>
      </c>
      <c r="Y63" s="574">
        <f t="shared" si="57"/>
        <v>0</v>
      </c>
      <c r="Z63" s="544">
        <v>0</v>
      </c>
      <c r="AA63" s="574">
        <f t="shared" si="58"/>
        <v>0</v>
      </c>
      <c r="AB63" s="544">
        <v>0</v>
      </c>
      <c r="AC63" s="574">
        <f t="shared" si="59"/>
        <v>0</v>
      </c>
      <c r="AD63" s="544">
        <v>0</v>
      </c>
      <c r="AE63" s="574">
        <f t="shared" si="60"/>
        <v>0</v>
      </c>
      <c r="AF63" s="544">
        <v>0</v>
      </c>
      <c r="AG63" s="574">
        <f t="shared" si="61"/>
        <v>0</v>
      </c>
      <c r="AH63" s="544">
        <v>0</v>
      </c>
      <c r="AI63" s="574">
        <f t="shared" si="62"/>
        <v>0</v>
      </c>
      <c r="AJ63" s="544">
        <v>0</v>
      </c>
      <c r="AK63" s="574">
        <f t="shared" si="63"/>
        <v>0</v>
      </c>
    </row>
    <row r="64" spans="1:37" ht="18" customHeight="1" x14ac:dyDescent="0.3">
      <c r="A64" s="707" t="s">
        <v>403</v>
      </c>
      <c r="B64" s="544">
        <v>17</v>
      </c>
      <c r="C64" s="544">
        <v>0</v>
      </c>
      <c r="D64" s="544">
        <v>0</v>
      </c>
      <c r="E64" s="544">
        <v>0</v>
      </c>
      <c r="F64" s="544">
        <v>0</v>
      </c>
      <c r="G64" s="573">
        <f t="shared" si="48"/>
        <v>3.4</v>
      </c>
      <c r="H64" s="544">
        <v>0</v>
      </c>
      <c r="I64" s="573">
        <f t="shared" si="49"/>
        <v>0</v>
      </c>
      <c r="J64" s="544">
        <v>0</v>
      </c>
      <c r="K64" s="573">
        <f t="shared" si="50"/>
        <v>0</v>
      </c>
      <c r="L64" s="544">
        <v>0</v>
      </c>
      <c r="M64" s="573">
        <f t="shared" si="51"/>
        <v>0</v>
      </c>
      <c r="N64" s="544">
        <v>0</v>
      </c>
      <c r="O64" s="574">
        <f t="shared" si="52"/>
        <v>0</v>
      </c>
      <c r="P64" s="544">
        <v>0</v>
      </c>
      <c r="Q64" s="574">
        <f t="shared" si="53"/>
        <v>0</v>
      </c>
      <c r="R64" s="544">
        <v>0</v>
      </c>
      <c r="S64" s="574">
        <f t="shared" si="54"/>
        <v>0</v>
      </c>
      <c r="T64" s="544">
        <v>0</v>
      </c>
      <c r="U64" s="574">
        <f t="shared" si="55"/>
        <v>0</v>
      </c>
      <c r="V64" s="544">
        <v>0</v>
      </c>
      <c r="W64" s="574">
        <f t="shared" si="56"/>
        <v>0</v>
      </c>
      <c r="X64" s="544">
        <v>0</v>
      </c>
      <c r="Y64" s="574">
        <f t="shared" si="57"/>
        <v>0</v>
      </c>
      <c r="Z64" s="544">
        <v>0</v>
      </c>
      <c r="AA64" s="574">
        <f t="shared" si="58"/>
        <v>0</v>
      </c>
      <c r="AB64" s="544">
        <v>0</v>
      </c>
      <c r="AC64" s="574">
        <f t="shared" si="59"/>
        <v>0</v>
      </c>
      <c r="AD64" s="544">
        <v>0</v>
      </c>
      <c r="AE64" s="574">
        <f t="shared" si="60"/>
        <v>0</v>
      </c>
      <c r="AF64" s="544">
        <v>0</v>
      </c>
      <c r="AG64" s="574">
        <f t="shared" si="61"/>
        <v>0</v>
      </c>
      <c r="AH64" s="544">
        <v>0</v>
      </c>
      <c r="AI64" s="574">
        <f t="shared" si="62"/>
        <v>0</v>
      </c>
      <c r="AJ64" s="544">
        <v>0</v>
      </c>
      <c r="AK64" s="574">
        <f t="shared" si="63"/>
        <v>0</v>
      </c>
    </row>
    <row r="65" spans="1:37" ht="18" customHeight="1" x14ac:dyDescent="0.3">
      <c r="A65" s="707" t="s">
        <v>1166</v>
      </c>
      <c r="B65" s="544">
        <v>22</v>
      </c>
      <c r="C65" s="544">
        <v>29</v>
      </c>
      <c r="D65" s="544">
        <v>16</v>
      </c>
      <c r="E65" s="544">
        <v>10</v>
      </c>
      <c r="F65" s="544">
        <v>10</v>
      </c>
      <c r="G65" s="573">
        <f t="shared" si="48"/>
        <v>17.399999999999999</v>
      </c>
      <c r="H65" s="544">
        <v>10</v>
      </c>
      <c r="I65" s="573">
        <f t="shared" si="49"/>
        <v>15</v>
      </c>
      <c r="J65" s="544">
        <v>16</v>
      </c>
      <c r="K65" s="573">
        <f t="shared" si="50"/>
        <v>12.4</v>
      </c>
      <c r="L65" s="544">
        <v>17</v>
      </c>
      <c r="M65" s="573">
        <f t="shared" si="51"/>
        <v>12.6</v>
      </c>
      <c r="N65" s="544">
        <v>22</v>
      </c>
      <c r="O65" s="574">
        <f t="shared" si="52"/>
        <v>15</v>
      </c>
      <c r="P65" s="544">
        <v>28</v>
      </c>
      <c r="Q65" s="574">
        <f t="shared" si="53"/>
        <v>18.600000000000001</v>
      </c>
      <c r="R65" s="544">
        <v>25</v>
      </c>
      <c r="S65" s="574">
        <f t="shared" si="54"/>
        <v>21.6</v>
      </c>
      <c r="T65" s="544">
        <v>23</v>
      </c>
      <c r="U65" s="574">
        <f t="shared" si="55"/>
        <v>23</v>
      </c>
      <c r="V65" s="544">
        <v>30</v>
      </c>
      <c r="W65" s="574">
        <f t="shared" si="56"/>
        <v>25.6</v>
      </c>
      <c r="X65" s="544">
        <v>28</v>
      </c>
      <c r="Y65" s="574">
        <f t="shared" si="57"/>
        <v>26.8</v>
      </c>
      <c r="Z65" s="544">
        <v>24</v>
      </c>
      <c r="AA65" s="574">
        <f t="shared" si="58"/>
        <v>26</v>
      </c>
      <c r="AB65" s="544">
        <v>24</v>
      </c>
      <c r="AC65" s="574">
        <f t="shared" si="59"/>
        <v>25.8</v>
      </c>
      <c r="AD65" s="544">
        <v>18</v>
      </c>
      <c r="AE65" s="574">
        <f t="shared" si="60"/>
        <v>24.8</v>
      </c>
      <c r="AF65" s="544">
        <v>33</v>
      </c>
      <c r="AG65" s="574">
        <f t="shared" si="61"/>
        <v>25.4</v>
      </c>
      <c r="AH65" s="544">
        <v>16</v>
      </c>
      <c r="AI65" s="574">
        <f t="shared" si="62"/>
        <v>23</v>
      </c>
      <c r="AJ65" s="544">
        <v>23</v>
      </c>
      <c r="AK65" s="574">
        <f t="shared" si="63"/>
        <v>22.8</v>
      </c>
    </row>
    <row r="66" spans="1:37" ht="18" customHeight="1" x14ac:dyDescent="0.3">
      <c r="A66" s="707" t="s">
        <v>523</v>
      </c>
      <c r="B66" s="544">
        <v>0</v>
      </c>
      <c r="C66" s="544">
        <v>0</v>
      </c>
      <c r="D66" s="544">
        <v>0</v>
      </c>
      <c r="E66" s="544">
        <v>0</v>
      </c>
      <c r="F66" s="544">
        <v>1</v>
      </c>
      <c r="G66" s="573">
        <f t="shared" si="48"/>
        <v>0.2</v>
      </c>
      <c r="H66" s="544">
        <v>6</v>
      </c>
      <c r="I66" s="573">
        <f t="shared" si="49"/>
        <v>1.4</v>
      </c>
      <c r="J66" s="544">
        <v>1</v>
      </c>
      <c r="K66" s="573">
        <f t="shared" si="50"/>
        <v>1.6</v>
      </c>
      <c r="L66" s="544">
        <v>0</v>
      </c>
      <c r="M66" s="573">
        <f t="shared" si="51"/>
        <v>1.6</v>
      </c>
      <c r="N66" s="544">
        <v>2</v>
      </c>
      <c r="O66" s="574">
        <f t="shared" si="52"/>
        <v>2</v>
      </c>
      <c r="P66" s="544">
        <v>0</v>
      </c>
      <c r="Q66" s="574">
        <f t="shared" si="53"/>
        <v>1.8</v>
      </c>
      <c r="R66" s="544">
        <v>0</v>
      </c>
      <c r="S66" s="574">
        <f t="shared" si="54"/>
        <v>0.6</v>
      </c>
      <c r="T66" s="544">
        <v>0</v>
      </c>
      <c r="U66" s="574">
        <f t="shared" si="55"/>
        <v>0.4</v>
      </c>
      <c r="V66" s="544">
        <v>1</v>
      </c>
      <c r="W66" s="574">
        <f t="shared" si="56"/>
        <v>0.6</v>
      </c>
      <c r="X66" s="544">
        <v>5</v>
      </c>
      <c r="Y66" s="574">
        <f t="shared" si="57"/>
        <v>1.2</v>
      </c>
      <c r="Z66" s="544">
        <v>1</v>
      </c>
      <c r="AA66" s="574">
        <f t="shared" si="58"/>
        <v>1.4</v>
      </c>
      <c r="AB66" s="544">
        <v>0</v>
      </c>
      <c r="AC66" s="574">
        <f t="shared" si="59"/>
        <v>1.4</v>
      </c>
      <c r="AD66" s="544">
        <v>0</v>
      </c>
      <c r="AE66" s="574">
        <f t="shared" si="60"/>
        <v>1.4</v>
      </c>
      <c r="AF66" s="544">
        <v>0</v>
      </c>
      <c r="AG66" s="574">
        <f t="shared" si="61"/>
        <v>1.2</v>
      </c>
      <c r="AH66" s="544">
        <v>1</v>
      </c>
      <c r="AI66" s="574">
        <f t="shared" si="62"/>
        <v>0.4</v>
      </c>
      <c r="AJ66" s="544">
        <v>1</v>
      </c>
      <c r="AK66" s="574">
        <f t="shared" si="63"/>
        <v>0.4</v>
      </c>
    </row>
    <row r="67" spans="1:37" ht="18" customHeight="1" x14ac:dyDescent="0.3">
      <c r="A67" s="707" t="s">
        <v>1167</v>
      </c>
      <c r="B67" s="544">
        <v>27</v>
      </c>
      <c r="C67" s="544">
        <v>51</v>
      </c>
      <c r="D67" s="544">
        <v>22</v>
      </c>
      <c r="E67" s="544">
        <v>20</v>
      </c>
      <c r="F67" s="544">
        <v>25</v>
      </c>
      <c r="G67" s="573">
        <f t="shared" si="48"/>
        <v>29</v>
      </c>
      <c r="H67" s="544">
        <v>28</v>
      </c>
      <c r="I67" s="573">
        <f t="shared" si="49"/>
        <v>29.2</v>
      </c>
      <c r="J67" s="544">
        <v>30</v>
      </c>
      <c r="K67" s="573">
        <f t="shared" si="50"/>
        <v>25</v>
      </c>
      <c r="L67" s="544">
        <v>26</v>
      </c>
      <c r="M67" s="573">
        <f t="shared" si="51"/>
        <v>25.8</v>
      </c>
      <c r="N67" s="544">
        <v>36</v>
      </c>
      <c r="O67" s="574">
        <f t="shared" si="52"/>
        <v>29</v>
      </c>
      <c r="P67" s="544">
        <v>44</v>
      </c>
      <c r="Q67" s="574">
        <f t="shared" si="53"/>
        <v>32.799999999999997</v>
      </c>
      <c r="R67" s="544">
        <v>27</v>
      </c>
      <c r="S67" s="574">
        <f t="shared" si="54"/>
        <v>32.6</v>
      </c>
      <c r="T67" s="544">
        <v>18</v>
      </c>
      <c r="U67" s="574">
        <f t="shared" si="55"/>
        <v>30.2</v>
      </c>
      <c r="V67" s="544">
        <v>19</v>
      </c>
      <c r="W67" s="574">
        <f t="shared" si="56"/>
        <v>28.8</v>
      </c>
      <c r="X67" s="544">
        <v>21</v>
      </c>
      <c r="Y67" s="574">
        <f t="shared" si="57"/>
        <v>25.8</v>
      </c>
      <c r="Z67" s="544">
        <v>28</v>
      </c>
      <c r="AA67" s="574">
        <f t="shared" si="58"/>
        <v>22.6</v>
      </c>
      <c r="AB67" s="544">
        <v>19</v>
      </c>
      <c r="AC67" s="574">
        <f t="shared" si="59"/>
        <v>21</v>
      </c>
      <c r="AD67" s="544">
        <v>23</v>
      </c>
      <c r="AE67" s="574">
        <f t="shared" si="60"/>
        <v>22</v>
      </c>
      <c r="AF67" s="544">
        <v>17</v>
      </c>
      <c r="AG67" s="574">
        <f t="shared" si="61"/>
        <v>21.6</v>
      </c>
      <c r="AH67" s="544">
        <v>17</v>
      </c>
      <c r="AI67" s="574">
        <f t="shared" si="62"/>
        <v>20.8</v>
      </c>
      <c r="AJ67" s="544">
        <v>9</v>
      </c>
      <c r="AK67" s="574">
        <f t="shared" si="63"/>
        <v>17</v>
      </c>
    </row>
    <row r="68" spans="1:37" ht="18" customHeight="1" x14ac:dyDescent="0.3">
      <c r="A68" s="707" t="s">
        <v>1168</v>
      </c>
      <c r="B68" s="544">
        <v>8</v>
      </c>
      <c r="C68" s="544">
        <v>8</v>
      </c>
      <c r="D68" s="544">
        <v>37</v>
      </c>
      <c r="E68" s="544">
        <v>16</v>
      </c>
      <c r="F68" s="544">
        <v>11</v>
      </c>
      <c r="G68" s="573">
        <f t="shared" si="48"/>
        <v>16</v>
      </c>
      <c r="H68" s="544">
        <v>24</v>
      </c>
      <c r="I68" s="573">
        <f t="shared" si="49"/>
        <v>19.2</v>
      </c>
      <c r="J68" s="544">
        <v>22</v>
      </c>
      <c r="K68" s="573">
        <f t="shared" si="50"/>
        <v>22</v>
      </c>
      <c r="L68" s="544">
        <v>32</v>
      </c>
      <c r="M68" s="573">
        <f t="shared" si="51"/>
        <v>21</v>
      </c>
      <c r="N68" s="544">
        <v>16</v>
      </c>
      <c r="O68" s="574">
        <f t="shared" si="52"/>
        <v>21</v>
      </c>
      <c r="P68" s="544">
        <v>34</v>
      </c>
      <c r="Q68" s="574">
        <f t="shared" si="53"/>
        <v>25.6</v>
      </c>
      <c r="R68" s="544">
        <v>4</v>
      </c>
      <c r="S68" s="574">
        <f t="shared" si="54"/>
        <v>21.6</v>
      </c>
      <c r="T68" s="544">
        <v>5</v>
      </c>
      <c r="U68" s="574">
        <f t="shared" si="55"/>
        <v>18.2</v>
      </c>
      <c r="V68" s="544">
        <v>3</v>
      </c>
      <c r="W68" s="574">
        <f t="shared" si="56"/>
        <v>12.4</v>
      </c>
      <c r="X68" s="544">
        <v>2</v>
      </c>
      <c r="Y68" s="574">
        <f t="shared" si="57"/>
        <v>9.6</v>
      </c>
      <c r="Z68" s="544">
        <v>1</v>
      </c>
      <c r="AA68" s="574">
        <f t="shared" si="58"/>
        <v>3</v>
      </c>
      <c r="AB68" s="544">
        <v>0</v>
      </c>
      <c r="AC68" s="574">
        <f t="shared" si="59"/>
        <v>2.2000000000000002</v>
      </c>
      <c r="AD68" s="544">
        <v>0</v>
      </c>
      <c r="AE68" s="574">
        <f t="shared" si="60"/>
        <v>1.2</v>
      </c>
      <c r="AF68" s="544">
        <v>0</v>
      </c>
      <c r="AG68" s="574">
        <f t="shared" si="61"/>
        <v>0.6</v>
      </c>
      <c r="AH68" s="544">
        <v>0</v>
      </c>
      <c r="AI68" s="574">
        <f t="shared" si="62"/>
        <v>0.2</v>
      </c>
      <c r="AJ68" s="544">
        <v>0</v>
      </c>
      <c r="AK68" s="574">
        <f t="shared" si="63"/>
        <v>0</v>
      </c>
    </row>
    <row r="69" spans="1:37" ht="18" customHeight="1" x14ac:dyDescent="0.3">
      <c r="A69" s="552" t="s">
        <v>873</v>
      </c>
      <c r="B69" s="544">
        <v>0</v>
      </c>
      <c r="C69" s="544">
        <v>0</v>
      </c>
      <c r="D69" s="544">
        <v>0</v>
      </c>
      <c r="E69" s="544">
        <v>0</v>
      </c>
      <c r="F69" s="544">
        <v>0</v>
      </c>
      <c r="G69" s="573">
        <f t="shared" si="48"/>
        <v>0</v>
      </c>
      <c r="H69" s="544">
        <v>0</v>
      </c>
      <c r="I69" s="573">
        <f t="shared" si="49"/>
        <v>0</v>
      </c>
      <c r="J69" s="544">
        <v>0</v>
      </c>
      <c r="K69" s="573">
        <f t="shared" si="50"/>
        <v>0</v>
      </c>
      <c r="L69" s="544">
        <v>0</v>
      </c>
      <c r="M69" s="573">
        <f t="shared" si="51"/>
        <v>0</v>
      </c>
      <c r="N69" s="544">
        <v>0</v>
      </c>
      <c r="O69" s="574">
        <f t="shared" si="52"/>
        <v>0</v>
      </c>
      <c r="P69" s="544">
        <v>0</v>
      </c>
      <c r="Q69" s="574">
        <f t="shared" si="53"/>
        <v>0</v>
      </c>
      <c r="R69" s="544">
        <v>0</v>
      </c>
      <c r="S69" s="574">
        <f t="shared" si="54"/>
        <v>0</v>
      </c>
      <c r="T69" s="544">
        <v>0</v>
      </c>
      <c r="U69" s="574">
        <f t="shared" si="55"/>
        <v>0</v>
      </c>
      <c r="V69" s="544">
        <v>10</v>
      </c>
      <c r="W69" s="574">
        <f t="shared" si="56"/>
        <v>2</v>
      </c>
      <c r="X69" s="544">
        <v>12</v>
      </c>
      <c r="Y69" s="574">
        <f t="shared" si="57"/>
        <v>4.4000000000000004</v>
      </c>
      <c r="Z69" s="544">
        <v>6</v>
      </c>
      <c r="AA69" s="574">
        <f t="shared" si="58"/>
        <v>5.6</v>
      </c>
      <c r="AB69" s="544">
        <v>5</v>
      </c>
      <c r="AC69" s="574">
        <f t="shared" si="59"/>
        <v>6.6</v>
      </c>
      <c r="AD69" s="544">
        <v>9</v>
      </c>
      <c r="AE69" s="574">
        <f t="shared" si="60"/>
        <v>8.4</v>
      </c>
      <c r="AF69" s="544">
        <v>12</v>
      </c>
      <c r="AG69" s="574">
        <f t="shared" si="61"/>
        <v>8.8000000000000007</v>
      </c>
      <c r="AH69" s="544">
        <v>16</v>
      </c>
      <c r="AI69" s="574">
        <f t="shared" si="62"/>
        <v>9.6</v>
      </c>
      <c r="AJ69" s="544">
        <v>6</v>
      </c>
      <c r="AK69" s="574">
        <f t="shared" si="63"/>
        <v>9.6</v>
      </c>
    </row>
    <row r="70" spans="1:37" ht="18" customHeight="1" x14ac:dyDescent="0.3">
      <c r="A70" s="707" t="s">
        <v>1169</v>
      </c>
      <c r="B70" s="544">
        <v>7</v>
      </c>
      <c r="C70" s="544">
        <v>19</v>
      </c>
      <c r="D70" s="544">
        <v>13</v>
      </c>
      <c r="E70" s="544">
        <v>6</v>
      </c>
      <c r="F70" s="544">
        <v>4</v>
      </c>
      <c r="G70" s="573">
        <f t="shared" si="48"/>
        <v>9.8000000000000007</v>
      </c>
      <c r="H70" s="544">
        <v>7</v>
      </c>
      <c r="I70" s="573">
        <f t="shared" si="49"/>
        <v>9.8000000000000007</v>
      </c>
      <c r="J70" s="544">
        <v>1</v>
      </c>
      <c r="K70" s="573">
        <f t="shared" si="50"/>
        <v>6.2</v>
      </c>
      <c r="L70" s="544">
        <v>3</v>
      </c>
      <c r="M70" s="573">
        <f t="shared" si="51"/>
        <v>4.2</v>
      </c>
      <c r="N70" s="544">
        <v>13</v>
      </c>
      <c r="O70" s="574">
        <f t="shared" si="52"/>
        <v>5.6</v>
      </c>
      <c r="P70" s="544">
        <v>9</v>
      </c>
      <c r="Q70" s="574">
        <f t="shared" si="53"/>
        <v>6.6</v>
      </c>
      <c r="R70" s="544">
        <v>8</v>
      </c>
      <c r="S70" s="574">
        <f t="shared" si="54"/>
        <v>6.8</v>
      </c>
      <c r="T70" s="544">
        <v>6</v>
      </c>
      <c r="U70" s="574">
        <f t="shared" si="55"/>
        <v>7.8</v>
      </c>
      <c r="V70" s="544">
        <v>14</v>
      </c>
      <c r="W70" s="574">
        <f t="shared" si="56"/>
        <v>10</v>
      </c>
      <c r="X70" s="544">
        <v>9</v>
      </c>
      <c r="Y70" s="574">
        <f t="shared" si="57"/>
        <v>9.1999999999999993</v>
      </c>
      <c r="Z70" s="544">
        <v>8</v>
      </c>
      <c r="AA70" s="574">
        <f t="shared" si="58"/>
        <v>9</v>
      </c>
      <c r="AB70" s="544">
        <v>11</v>
      </c>
      <c r="AC70" s="574">
        <f t="shared" si="59"/>
        <v>9.6</v>
      </c>
      <c r="AD70" s="544">
        <v>16</v>
      </c>
      <c r="AE70" s="574">
        <f t="shared" si="60"/>
        <v>11.6</v>
      </c>
      <c r="AF70" s="544">
        <v>8</v>
      </c>
      <c r="AG70" s="574">
        <f t="shared" si="61"/>
        <v>10.4</v>
      </c>
      <c r="AH70" s="544">
        <v>12</v>
      </c>
      <c r="AI70" s="574">
        <f t="shared" si="62"/>
        <v>11</v>
      </c>
      <c r="AJ70" s="544">
        <v>9</v>
      </c>
      <c r="AK70" s="574">
        <f t="shared" si="63"/>
        <v>11.2</v>
      </c>
    </row>
    <row r="71" spans="1:37" ht="18" customHeight="1" x14ac:dyDescent="0.3">
      <c r="A71" s="707" t="s">
        <v>1637</v>
      </c>
      <c r="B71" s="544">
        <v>0</v>
      </c>
      <c r="C71" s="544">
        <v>0</v>
      </c>
      <c r="D71" s="544">
        <v>0</v>
      </c>
      <c r="E71" s="544">
        <v>0</v>
      </c>
      <c r="F71" s="544">
        <v>0</v>
      </c>
      <c r="G71" s="573">
        <f t="shared" si="48"/>
        <v>0</v>
      </c>
      <c r="H71" s="544">
        <v>0</v>
      </c>
      <c r="I71" s="573">
        <f t="shared" si="49"/>
        <v>0</v>
      </c>
      <c r="J71" s="544">
        <v>0</v>
      </c>
      <c r="K71" s="573">
        <f t="shared" si="50"/>
        <v>0</v>
      </c>
      <c r="L71" s="544">
        <v>0</v>
      </c>
      <c r="M71" s="573">
        <f t="shared" si="51"/>
        <v>0</v>
      </c>
      <c r="N71" s="544">
        <v>0</v>
      </c>
      <c r="O71" s="574">
        <f t="shared" si="52"/>
        <v>0</v>
      </c>
      <c r="P71" s="544">
        <v>0</v>
      </c>
      <c r="Q71" s="574">
        <f t="shared" si="53"/>
        <v>0</v>
      </c>
      <c r="R71" s="544">
        <v>0</v>
      </c>
      <c r="S71" s="574">
        <f t="shared" si="54"/>
        <v>0</v>
      </c>
      <c r="T71" s="544">
        <v>0</v>
      </c>
      <c r="U71" s="574">
        <f t="shared" si="55"/>
        <v>0</v>
      </c>
      <c r="V71" s="544">
        <v>0</v>
      </c>
      <c r="W71" s="574">
        <f t="shared" si="56"/>
        <v>0</v>
      </c>
      <c r="X71" s="544">
        <v>0</v>
      </c>
      <c r="Y71" s="574">
        <f t="shared" si="57"/>
        <v>0</v>
      </c>
      <c r="Z71" s="544">
        <v>0</v>
      </c>
      <c r="AA71" s="574">
        <f t="shared" si="58"/>
        <v>0</v>
      </c>
      <c r="AB71" s="544">
        <v>0</v>
      </c>
      <c r="AC71" s="574">
        <f t="shared" si="59"/>
        <v>0</v>
      </c>
      <c r="AD71" s="544">
        <v>0</v>
      </c>
      <c r="AE71" s="574">
        <f t="shared" si="60"/>
        <v>0</v>
      </c>
      <c r="AF71" s="544">
        <v>4</v>
      </c>
      <c r="AG71" s="574">
        <f t="shared" si="61"/>
        <v>0.8</v>
      </c>
      <c r="AH71" s="544">
        <v>5</v>
      </c>
      <c r="AI71" s="574">
        <f t="shared" si="62"/>
        <v>1.8</v>
      </c>
      <c r="AJ71" s="544">
        <v>6</v>
      </c>
      <c r="AK71" s="574">
        <f t="shared" si="63"/>
        <v>3</v>
      </c>
    </row>
    <row r="72" spans="1:37" ht="18" customHeight="1" x14ac:dyDescent="0.3">
      <c r="A72" s="708" t="s">
        <v>1015</v>
      </c>
      <c r="B72" s="572">
        <f>SUM(B61:B71)</f>
        <v>86</v>
      </c>
      <c r="C72" s="572">
        <f>SUM(C61:C71)</f>
        <v>114</v>
      </c>
      <c r="D72" s="572">
        <f>SUM(D61:D71)</f>
        <v>101</v>
      </c>
      <c r="E72" s="572">
        <f>SUM(E61:E71)</f>
        <v>67</v>
      </c>
      <c r="F72" s="572">
        <f>SUM(F61:F71)</f>
        <v>57</v>
      </c>
      <c r="G72" s="573">
        <f t="shared" si="48"/>
        <v>85</v>
      </c>
      <c r="H72" s="572">
        <f>SUM(H61:H71)</f>
        <v>76</v>
      </c>
      <c r="I72" s="573">
        <f t="shared" si="49"/>
        <v>83</v>
      </c>
      <c r="J72" s="572">
        <f>SUM(J61:J71)</f>
        <v>80</v>
      </c>
      <c r="K72" s="573">
        <f t="shared" si="50"/>
        <v>76.2</v>
      </c>
      <c r="L72" s="572">
        <f>SUM(L61:L71)</f>
        <v>88</v>
      </c>
      <c r="M72" s="573">
        <f t="shared" si="51"/>
        <v>73.599999999999994</v>
      </c>
      <c r="N72" s="572">
        <f>SUM(N61:N71)</f>
        <v>99</v>
      </c>
      <c r="O72" s="574">
        <f t="shared" si="52"/>
        <v>80</v>
      </c>
      <c r="P72" s="572">
        <f>SUM(P61:P71)</f>
        <v>122</v>
      </c>
      <c r="Q72" s="574">
        <f t="shared" si="53"/>
        <v>93</v>
      </c>
      <c r="R72" s="572">
        <f>SUM(R61:R71)</f>
        <v>68</v>
      </c>
      <c r="S72" s="574">
        <f t="shared" si="54"/>
        <v>91.4</v>
      </c>
      <c r="T72" s="572">
        <f>SUM(T61:T71)</f>
        <v>61</v>
      </c>
      <c r="U72" s="574">
        <f t="shared" si="55"/>
        <v>87.6</v>
      </c>
      <c r="V72" s="572">
        <f>SUM(V61:V71)</f>
        <v>83</v>
      </c>
      <c r="W72" s="574">
        <f t="shared" si="56"/>
        <v>86.6</v>
      </c>
      <c r="X72" s="572">
        <f>SUM(X61:X71)</f>
        <v>94</v>
      </c>
      <c r="Y72" s="574">
        <f t="shared" si="57"/>
        <v>85.6</v>
      </c>
      <c r="Z72" s="572">
        <f>SUM(Z61:Z71)</f>
        <v>72</v>
      </c>
      <c r="AA72" s="574">
        <f t="shared" si="58"/>
        <v>75.599999999999994</v>
      </c>
      <c r="AB72" s="572">
        <f>SUM(AB61:AB71)</f>
        <v>72</v>
      </c>
      <c r="AC72" s="574">
        <f t="shared" si="59"/>
        <v>76.400000000000006</v>
      </c>
      <c r="AD72" s="572">
        <f>SUM(AD61:AD71)</f>
        <v>70</v>
      </c>
      <c r="AE72" s="574">
        <f t="shared" si="60"/>
        <v>78.2</v>
      </c>
      <c r="AF72" s="572">
        <f>SUM(AF61:AF71)</f>
        <v>80</v>
      </c>
      <c r="AG72" s="574">
        <f t="shared" si="61"/>
        <v>77.599999999999994</v>
      </c>
      <c r="AH72" s="572">
        <f>SUM(AH61:AH71)</f>
        <v>72</v>
      </c>
      <c r="AI72" s="574">
        <f t="shared" si="62"/>
        <v>73.2</v>
      </c>
      <c r="AJ72" s="572">
        <f>SUM(AJ61:AJ71)</f>
        <v>58</v>
      </c>
      <c r="AK72" s="574">
        <f t="shared" si="63"/>
        <v>70.400000000000006</v>
      </c>
    </row>
    <row r="73" spans="1:37" ht="18" customHeight="1" x14ac:dyDescent="0.3">
      <c r="A73" s="864" t="s">
        <v>425</v>
      </c>
      <c r="B73" s="865"/>
      <c r="C73" s="865"/>
      <c r="D73" s="865"/>
      <c r="E73" s="865"/>
      <c r="F73" s="866"/>
      <c r="G73" s="866"/>
      <c r="H73" s="866"/>
      <c r="I73" s="866"/>
      <c r="J73" s="866"/>
      <c r="K73" s="866"/>
      <c r="L73" s="866"/>
      <c r="M73" s="866"/>
      <c r="N73" s="866"/>
      <c r="O73" s="867"/>
      <c r="P73" s="866"/>
      <c r="Q73" s="867"/>
      <c r="R73" s="866"/>
      <c r="S73" s="867"/>
      <c r="T73" s="866"/>
      <c r="U73" s="867"/>
      <c r="V73" s="866"/>
      <c r="W73" s="867"/>
      <c r="X73" s="866"/>
      <c r="Y73" s="867"/>
      <c r="Z73" s="866"/>
      <c r="AA73" s="867"/>
      <c r="AB73" s="866"/>
      <c r="AC73" s="867"/>
      <c r="AD73" s="866"/>
      <c r="AE73" s="867"/>
      <c r="AF73" s="866"/>
      <c r="AG73" s="867"/>
      <c r="AH73" s="866"/>
      <c r="AI73" s="867"/>
      <c r="AJ73" s="866"/>
      <c r="AK73" s="867"/>
    </row>
    <row r="74" spans="1:37" ht="18" customHeight="1" x14ac:dyDescent="0.3">
      <c r="A74" s="707" t="s">
        <v>611</v>
      </c>
      <c r="B74" s="544">
        <v>0</v>
      </c>
      <c r="C74" s="544">
        <v>0</v>
      </c>
      <c r="D74" s="544">
        <v>0</v>
      </c>
      <c r="E74" s="544">
        <v>0</v>
      </c>
      <c r="F74" s="544">
        <v>0</v>
      </c>
      <c r="G74" s="573">
        <f t="shared" ref="G74:G80" si="64">AVERAGE(B74:F74)</f>
        <v>0</v>
      </c>
      <c r="H74" s="544">
        <v>0</v>
      </c>
      <c r="I74" s="573">
        <f t="shared" ref="I74:I80" si="65">(+H74+F74+E74+D74+C74)/5</f>
        <v>0</v>
      </c>
      <c r="J74" s="544">
        <v>1</v>
      </c>
      <c r="K74" s="573">
        <f t="shared" ref="K74:K80" si="66">(+J74+H74+F74+E74+D74)/5</f>
        <v>0.2</v>
      </c>
      <c r="L74" s="544">
        <v>1</v>
      </c>
      <c r="M74" s="573">
        <f t="shared" ref="M74:M80" si="67">(L74+J74+H74+F74+E74)/5</f>
        <v>0.4</v>
      </c>
      <c r="N74" s="544">
        <v>3</v>
      </c>
      <c r="O74" s="574">
        <f t="shared" ref="O74:O80" si="68">(+N74+L74+J74+H74+F74)/5</f>
        <v>1</v>
      </c>
      <c r="P74" s="544">
        <v>0</v>
      </c>
      <c r="Q74" s="574">
        <f t="shared" ref="Q74:Q80" si="69">(P74+N74+L74+J74+H74)/5</f>
        <v>1</v>
      </c>
      <c r="R74" s="544">
        <v>3</v>
      </c>
      <c r="S74" s="574">
        <f t="shared" ref="S74:S80" si="70">(R74+P74+N74+L74+J74)/5</f>
        <v>1.6</v>
      </c>
      <c r="T74" s="544">
        <v>1</v>
      </c>
      <c r="U74" s="574">
        <f t="shared" ref="U74:U80" si="71">(T74+R74+P74+N74+L74)/5</f>
        <v>1.6</v>
      </c>
      <c r="V74" s="544">
        <v>2</v>
      </c>
      <c r="W74" s="574">
        <f t="shared" ref="W74:W80" si="72">(V74+T74+R74+P74+N74)/5</f>
        <v>1.8</v>
      </c>
      <c r="X74" s="544">
        <v>2</v>
      </c>
      <c r="Y74" s="574">
        <f t="shared" ref="Y74:Y80" si="73">(X74+V74+T74+R74+P74)/5</f>
        <v>1.6</v>
      </c>
      <c r="Z74" s="544">
        <v>2</v>
      </c>
      <c r="AA74" s="574">
        <f t="shared" ref="AA74:AA80" si="74">(Z74+X74+V74+T74+R74)/5</f>
        <v>2</v>
      </c>
      <c r="AB74" s="544">
        <v>1</v>
      </c>
      <c r="AC74" s="574">
        <f t="shared" ref="AC74:AC80" si="75">(AB74+Z74+X74+V74+T74)/5</f>
        <v>1.6</v>
      </c>
      <c r="AD74" s="544">
        <v>3</v>
      </c>
      <c r="AE74" s="574">
        <f t="shared" ref="AE74:AE80" si="76">(AD74+AB74+Z74+X74+V74)/5</f>
        <v>2</v>
      </c>
      <c r="AF74" s="544">
        <v>3</v>
      </c>
      <c r="AG74" s="574">
        <f t="shared" ref="AG74:AG80" si="77">(AF74+AD74+AB74+Z74+X74)/5</f>
        <v>2.2000000000000002</v>
      </c>
      <c r="AH74" s="544">
        <v>6</v>
      </c>
      <c r="AI74" s="574">
        <f t="shared" ref="AI74:AI80" si="78">(AH74+AF74+AD74+AB74+Z74)/5</f>
        <v>3</v>
      </c>
      <c r="AJ74" s="544">
        <v>0</v>
      </c>
      <c r="AK74" s="574">
        <f t="shared" ref="AK74:AK80" si="79">(AJ74+AH74+AF74+AD74+AB74)/5</f>
        <v>2.6</v>
      </c>
    </row>
    <row r="75" spans="1:37" ht="18" customHeight="1" x14ac:dyDescent="0.3">
      <c r="A75" s="707" t="s">
        <v>1196</v>
      </c>
      <c r="B75" s="544">
        <v>0</v>
      </c>
      <c r="C75" s="544">
        <v>0</v>
      </c>
      <c r="D75" s="544">
        <v>0</v>
      </c>
      <c r="E75" s="544">
        <v>0</v>
      </c>
      <c r="F75" s="544">
        <v>2</v>
      </c>
      <c r="G75" s="573">
        <f t="shared" si="64"/>
        <v>0.4</v>
      </c>
      <c r="H75" s="544">
        <v>2</v>
      </c>
      <c r="I75" s="573">
        <f t="shared" si="65"/>
        <v>0.8</v>
      </c>
      <c r="J75" s="544">
        <v>21</v>
      </c>
      <c r="K75" s="573">
        <f t="shared" si="66"/>
        <v>5</v>
      </c>
      <c r="L75" s="544">
        <v>16</v>
      </c>
      <c r="M75" s="573">
        <f t="shared" si="67"/>
        <v>8.1999999999999993</v>
      </c>
      <c r="N75" s="544">
        <v>19</v>
      </c>
      <c r="O75" s="574">
        <f t="shared" si="68"/>
        <v>12</v>
      </c>
      <c r="P75" s="544">
        <v>24</v>
      </c>
      <c r="Q75" s="574">
        <f t="shared" si="69"/>
        <v>16.399999999999999</v>
      </c>
      <c r="R75" s="544">
        <v>30</v>
      </c>
      <c r="S75" s="574">
        <f t="shared" si="70"/>
        <v>22</v>
      </c>
      <c r="T75" s="544">
        <v>31</v>
      </c>
      <c r="U75" s="574">
        <f t="shared" si="71"/>
        <v>24</v>
      </c>
      <c r="V75" s="544">
        <v>26</v>
      </c>
      <c r="W75" s="574">
        <f t="shared" si="72"/>
        <v>26</v>
      </c>
      <c r="X75" s="544">
        <v>18</v>
      </c>
      <c r="Y75" s="574">
        <f t="shared" si="73"/>
        <v>25.8</v>
      </c>
      <c r="Z75" s="544">
        <v>37</v>
      </c>
      <c r="AA75" s="574">
        <f t="shared" si="74"/>
        <v>28.4</v>
      </c>
      <c r="AB75" s="544">
        <v>41</v>
      </c>
      <c r="AC75" s="574">
        <f t="shared" si="75"/>
        <v>30.6</v>
      </c>
      <c r="AD75" s="544">
        <v>29</v>
      </c>
      <c r="AE75" s="574">
        <f t="shared" si="76"/>
        <v>30.2</v>
      </c>
      <c r="AF75" s="544">
        <v>56</v>
      </c>
      <c r="AG75" s="574">
        <f t="shared" si="77"/>
        <v>36.200000000000003</v>
      </c>
      <c r="AH75" s="544">
        <v>35</v>
      </c>
      <c r="AI75" s="574">
        <f t="shared" si="78"/>
        <v>39.6</v>
      </c>
      <c r="AJ75" s="544">
        <v>47</v>
      </c>
      <c r="AK75" s="574">
        <f t="shared" si="79"/>
        <v>41.6</v>
      </c>
    </row>
    <row r="76" spans="1:37" ht="18" customHeight="1" x14ac:dyDescent="0.3">
      <c r="A76" s="707" t="s">
        <v>1197</v>
      </c>
      <c r="B76" s="544">
        <v>17</v>
      </c>
      <c r="C76" s="544">
        <v>18</v>
      </c>
      <c r="D76" s="544">
        <v>20</v>
      </c>
      <c r="E76" s="544">
        <v>18</v>
      </c>
      <c r="F76" s="544">
        <v>2</v>
      </c>
      <c r="G76" s="573">
        <f t="shared" si="64"/>
        <v>15</v>
      </c>
      <c r="H76" s="544">
        <v>1</v>
      </c>
      <c r="I76" s="573">
        <f t="shared" si="65"/>
        <v>11.8</v>
      </c>
      <c r="J76" s="544">
        <v>1</v>
      </c>
      <c r="K76" s="573">
        <f t="shared" si="66"/>
        <v>8.4</v>
      </c>
      <c r="L76" s="544">
        <v>0</v>
      </c>
      <c r="M76" s="573">
        <f t="shared" si="67"/>
        <v>4.4000000000000004</v>
      </c>
      <c r="N76" s="544">
        <v>0</v>
      </c>
      <c r="O76" s="574">
        <f t="shared" si="68"/>
        <v>0.8</v>
      </c>
      <c r="P76" s="544">
        <v>0</v>
      </c>
      <c r="Q76" s="574">
        <f t="shared" si="69"/>
        <v>0.4</v>
      </c>
      <c r="R76" s="544">
        <v>0</v>
      </c>
      <c r="S76" s="574">
        <f t="shared" si="70"/>
        <v>0.2</v>
      </c>
      <c r="T76" s="544">
        <v>0</v>
      </c>
      <c r="U76" s="574">
        <f t="shared" si="71"/>
        <v>0</v>
      </c>
      <c r="V76" s="544">
        <v>0</v>
      </c>
      <c r="W76" s="574">
        <f t="shared" si="72"/>
        <v>0</v>
      </c>
      <c r="X76" s="544">
        <v>0</v>
      </c>
      <c r="Y76" s="574">
        <f t="shared" si="73"/>
        <v>0</v>
      </c>
      <c r="Z76" s="544">
        <v>0</v>
      </c>
      <c r="AA76" s="574">
        <f t="shared" si="74"/>
        <v>0</v>
      </c>
      <c r="AB76" s="544">
        <v>0</v>
      </c>
      <c r="AC76" s="574">
        <f t="shared" si="75"/>
        <v>0</v>
      </c>
      <c r="AD76" s="544">
        <v>0</v>
      </c>
      <c r="AE76" s="574">
        <f t="shared" si="76"/>
        <v>0</v>
      </c>
      <c r="AF76" s="544">
        <v>0</v>
      </c>
      <c r="AG76" s="574">
        <f t="shared" si="77"/>
        <v>0</v>
      </c>
      <c r="AH76" s="544">
        <v>0</v>
      </c>
      <c r="AI76" s="574">
        <f t="shared" si="78"/>
        <v>0</v>
      </c>
      <c r="AJ76" s="544">
        <v>0</v>
      </c>
      <c r="AK76" s="574">
        <f t="shared" si="79"/>
        <v>0</v>
      </c>
    </row>
    <row r="77" spans="1:37" ht="18" customHeight="1" x14ac:dyDescent="0.3">
      <c r="A77" s="707" t="s">
        <v>1147</v>
      </c>
      <c r="B77" s="544">
        <v>0</v>
      </c>
      <c r="C77" s="544">
        <v>0</v>
      </c>
      <c r="D77" s="544">
        <v>0</v>
      </c>
      <c r="E77" s="544">
        <v>0</v>
      </c>
      <c r="F77" s="544">
        <v>2</v>
      </c>
      <c r="G77" s="573">
        <f t="shared" si="64"/>
        <v>0.4</v>
      </c>
      <c r="H77" s="544">
        <v>1</v>
      </c>
      <c r="I77" s="573">
        <f t="shared" si="65"/>
        <v>0.6</v>
      </c>
      <c r="J77" s="544">
        <v>2</v>
      </c>
      <c r="K77" s="573">
        <f t="shared" si="66"/>
        <v>1</v>
      </c>
      <c r="L77" s="544">
        <v>0</v>
      </c>
      <c r="M77" s="573">
        <f t="shared" si="67"/>
        <v>1</v>
      </c>
      <c r="N77" s="544">
        <v>0</v>
      </c>
      <c r="O77" s="574">
        <f t="shared" si="68"/>
        <v>1</v>
      </c>
      <c r="P77" s="544">
        <v>0</v>
      </c>
      <c r="Q77" s="574">
        <f t="shared" si="69"/>
        <v>0.6</v>
      </c>
      <c r="R77" s="544">
        <v>0</v>
      </c>
      <c r="S77" s="574">
        <f t="shared" si="70"/>
        <v>0.4</v>
      </c>
      <c r="T77" s="544">
        <v>0</v>
      </c>
      <c r="U77" s="574">
        <f t="shared" si="71"/>
        <v>0</v>
      </c>
      <c r="V77" s="544">
        <v>0</v>
      </c>
      <c r="W77" s="574">
        <f t="shared" si="72"/>
        <v>0</v>
      </c>
      <c r="X77" s="544">
        <v>0</v>
      </c>
      <c r="Y77" s="574">
        <f t="shared" si="73"/>
        <v>0</v>
      </c>
      <c r="Z77" s="544">
        <v>0</v>
      </c>
      <c r="AA77" s="574">
        <f t="shared" si="74"/>
        <v>0</v>
      </c>
      <c r="AB77" s="544">
        <v>0</v>
      </c>
      <c r="AC77" s="574">
        <f t="shared" si="75"/>
        <v>0</v>
      </c>
      <c r="AD77" s="544">
        <v>0</v>
      </c>
      <c r="AE77" s="574">
        <f t="shared" si="76"/>
        <v>0</v>
      </c>
      <c r="AF77" s="544">
        <v>0</v>
      </c>
      <c r="AG77" s="574">
        <f t="shared" si="77"/>
        <v>0</v>
      </c>
      <c r="AH77" s="544">
        <v>0</v>
      </c>
      <c r="AI77" s="574">
        <f t="shared" si="78"/>
        <v>0</v>
      </c>
      <c r="AJ77" s="544">
        <v>0</v>
      </c>
      <c r="AK77" s="574">
        <f t="shared" si="79"/>
        <v>0</v>
      </c>
    </row>
    <row r="78" spans="1:37" ht="18" customHeight="1" x14ac:dyDescent="0.3">
      <c r="A78" s="707" t="s">
        <v>1148</v>
      </c>
      <c r="B78" s="544">
        <v>0</v>
      </c>
      <c r="C78" s="544">
        <v>0</v>
      </c>
      <c r="D78" s="544">
        <v>0</v>
      </c>
      <c r="E78" s="544">
        <v>0</v>
      </c>
      <c r="F78" s="544">
        <v>18</v>
      </c>
      <c r="G78" s="573">
        <f t="shared" si="64"/>
        <v>3.6</v>
      </c>
      <c r="H78" s="544">
        <v>16</v>
      </c>
      <c r="I78" s="573">
        <f t="shared" si="65"/>
        <v>6.8</v>
      </c>
      <c r="J78" s="544">
        <v>5</v>
      </c>
      <c r="K78" s="573">
        <f t="shared" si="66"/>
        <v>7.8</v>
      </c>
      <c r="L78" s="544">
        <v>0</v>
      </c>
      <c r="M78" s="573">
        <f t="shared" si="67"/>
        <v>7.8</v>
      </c>
      <c r="N78" s="544">
        <v>0</v>
      </c>
      <c r="O78" s="574">
        <f t="shared" si="68"/>
        <v>7.8</v>
      </c>
      <c r="P78" s="544">
        <v>0</v>
      </c>
      <c r="Q78" s="574">
        <f t="shared" si="69"/>
        <v>4.2</v>
      </c>
      <c r="R78" s="544">
        <v>0</v>
      </c>
      <c r="S78" s="574">
        <f t="shared" si="70"/>
        <v>1</v>
      </c>
      <c r="T78" s="544">
        <v>0</v>
      </c>
      <c r="U78" s="574">
        <f t="shared" si="71"/>
        <v>0</v>
      </c>
      <c r="V78" s="544">
        <v>0</v>
      </c>
      <c r="W78" s="574">
        <f t="shared" si="72"/>
        <v>0</v>
      </c>
      <c r="X78" s="544">
        <v>0</v>
      </c>
      <c r="Y78" s="574">
        <f t="shared" si="73"/>
        <v>0</v>
      </c>
      <c r="Z78" s="544">
        <v>0</v>
      </c>
      <c r="AA78" s="574">
        <f t="shared" si="74"/>
        <v>0</v>
      </c>
      <c r="AB78" s="544">
        <v>0</v>
      </c>
      <c r="AC78" s="574">
        <f t="shared" si="75"/>
        <v>0</v>
      </c>
      <c r="AD78" s="544">
        <v>0</v>
      </c>
      <c r="AE78" s="574">
        <f t="shared" si="76"/>
        <v>0</v>
      </c>
      <c r="AF78" s="544">
        <v>0</v>
      </c>
      <c r="AG78" s="574">
        <f t="shared" si="77"/>
        <v>0</v>
      </c>
      <c r="AH78" s="544">
        <v>0</v>
      </c>
      <c r="AI78" s="574">
        <f t="shared" si="78"/>
        <v>0</v>
      </c>
      <c r="AJ78" s="544">
        <v>0</v>
      </c>
      <c r="AK78" s="574">
        <f t="shared" si="79"/>
        <v>0</v>
      </c>
    </row>
    <row r="79" spans="1:37" ht="18" customHeight="1" x14ac:dyDescent="0.3">
      <c r="A79" s="707" t="s">
        <v>1150</v>
      </c>
      <c r="B79" s="544">
        <v>8</v>
      </c>
      <c r="C79" s="544">
        <v>9</v>
      </c>
      <c r="D79" s="544">
        <v>14</v>
      </c>
      <c r="E79" s="544">
        <v>11</v>
      </c>
      <c r="F79" s="544">
        <v>13</v>
      </c>
      <c r="G79" s="573">
        <f t="shared" si="64"/>
        <v>11</v>
      </c>
      <c r="H79" s="544">
        <v>9</v>
      </c>
      <c r="I79" s="573">
        <f t="shared" si="65"/>
        <v>11.2</v>
      </c>
      <c r="J79" s="544">
        <v>5</v>
      </c>
      <c r="K79" s="573">
        <f t="shared" si="66"/>
        <v>10.4</v>
      </c>
      <c r="L79" s="544">
        <v>10</v>
      </c>
      <c r="M79" s="573">
        <f t="shared" si="67"/>
        <v>9.6</v>
      </c>
      <c r="N79" s="544">
        <v>6</v>
      </c>
      <c r="O79" s="574">
        <f t="shared" si="68"/>
        <v>8.6</v>
      </c>
      <c r="P79" s="544">
        <v>4</v>
      </c>
      <c r="Q79" s="574">
        <f t="shared" si="69"/>
        <v>6.8</v>
      </c>
      <c r="R79" s="544">
        <v>8</v>
      </c>
      <c r="S79" s="574">
        <f t="shared" si="70"/>
        <v>6.6</v>
      </c>
      <c r="T79" s="544">
        <v>5</v>
      </c>
      <c r="U79" s="574">
        <f t="shared" si="71"/>
        <v>6.6</v>
      </c>
      <c r="V79" s="544">
        <v>4</v>
      </c>
      <c r="W79" s="574">
        <f t="shared" si="72"/>
        <v>5.4</v>
      </c>
      <c r="X79" s="544">
        <v>4</v>
      </c>
      <c r="Y79" s="574">
        <f t="shared" si="73"/>
        <v>5</v>
      </c>
      <c r="Z79" s="544">
        <v>7</v>
      </c>
      <c r="AA79" s="574">
        <f t="shared" si="74"/>
        <v>5.6</v>
      </c>
      <c r="AB79" s="544">
        <v>9</v>
      </c>
      <c r="AC79" s="574">
        <f t="shared" si="75"/>
        <v>5.8</v>
      </c>
      <c r="AD79" s="544">
        <v>4</v>
      </c>
      <c r="AE79" s="574">
        <f t="shared" si="76"/>
        <v>5.6</v>
      </c>
      <c r="AF79" s="544">
        <v>7</v>
      </c>
      <c r="AG79" s="574">
        <f t="shared" si="77"/>
        <v>6.2</v>
      </c>
      <c r="AH79" s="544">
        <v>8</v>
      </c>
      <c r="AI79" s="574">
        <f t="shared" si="78"/>
        <v>7</v>
      </c>
      <c r="AJ79" s="544">
        <v>5</v>
      </c>
      <c r="AK79" s="574">
        <f t="shared" si="79"/>
        <v>6.6</v>
      </c>
    </row>
    <row r="80" spans="1:37" ht="18" customHeight="1" x14ac:dyDescent="0.3">
      <c r="A80" s="708" t="s">
        <v>1015</v>
      </c>
      <c r="B80" s="572">
        <f>SUM(B74:B79)</f>
        <v>25</v>
      </c>
      <c r="C80" s="572">
        <f>SUM(C74:C79)</f>
        <v>27</v>
      </c>
      <c r="D80" s="572">
        <f>SUM(D74:D79)</f>
        <v>34</v>
      </c>
      <c r="E80" s="572">
        <f>SUM(E74:E79)</f>
        <v>29</v>
      </c>
      <c r="F80" s="572">
        <f>SUM(F74:F79)</f>
        <v>37</v>
      </c>
      <c r="G80" s="573">
        <f t="shared" si="64"/>
        <v>30.4</v>
      </c>
      <c r="H80" s="572">
        <f>SUM(H74:H79)</f>
        <v>29</v>
      </c>
      <c r="I80" s="573">
        <f t="shared" si="65"/>
        <v>31.2</v>
      </c>
      <c r="J80" s="572">
        <f>SUM(J74:J79)</f>
        <v>35</v>
      </c>
      <c r="K80" s="573">
        <f t="shared" si="66"/>
        <v>32.799999999999997</v>
      </c>
      <c r="L80" s="572">
        <f>SUM(L74:L79)</f>
        <v>27</v>
      </c>
      <c r="M80" s="573">
        <f t="shared" si="67"/>
        <v>31.4</v>
      </c>
      <c r="N80" s="572">
        <f>SUM(N74:N79)</f>
        <v>28</v>
      </c>
      <c r="O80" s="574">
        <f t="shared" si="68"/>
        <v>31.2</v>
      </c>
      <c r="P80" s="572">
        <f>SUM(P74:P79)</f>
        <v>28</v>
      </c>
      <c r="Q80" s="574">
        <f t="shared" si="69"/>
        <v>29.4</v>
      </c>
      <c r="R80" s="572">
        <f>SUM(R74:R79)</f>
        <v>41</v>
      </c>
      <c r="S80" s="574">
        <f t="shared" si="70"/>
        <v>31.8</v>
      </c>
      <c r="T80" s="572">
        <f>SUM(T74:T79)</f>
        <v>37</v>
      </c>
      <c r="U80" s="574">
        <f t="shared" si="71"/>
        <v>32.200000000000003</v>
      </c>
      <c r="V80" s="572">
        <f>SUM(V74:V79)</f>
        <v>32</v>
      </c>
      <c r="W80" s="574">
        <f t="shared" si="72"/>
        <v>33.200000000000003</v>
      </c>
      <c r="X80" s="572">
        <f>SUM(X74:X79)</f>
        <v>24</v>
      </c>
      <c r="Y80" s="574">
        <f t="shared" si="73"/>
        <v>32.4</v>
      </c>
      <c r="Z80" s="572">
        <f>SUM(Z74:Z79)</f>
        <v>46</v>
      </c>
      <c r="AA80" s="574">
        <f t="shared" si="74"/>
        <v>36</v>
      </c>
      <c r="AB80" s="572">
        <f>SUM(AB74:AB79)</f>
        <v>51</v>
      </c>
      <c r="AC80" s="574">
        <f t="shared" si="75"/>
        <v>38</v>
      </c>
      <c r="AD80" s="572">
        <f>SUM(AD74:AD79)</f>
        <v>36</v>
      </c>
      <c r="AE80" s="574">
        <f t="shared" si="76"/>
        <v>37.799999999999997</v>
      </c>
      <c r="AF80" s="572">
        <f>SUM(AF74:AF79)</f>
        <v>66</v>
      </c>
      <c r="AG80" s="574">
        <f t="shared" si="77"/>
        <v>44.6</v>
      </c>
      <c r="AH80" s="572">
        <f>SUM(AH74:AH79)</f>
        <v>49</v>
      </c>
      <c r="AI80" s="574">
        <f t="shared" si="78"/>
        <v>49.6</v>
      </c>
      <c r="AJ80" s="572">
        <f>SUM(AJ74:AJ79)</f>
        <v>52</v>
      </c>
      <c r="AK80" s="574">
        <f t="shared" si="79"/>
        <v>50.8</v>
      </c>
    </row>
    <row r="81" spans="1:37" ht="18" customHeight="1" x14ac:dyDescent="0.3">
      <c r="A81" s="864" t="s">
        <v>426</v>
      </c>
      <c r="B81" s="865"/>
      <c r="C81" s="865"/>
      <c r="D81" s="865"/>
      <c r="E81" s="865"/>
      <c r="F81" s="866"/>
      <c r="G81" s="866"/>
      <c r="H81" s="866"/>
      <c r="I81" s="866"/>
      <c r="J81" s="866"/>
      <c r="K81" s="866"/>
      <c r="L81" s="866"/>
      <c r="M81" s="866"/>
      <c r="N81" s="866"/>
      <c r="O81" s="867"/>
      <c r="P81" s="866"/>
      <c r="Q81" s="867"/>
      <c r="R81" s="866"/>
      <c r="S81" s="867"/>
      <c r="T81" s="866"/>
      <c r="U81" s="867"/>
      <c r="V81" s="866"/>
      <c r="W81" s="867"/>
      <c r="X81" s="866"/>
      <c r="Y81" s="867"/>
      <c r="Z81" s="866"/>
      <c r="AA81" s="867"/>
      <c r="AB81" s="866"/>
      <c r="AC81" s="867"/>
      <c r="AD81" s="866"/>
      <c r="AE81" s="867"/>
      <c r="AF81" s="866"/>
      <c r="AG81" s="867"/>
      <c r="AH81" s="866"/>
      <c r="AI81" s="867"/>
      <c r="AJ81" s="866"/>
      <c r="AK81" s="867"/>
    </row>
    <row r="82" spans="1:37" ht="18" customHeight="1" x14ac:dyDescent="0.3">
      <c r="A82" s="707" t="s">
        <v>1101</v>
      </c>
      <c r="B82" s="544">
        <v>32</v>
      </c>
      <c r="C82" s="544">
        <v>18</v>
      </c>
      <c r="D82" s="544">
        <v>22</v>
      </c>
      <c r="E82" s="544">
        <v>27</v>
      </c>
      <c r="F82" s="544">
        <v>4</v>
      </c>
      <c r="G82" s="573">
        <f t="shared" ref="G82:G87" si="80">AVERAGE(B82:F82)</f>
        <v>20.6</v>
      </c>
      <c r="H82" s="544">
        <v>16</v>
      </c>
      <c r="I82" s="573">
        <f t="shared" ref="I82:I87" si="81">(+H82+F82+E82+D82+C82)/5</f>
        <v>17.399999999999999</v>
      </c>
      <c r="J82" s="544">
        <v>8</v>
      </c>
      <c r="K82" s="573">
        <f t="shared" ref="K82:K87" si="82">(+J82+H82+F82+E82+D82)/5</f>
        <v>15.4</v>
      </c>
      <c r="L82" s="544">
        <v>8</v>
      </c>
      <c r="M82" s="573">
        <f t="shared" ref="M82:M87" si="83">(L82+J82+H82+F82+E82)/5</f>
        <v>12.6</v>
      </c>
      <c r="N82" s="544">
        <v>10</v>
      </c>
      <c r="O82" s="574">
        <f t="shared" ref="O82:O87" si="84">(+N82+L82+J82+H82+F82)/5</f>
        <v>9.1999999999999993</v>
      </c>
      <c r="P82" s="544">
        <v>14</v>
      </c>
      <c r="Q82" s="574">
        <f t="shared" ref="Q82:Q87" si="85">(P82+N82+L82+J82+H82)/5</f>
        <v>11.2</v>
      </c>
      <c r="R82" s="544">
        <v>15</v>
      </c>
      <c r="S82" s="574">
        <f t="shared" ref="S82:S87" si="86">(R82+P82+N82+L82+J82)/5</f>
        <v>11</v>
      </c>
      <c r="T82" s="544">
        <v>19</v>
      </c>
      <c r="U82" s="574">
        <f t="shared" ref="U82:U87" si="87">(T82+R82+P82+N82+L82)/5</f>
        <v>13.2</v>
      </c>
      <c r="V82" s="544">
        <v>5</v>
      </c>
      <c r="W82" s="574">
        <f t="shared" ref="W82:W87" si="88">(V82+T82+R82+P82+N82)/5</f>
        <v>12.6</v>
      </c>
      <c r="X82" s="544">
        <v>10</v>
      </c>
      <c r="Y82" s="574">
        <f t="shared" ref="Y82:Y87" si="89">(X82+V82+T82+R82+P82)/5</f>
        <v>12.6</v>
      </c>
      <c r="Z82" s="544">
        <v>2</v>
      </c>
      <c r="AA82" s="574">
        <f t="shared" ref="AA82:AA87" si="90">(Z82+X82+V82+T82+R82)/5</f>
        <v>10.199999999999999</v>
      </c>
      <c r="AB82" s="544">
        <v>17</v>
      </c>
      <c r="AC82" s="574">
        <f t="shared" ref="AC82:AC87" si="91">(AB82+Z82+X82+V82+T82)/5</f>
        <v>10.6</v>
      </c>
      <c r="AD82" s="544">
        <v>28</v>
      </c>
      <c r="AE82" s="574">
        <f t="shared" ref="AE82:AE87" si="92">(AD82+AB82+Z82+X82+V82)/5</f>
        <v>12.4</v>
      </c>
      <c r="AF82" s="544">
        <v>36</v>
      </c>
      <c r="AG82" s="574">
        <f t="shared" ref="AG82:AG87" si="93">(AF82+AD82+AB82+Z82+X82)/5</f>
        <v>18.600000000000001</v>
      </c>
      <c r="AH82" s="544">
        <v>47</v>
      </c>
      <c r="AI82" s="574">
        <f t="shared" ref="AI82:AI87" si="94">(AH82+AF82+AD82+AB82+Z82)/5</f>
        <v>26</v>
      </c>
      <c r="AJ82" s="544">
        <v>22</v>
      </c>
      <c r="AK82" s="574">
        <f t="shared" ref="AK82:AK87" si="95">(AJ82+AH82+AF82+AD82+AB82)/5</f>
        <v>30</v>
      </c>
    </row>
    <row r="83" spans="1:37" ht="18" customHeight="1" x14ac:dyDescent="0.3">
      <c r="A83" s="707" t="s">
        <v>1134</v>
      </c>
      <c r="B83" s="544">
        <v>0</v>
      </c>
      <c r="C83" s="544">
        <v>0</v>
      </c>
      <c r="D83" s="544">
        <v>0</v>
      </c>
      <c r="E83" s="544">
        <v>0</v>
      </c>
      <c r="F83" s="544">
        <v>0</v>
      </c>
      <c r="G83" s="573">
        <f t="shared" si="80"/>
        <v>0</v>
      </c>
      <c r="H83" s="544">
        <v>0</v>
      </c>
      <c r="I83" s="573">
        <f t="shared" si="81"/>
        <v>0</v>
      </c>
      <c r="J83" s="544">
        <v>0</v>
      </c>
      <c r="K83" s="573">
        <f t="shared" si="82"/>
        <v>0</v>
      </c>
      <c r="L83" s="544">
        <v>2</v>
      </c>
      <c r="M83" s="573">
        <f t="shared" si="83"/>
        <v>0.4</v>
      </c>
      <c r="N83" s="544">
        <v>0</v>
      </c>
      <c r="O83" s="574">
        <f t="shared" si="84"/>
        <v>0.4</v>
      </c>
      <c r="P83" s="544">
        <v>2</v>
      </c>
      <c r="Q83" s="574">
        <f t="shared" si="85"/>
        <v>0.8</v>
      </c>
      <c r="R83" s="544">
        <v>2</v>
      </c>
      <c r="S83" s="574">
        <f t="shared" si="86"/>
        <v>1.2</v>
      </c>
      <c r="T83" s="544">
        <v>0</v>
      </c>
      <c r="U83" s="574">
        <f t="shared" si="87"/>
        <v>1.2</v>
      </c>
      <c r="V83" s="544">
        <v>3</v>
      </c>
      <c r="W83" s="574">
        <f t="shared" si="88"/>
        <v>1.4</v>
      </c>
      <c r="X83" s="544">
        <v>2</v>
      </c>
      <c r="Y83" s="574">
        <f t="shared" si="89"/>
        <v>1.8</v>
      </c>
      <c r="Z83" s="544">
        <v>2</v>
      </c>
      <c r="AA83" s="574">
        <f t="shared" si="90"/>
        <v>1.8</v>
      </c>
      <c r="AB83" s="544">
        <v>0</v>
      </c>
      <c r="AC83" s="574">
        <f t="shared" si="91"/>
        <v>1.4</v>
      </c>
      <c r="AD83" s="544">
        <v>0</v>
      </c>
      <c r="AE83" s="574">
        <f t="shared" si="92"/>
        <v>1.4</v>
      </c>
      <c r="AF83" s="544">
        <v>1</v>
      </c>
      <c r="AG83" s="574">
        <f t="shared" si="93"/>
        <v>1</v>
      </c>
      <c r="AH83" s="544">
        <v>0</v>
      </c>
      <c r="AI83" s="574">
        <f t="shared" si="94"/>
        <v>0.6</v>
      </c>
      <c r="AJ83" s="544">
        <v>0</v>
      </c>
      <c r="AK83" s="574">
        <f t="shared" si="95"/>
        <v>0.2</v>
      </c>
    </row>
    <row r="84" spans="1:37" ht="18" customHeight="1" x14ac:dyDescent="0.3">
      <c r="A84" s="707" t="s">
        <v>1103</v>
      </c>
      <c r="B84" s="544">
        <v>0</v>
      </c>
      <c r="C84" s="544">
        <v>0</v>
      </c>
      <c r="D84" s="544">
        <v>0</v>
      </c>
      <c r="E84" s="544">
        <v>0</v>
      </c>
      <c r="F84" s="544">
        <v>21</v>
      </c>
      <c r="G84" s="573">
        <f t="shared" si="80"/>
        <v>4.2</v>
      </c>
      <c r="H84" s="544">
        <v>18</v>
      </c>
      <c r="I84" s="573">
        <f t="shared" si="81"/>
        <v>7.8</v>
      </c>
      <c r="J84" s="544">
        <v>15</v>
      </c>
      <c r="K84" s="573">
        <f t="shared" si="82"/>
        <v>10.8</v>
      </c>
      <c r="L84" s="544">
        <v>19</v>
      </c>
      <c r="M84" s="573">
        <f t="shared" si="83"/>
        <v>14.6</v>
      </c>
      <c r="N84" s="544">
        <v>14</v>
      </c>
      <c r="O84" s="574">
        <f t="shared" si="84"/>
        <v>17.399999999999999</v>
      </c>
      <c r="P84" s="544">
        <v>6</v>
      </c>
      <c r="Q84" s="574">
        <f t="shared" si="85"/>
        <v>14.4</v>
      </c>
      <c r="R84" s="544">
        <v>16</v>
      </c>
      <c r="S84" s="574">
        <f t="shared" si="86"/>
        <v>14</v>
      </c>
      <c r="T84" s="544">
        <v>12</v>
      </c>
      <c r="U84" s="574">
        <f t="shared" si="87"/>
        <v>13.4</v>
      </c>
      <c r="V84" s="544">
        <v>20</v>
      </c>
      <c r="W84" s="574">
        <f t="shared" si="88"/>
        <v>13.6</v>
      </c>
      <c r="X84" s="544">
        <v>9</v>
      </c>
      <c r="Y84" s="574">
        <f t="shared" si="89"/>
        <v>12.6</v>
      </c>
      <c r="Z84" s="544">
        <v>13</v>
      </c>
      <c r="AA84" s="574">
        <f t="shared" si="90"/>
        <v>14</v>
      </c>
      <c r="AB84" s="544">
        <v>13</v>
      </c>
      <c r="AC84" s="574">
        <f t="shared" si="91"/>
        <v>13.4</v>
      </c>
      <c r="AD84" s="544">
        <v>12</v>
      </c>
      <c r="AE84" s="574">
        <f t="shared" si="92"/>
        <v>13.4</v>
      </c>
      <c r="AF84" s="544">
        <v>4</v>
      </c>
      <c r="AG84" s="574">
        <f t="shared" si="93"/>
        <v>10.199999999999999</v>
      </c>
      <c r="AH84" s="544">
        <v>2</v>
      </c>
      <c r="AI84" s="574">
        <f t="shared" si="94"/>
        <v>8.8000000000000007</v>
      </c>
      <c r="AJ84" s="544">
        <v>0</v>
      </c>
      <c r="AK84" s="574">
        <f t="shared" si="95"/>
        <v>6.2</v>
      </c>
    </row>
    <row r="85" spans="1:37" ht="18" customHeight="1" x14ac:dyDescent="0.3">
      <c r="A85" s="707" t="s">
        <v>520</v>
      </c>
      <c r="B85" s="544">
        <v>0</v>
      </c>
      <c r="C85" s="544">
        <v>0</v>
      </c>
      <c r="D85" s="544">
        <v>0</v>
      </c>
      <c r="E85" s="544">
        <v>0</v>
      </c>
      <c r="F85" s="544">
        <v>5</v>
      </c>
      <c r="G85" s="573">
        <f t="shared" si="80"/>
        <v>1</v>
      </c>
      <c r="H85" s="544">
        <v>8</v>
      </c>
      <c r="I85" s="573">
        <f t="shared" si="81"/>
        <v>2.6</v>
      </c>
      <c r="J85" s="544">
        <v>5</v>
      </c>
      <c r="K85" s="573">
        <f t="shared" si="82"/>
        <v>3.6</v>
      </c>
      <c r="L85" s="544">
        <v>7</v>
      </c>
      <c r="M85" s="573">
        <f t="shared" si="83"/>
        <v>5</v>
      </c>
      <c r="N85" s="544">
        <v>8</v>
      </c>
      <c r="O85" s="574">
        <f t="shared" si="84"/>
        <v>6.6</v>
      </c>
      <c r="P85" s="544">
        <v>9</v>
      </c>
      <c r="Q85" s="574">
        <f t="shared" si="85"/>
        <v>7.4</v>
      </c>
      <c r="R85" s="544">
        <v>8</v>
      </c>
      <c r="S85" s="574">
        <f t="shared" si="86"/>
        <v>7.4</v>
      </c>
      <c r="T85" s="544">
        <v>9</v>
      </c>
      <c r="U85" s="574">
        <f t="shared" si="87"/>
        <v>8.1999999999999993</v>
      </c>
      <c r="V85" s="544">
        <v>5</v>
      </c>
      <c r="W85" s="574">
        <f t="shared" si="88"/>
        <v>7.8</v>
      </c>
      <c r="X85" s="544">
        <v>9</v>
      </c>
      <c r="Y85" s="574">
        <f t="shared" si="89"/>
        <v>8</v>
      </c>
      <c r="Z85" s="544">
        <v>0</v>
      </c>
      <c r="AA85" s="574">
        <f t="shared" si="90"/>
        <v>6.2</v>
      </c>
      <c r="AB85" s="544">
        <v>0</v>
      </c>
      <c r="AC85" s="574">
        <f t="shared" si="91"/>
        <v>4.5999999999999996</v>
      </c>
      <c r="AD85" s="544">
        <v>0</v>
      </c>
      <c r="AE85" s="574">
        <f t="shared" si="92"/>
        <v>2.8</v>
      </c>
      <c r="AF85" s="544">
        <v>0</v>
      </c>
      <c r="AG85" s="574">
        <f t="shared" si="93"/>
        <v>1.8</v>
      </c>
      <c r="AH85" s="544">
        <v>0</v>
      </c>
      <c r="AI85" s="574">
        <f t="shared" si="94"/>
        <v>0</v>
      </c>
      <c r="AJ85" s="544">
        <v>0</v>
      </c>
      <c r="AK85" s="574">
        <f t="shared" si="95"/>
        <v>0</v>
      </c>
    </row>
    <row r="86" spans="1:37" ht="18" customHeight="1" x14ac:dyDescent="0.3">
      <c r="A86" s="708" t="s">
        <v>1015</v>
      </c>
      <c r="B86" s="572">
        <f>SUM(B82:B85)</f>
        <v>32</v>
      </c>
      <c r="C86" s="572">
        <f>SUM(C82:C85)</f>
        <v>18</v>
      </c>
      <c r="D86" s="572">
        <f>SUM(D82:D85)</f>
        <v>22</v>
      </c>
      <c r="E86" s="572">
        <f>SUM(E82:E85)</f>
        <v>27</v>
      </c>
      <c r="F86" s="572">
        <f>SUM(F82:F85)</f>
        <v>30</v>
      </c>
      <c r="G86" s="573">
        <f t="shared" si="80"/>
        <v>25.8</v>
      </c>
      <c r="H86" s="572">
        <f>SUM(H82:H85)</f>
        <v>42</v>
      </c>
      <c r="I86" s="573">
        <f t="shared" si="81"/>
        <v>27.8</v>
      </c>
      <c r="J86" s="572">
        <f>SUM(J82:J85)</f>
        <v>28</v>
      </c>
      <c r="K86" s="573">
        <f t="shared" si="82"/>
        <v>29.8</v>
      </c>
      <c r="L86" s="572">
        <f>SUM(L82:L85)</f>
        <v>36</v>
      </c>
      <c r="M86" s="573">
        <f t="shared" si="83"/>
        <v>32.6</v>
      </c>
      <c r="N86" s="572">
        <f>SUM(N82:N85)</f>
        <v>32</v>
      </c>
      <c r="O86" s="574">
        <f t="shared" si="84"/>
        <v>33.6</v>
      </c>
      <c r="P86" s="572">
        <f>SUM(P82:P85)</f>
        <v>31</v>
      </c>
      <c r="Q86" s="574">
        <f t="shared" si="85"/>
        <v>33.799999999999997</v>
      </c>
      <c r="R86" s="572">
        <f>SUM(R82:R85)</f>
        <v>41</v>
      </c>
      <c r="S86" s="574">
        <f t="shared" si="86"/>
        <v>33.6</v>
      </c>
      <c r="T86" s="572">
        <f>SUM(T82:T85)</f>
        <v>40</v>
      </c>
      <c r="U86" s="574">
        <f t="shared" si="87"/>
        <v>36</v>
      </c>
      <c r="V86" s="572">
        <f>SUM(V82:V85)</f>
        <v>33</v>
      </c>
      <c r="W86" s="574">
        <f t="shared" si="88"/>
        <v>35.4</v>
      </c>
      <c r="X86" s="572">
        <f>SUM(X82:X85)</f>
        <v>30</v>
      </c>
      <c r="Y86" s="574">
        <f t="shared" si="89"/>
        <v>35</v>
      </c>
      <c r="Z86" s="572">
        <f>SUM(Z82:Z85)</f>
        <v>17</v>
      </c>
      <c r="AA86" s="574">
        <f t="shared" si="90"/>
        <v>32.200000000000003</v>
      </c>
      <c r="AB86" s="572">
        <f>SUM(AB82:AB85)</f>
        <v>30</v>
      </c>
      <c r="AC86" s="574">
        <f t="shared" si="91"/>
        <v>30</v>
      </c>
      <c r="AD86" s="572">
        <f>SUM(AD82:AD85)</f>
        <v>40</v>
      </c>
      <c r="AE86" s="574">
        <f t="shared" si="92"/>
        <v>30</v>
      </c>
      <c r="AF86" s="572">
        <f>SUM(AF82:AF85)</f>
        <v>41</v>
      </c>
      <c r="AG86" s="574">
        <f t="shared" si="93"/>
        <v>31.6</v>
      </c>
      <c r="AH86" s="572">
        <f>SUM(AH82:AH85)</f>
        <v>49</v>
      </c>
      <c r="AI86" s="574">
        <f t="shared" si="94"/>
        <v>35.4</v>
      </c>
      <c r="AJ86" s="572">
        <f>SUM(AJ82:AJ85)</f>
        <v>22</v>
      </c>
      <c r="AK86" s="574">
        <f t="shared" si="95"/>
        <v>36.4</v>
      </c>
    </row>
    <row r="87" spans="1:37" ht="18" customHeight="1" thickBot="1" x14ac:dyDescent="0.35">
      <c r="A87" s="856" t="s">
        <v>427</v>
      </c>
      <c r="B87" s="857">
        <f>+B86+B80+B72</f>
        <v>143</v>
      </c>
      <c r="C87" s="857">
        <f>+C86+C80+C72</f>
        <v>159</v>
      </c>
      <c r="D87" s="857">
        <f>+D86+D80+D72</f>
        <v>157</v>
      </c>
      <c r="E87" s="857">
        <f>+E86+E80+E72</f>
        <v>123</v>
      </c>
      <c r="F87" s="857">
        <f>+F86+F80+F72</f>
        <v>124</v>
      </c>
      <c r="G87" s="579">
        <f t="shared" si="80"/>
        <v>141.19999999999999</v>
      </c>
      <c r="H87" s="857">
        <f>+H86+H80+H72</f>
        <v>147</v>
      </c>
      <c r="I87" s="579">
        <f t="shared" si="81"/>
        <v>142</v>
      </c>
      <c r="J87" s="857">
        <f>+J86+J80+J72</f>
        <v>143</v>
      </c>
      <c r="K87" s="579">
        <f t="shared" si="82"/>
        <v>138.80000000000001</v>
      </c>
      <c r="L87" s="857">
        <f>+L86+L80+L72</f>
        <v>151</v>
      </c>
      <c r="M87" s="580">
        <f t="shared" si="83"/>
        <v>137.6</v>
      </c>
      <c r="N87" s="860">
        <f>+N86+N80+N72</f>
        <v>159</v>
      </c>
      <c r="O87" s="582">
        <f t="shared" si="84"/>
        <v>144.80000000000001</v>
      </c>
      <c r="P87" s="860">
        <f>+P86+P80+P72</f>
        <v>181</v>
      </c>
      <c r="Q87" s="582">
        <f t="shared" si="85"/>
        <v>156.19999999999999</v>
      </c>
      <c r="R87" s="860">
        <f>+R86+R80+R72</f>
        <v>150</v>
      </c>
      <c r="S87" s="582">
        <f t="shared" si="86"/>
        <v>156.80000000000001</v>
      </c>
      <c r="T87" s="860">
        <f>+T86+T80+T72</f>
        <v>138</v>
      </c>
      <c r="U87" s="582">
        <f t="shared" si="87"/>
        <v>155.80000000000001</v>
      </c>
      <c r="V87" s="860">
        <f>+V86+V80+V72</f>
        <v>148</v>
      </c>
      <c r="W87" s="582">
        <f t="shared" si="88"/>
        <v>155.19999999999999</v>
      </c>
      <c r="X87" s="860">
        <f>+X86+X80+X72</f>
        <v>148</v>
      </c>
      <c r="Y87" s="582">
        <f t="shared" si="89"/>
        <v>153</v>
      </c>
      <c r="Z87" s="860">
        <f>+Z86+Z80+Z72</f>
        <v>135</v>
      </c>
      <c r="AA87" s="582">
        <f t="shared" si="90"/>
        <v>143.80000000000001</v>
      </c>
      <c r="AB87" s="860">
        <f>+AB86+AB80+AB72</f>
        <v>153</v>
      </c>
      <c r="AC87" s="582">
        <f t="shared" si="91"/>
        <v>144.4</v>
      </c>
      <c r="AD87" s="860">
        <f>+AD86+AD80+AD72</f>
        <v>146</v>
      </c>
      <c r="AE87" s="582">
        <f t="shared" si="92"/>
        <v>146</v>
      </c>
      <c r="AF87" s="860">
        <f>+AF86+AF80+AF72</f>
        <v>187</v>
      </c>
      <c r="AG87" s="582">
        <f t="shared" si="93"/>
        <v>153.80000000000001</v>
      </c>
      <c r="AH87" s="860">
        <f>+AH86+AH80+AH72</f>
        <v>170</v>
      </c>
      <c r="AI87" s="582">
        <f t="shared" si="94"/>
        <v>158.19999999999999</v>
      </c>
      <c r="AJ87" s="860">
        <f>+AJ86+AJ80+AJ72</f>
        <v>132</v>
      </c>
      <c r="AK87" s="582">
        <f t="shared" si="95"/>
        <v>157.6</v>
      </c>
    </row>
    <row r="88" spans="1:37" ht="20.25" customHeight="1" thickBot="1" x14ac:dyDescent="0.35">
      <c r="A88" s="2211" t="s">
        <v>428</v>
      </c>
      <c r="B88" s="2212"/>
      <c r="C88" s="2212"/>
      <c r="D88" s="2212"/>
      <c r="E88" s="2212"/>
      <c r="F88" s="2212"/>
      <c r="G88" s="2212"/>
      <c r="H88" s="2212"/>
      <c r="I88" s="2212"/>
      <c r="J88" s="2212"/>
      <c r="K88" s="2212"/>
      <c r="L88" s="2212"/>
      <c r="M88" s="2212"/>
      <c r="N88" s="2212"/>
      <c r="O88" s="2212"/>
      <c r="P88" s="2212"/>
      <c r="Q88" s="2212"/>
      <c r="R88" s="2212"/>
      <c r="S88" s="2212"/>
      <c r="T88" s="2212"/>
      <c r="U88" s="2212"/>
      <c r="V88" s="2212"/>
      <c r="W88" s="2212"/>
      <c r="X88" s="2212"/>
      <c r="Y88" s="2212"/>
      <c r="Z88" s="2212"/>
      <c r="AA88" s="2212"/>
      <c r="AB88" s="2212"/>
      <c r="AC88" s="2212"/>
      <c r="AD88" s="2212"/>
      <c r="AE88" s="2212"/>
      <c r="AF88" s="2212"/>
      <c r="AG88" s="2212"/>
      <c r="AH88" s="2212"/>
      <c r="AI88" s="2212"/>
      <c r="AJ88" s="2212"/>
      <c r="AK88" s="2213"/>
    </row>
    <row r="89" spans="1:37" ht="20.25" customHeight="1" x14ac:dyDescent="0.3">
      <c r="A89" s="549" t="s">
        <v>410</v>
      </c>
      <c r="B89" s="547" t="s">
        <v>400</v>
      </c>
      <c r="C89" s="547" t="s">
        <v>1350</v>
      </c>
      <c r="D89" s="547" t="s">
        <v>1351</v>
      </c>
      <c r="E89" s="547" t="s">
        <v>1352</v>
      </c>
      <c r="F89" s="546" t="s">
        <v>795</v>
      </c>
      <c r="G89" s="571" t="s">
        <v>486</v>
      </c>
      <c r="H89" s="546" t="s">
        <v>652</v>
      </c>
      <c r="I89" s="571" t="s">
        <v>486</v>
      </c>
      <c r="J89" s="546" t="s">
        <v>1359</v>
      </c>
      <c r="K89" s="571" t="s">
        <v>486</v>
      </c>
      <c r="L89" s="546" t="s">
        <v>1105</v>
      </c>
      <c r="M89" s="571" t="s">
        <v>486</v>
      </c>
      <c r="N89" s="546" t="s">
        <v>283</v>
      </c>
      <c r="O89" s="571" t="s">
        <v>486</v>
      </c>
      <c r="P89" s="546" t="s">
        <v>1314</v>
      </c>
      <c r="Q89" s="571" t="s">
        <v>486</v>
      </c>
      <c r="R89" s="546" t="s">
        <v>372</v>
      </c>
      <c r="S89" s="571" t="s">
        <v>486</v>
      </c>
      <c r="T89" s="546" t="s">
        <v>615</v>
      </c>
      <c r="U89" s="571" t="s">
        <v>486</v>
      </c>
      <c r="V89" s="546" t="str">
        <f>+V59</f>
        <v>2008-2009</v>
      </c>
      <c r="W89" s="571" t="s">
        <v>486</v>
      </c>
      <c r="X89" s="546" t="str">
        <f>+X59</f>
        <v>2009-2010</v>
      </c>
      <c r="Y89" s="571" t="s">
        <v>486</v>
      </c>
      <c r="Z89" s="546" t="str">
        <f>+Z59</f>
        <v>2010-2011</v>
      </c>
      <c r="AA89" s="571" t="s">
        <v>486</v>
      </c>
      <c r="AB89" s="546" t="str">
        <f>+AB59</f>
        <v>2011-2012</v>
      </c>
      <c r="AC89" s="571" t="s">
        <v>486</v>
      </c>
      <c r="AD89" s="546" t="s">
        <v>1549</v>
      </c>
      <c r="AE89" s="571" t="s">
        <v>486</v>
      </c>
      <c r="AF89" s="546" t="s">
        <v>1611</v>
      </c>
      <c r="AG89" s="571" t="s">
        <v>486</v>
      </c>
      <c r="AH89" s="546" t="s">
        <v>1639</v>
      </c>
      <c r="AI89" s="571" t="s">
        <v>486</v>
      </c>
      <c r="AJ89" s="546" t="str">
        <f>+AJ59</f>
        <v>2015-2016</v>
      </c>
      <c r="AK89" s="571" t="s">
        <v>486</v>
      </c>
    </row>
    <row r="90" spans="1:37" ht="18" customHeight="1" x14ac:dyDescent="0.3">
      <c r="A90" s="469" t="s">
        <v>1638</v>
      </c>
      <c r="B90" s="875"/>
      <c r="C90" s="875"/>
      <c r="D90" s="875"/>
      <c r="E90" s="875"/>
      <c r="F90" s="866"/>
      <c r="G90" s="866"/>
      <c r="H90" s="866"/>
      <c r="I90" s="876"/>
      <c r="J90" s="876"/>
      <c r="K90" s="876"/>
      <c r="L90" s="876"/>
      <c r="M90" s="877"/>
      <c r="N90" s="876"/>
      <c r="O90" s="878"/>
      <c r="P90" s="876"/>
      <c r="Q90" s="878"/>
      <c r="R90" s="876"/>
      <c r="S90" s="878"/>
      <c r="T90" s="876"/>
      <c r="U90" s="878"/>
      <c r="V90" s="876"/>
      <c r="W90" s="878"/>
      <c r="X90" s="876"/>
      <c r="Y90" s="878"/>
      <c r="Z90" s="876"/>
      <c r="AA90" s="878"/>
      <c r="AB90" s="876"/>
      <c r="AC90" s="878"/>
      <c r="AD90" s="876"/>
      <c r="AE90" s="878"/>
      <c r="AF90" s="876"/>
      <c r="AG90" s="878"/>
      <c r="AH90" s="876"/>
      <c r="AI90" s="878"/>
      <c r="AJ90" s="876"/>
      <c r="AK90" s="878"/>
    </row>
    <row r="91" spans="1:37" ht="18" customHeight="1" x14ac:dyDescent="0.3">
      <c r="A91" s="707" t="s">
        <v>1151</v>
      </c>
      <c r="B91" s="544">
        <v>0</v>
      </c>
      <c r="C91" s="544">
        <v>0</v>
      </c>
      <c r="D91" s="544">
        <v>0</v>
      </c>
      <c r="E91" s="544">
        <v>0</v>
      </c>
      <c r="F91" s="544">
        <v>24</v>
      </c>
      <c r="G91" s="573">
        <f t="shared" ref="G91:G98" si="96">AVERAGE(B91:F91)</f>
        <v>4.8</v>
      </c>
      <c r="H91" s="544">
        <v>24</v>
      </c>
      <c r="I91" s="573">
        <f t="shared" ref="I91:I98" si="97">(+H91+F91+E91+D91+C91)/5</f>
        <v>9.6</v>
      </c>
      <c r="J91" s="544">
        <v>12</v>
      </c>
      <c r="K91" s="573">
        <f t="shared" ref="K91:K98" si="98">(+J91+H91+F91+E91+D91)/5</f>
        <v>12</v>
      </c>
      <c r="L91" s="544">
        <v>18</v>
      </c>
      <c r="M91" s="573">
        <f t="shared" ref="M91:M98" si="99">(L91+J91+H91+F91+E91)/5</f>
        <v>15.6</v>
      </c>
      <c r="N91" s="544">
        <v>28</v>
      </c>
      <c r="O91" s="574">
        <f t="shared" ref="O91:O98" si="100">(+N91+L91+J91+H91+F91)/5</f>
        <v>21.2</v>
      </c>
      <c r="P91" s="544">
        <v>28</v>
      </c>
      <c r="Q91" s="574">
        <f t="shared" ref="Q91:Q98" si="101">(P91+N91+L91+J91+H91)/5</f>
        <v>22</v>
      </c>
      <c r="R91" s="544">
        <v>23</v>
      </c>
      <c r="S91" s="574">
        <f t="shared" ref="S91:S98" si="102">(R91+P91+N91+L91+J91)/5</f>
        <v>21.8</v>
      </c>
      <c r="T91" s="544">
        <v>22</v>
      </c>
      <c r="U91" s="574">
        <f t="shared" ref="U91:U98" si="103">(T91+R91+P91+N91+L91)/5</f>
        <v>23.8</v>
      </c>
      <c r="V91" s="544">
        <v>14</v>
      </c>
      <c r="W91" s="574">
        <f t="shared" ref="W91:W98" si="104">(V91+T91+R91+P91+N91)/5</f>
        <v>23</v>
      </c>
      <c r="X91" s="544">
        <v>16</v>
      </c>
      <c r="Y91" s="574">
        <f t="shared" ref="Y91:Y98" si="105">(X91+V91+T91+R91+P91)/5</f>
        <v>20.6</v>
      </c>
      <c r="Z91" s="544">
        <v>25</v>
      </c>
      <c r="AA91" s="574">
        <f t="shared" ref="AA91:AA98" si="106">(Z91+X91+V91+T91+R91)/5</f>
        <v>20</v>
      </c>
      <c r="AB91" s="544">
        <v>16</v>
      </c>
      <c r="AC91" s="574">
        <f t="shared" ref="AC91:AC98" si="107">(AB91+Z91+X91+V91+T91)/5</f>
        <v>18.600000000000001</v>
      </c>
      <c r="AD91" s="544">
        <v>17</v>
      </c>
      <c r="AE91" s="574">
        <f t="shared" ref="AE91:AE98" si="108">(AD91+AB91+Z91+X91+V91)/5</f>
        <v>17.600000000000001</v>
      </c>
      <c r="AF91" s="544">
        <v>28</v>
      </c>
      <c r="AG91" s="574">
        <f t="shared" ref="AG91:AG98" si="109">(AF91+AD91+AB91+Z91+X91)/5</f>
        <v>20.399999999999999</v>
      </c>
      <c r="AH91" s="544">
        <v>12</v>
      </c>
      <c r="AI91" s="574">
        <f t="shared" ref="AI91:AI98" si="110">(AH91+AF91+AD91+AB91+Z91)/5</f>
        <v>19.600000000000001</v>
      </c>
      <c r="AJ91" s="544">
        <v>21</v>
      </c>
      <c r="AK91" s="574">
        <f t="shared" ref="AK91:AK98" si="111">(AJ91+AH91+AF91+AD91+AB91)/5</f>
        <v>18.8</v>
      </c>
    </row>
    <row r="92" spans="1:37" ht="18" customHeight="1" x14ac:dyDescent="0.3">
      <c r="A92" s="707" t="s">
        <v>1156</v>
      </c>
      <c r="B92" s="544">
        <v>0</v>
      </c>
      <c r="C92" s="544">
        <v>0</v>
      </c>
      <c r="D92" s="544">
        <v>0</v>
      </c>
      <c r="E92" s="544">
        <v>0</v>
      </c>
      <c r="F92" s="544">
        <v>18</v>
      </c>
      <c r="G92" s="573">
        <f t="shared" si="96"/>
        <v>3.6</v>
      </c>
      <c r="H92" s="544">
        <v>17</v>
      </c>
      <c r="I92" s="573">
        <f t="shared" si="97"/>
        <v>7</v>
      </c>
      <c r="J92" s="544">
        <v>12</v>
      </c>
      <c r="K92" s="573">
        <f t="shared" si="98"/>
        <v>9.4</v>
      </c>
      <c r="L92" s="544">
        <v>18</v>
      </c>
      <c r="M92" s="573">
        <f t="shared" si="99"/>
        <v>13</v>
      </c>
      <c r="N92" s="544">
        <v>9</v>
      </c>
      <c r="O92" s="574">
        <f t="shared" si="100"/>
        <v>14.8</v>
      </c>
      <c r="P92" s="544">
        <v>5</v>
      </c>
      <c r="Q92" s="574">
        <f t="shared" si="101"/>
        <v>12.2</v>
      </c>
      <c r="R92" s="544">
        <v>5</v>
      </c>
      <c r="S92" s="574">
        <f t="shared" si="102"/>
        <v>9.8000000000000007</v>
      </c>
      <c r="T92" s="544">
        <v>7</v>
      </c>
      <c r="U92" s="574">
        <f t="shared" si="103"/>
        <v>8.8000000000000007</v>
      </c>
      <c r="V92" s="544">
        <v>7</v>
      </c>
      <c r="W92" s="574">
        <f t="shared" si="104"/>
        <v>6.6</v>
      </c>
      <c r="X92" s="544">
        <v>8</v>
      </c>
      <c r="Y92" s="574">
        <f t="shared" si="105"/>
        <v>6.4</v>
      </c>
      <c r="Z92" s="544">
        <v>4</v>
      </c>
      <c r="AA92" s="574">
        <f t="shared" si="106"/>
        <v>6.2</v>
      </c>
      <c r="AB92" s="544">
        <v>9</v>
      </c>
      <c r="AC92" s="574">
        <f t="shared" si="107"/>
        <v>7</v>
      </c>
      <c r="AD92" s="544">
        <v>4</v>
      </c>
      <c r="AE92" s="574">
        <f t="shared" si="108"/>
        <v>6.4</v>
      </c>
      <c r="AF92" s="544">
        <v>11</v>
      </c>
      <c r="AG92" s="574">
        <f t="shared" si="109"/>
        <v>7.2</v>
      </c>
      <c r="AH92" s="544">
        <v>8</v>
      </c>
      <c r="AI92" s="574">
        <f t="shared" si="110"/>
        <v>7.2</v>
      </c>
      <c r="AJ92" s="544">
        <v>10</v>
      </c>
      <c r="AK92" s="574">
        <f t="shared" si="111"/>
        <v>8.4</v>
      </c>
    </row>
    <row r="93" spans="1:37" ht="18" customHeight="1" x14ac:dyDescent="0.3">
      <c r="A93" s="707" t="s">
        <v>1157</v>
      </c>
      <c r="B93" s="544">
        <v>86</v>
      </c>
      <c r="C93" s="544">
        <v>84</v>
      </c>
      <c r="D93" s="544">
        <v>68</v>
      </c>
      <c r="E93" s="544">
        <v>95</v>
      </c>
      <c r="F93" s="544">
        <v>0</v>
      </c>
      <c r="G93" s="573">
        <f t="shared" si="96"/>
        <v>66.599999999999994</v>
      </c>
      <c r="H93" s="544">
        <v>0</v>
      </c>
      <c r="I93" s="573">
        <f t="shared" si="97"/>
        <v>49.4</v>
      </c>
      <c r="J93" s="544">
        <v>1</v>
      </c>
      <c r="K93" s="573">
        <f t="shared" si="98"/>
        <v>32.799999999999997</v>
      </c>
      <c r="L93" s="544">
        <v>0</v>
      </c>
      <c r="M93" s="573">
        <f t="shared" si="99"/>
        <v>19.2</v>
      </c>
      <c r="N93" s="544">
        <v>0</v>
      </c>
      <c r="O93" s="574">
        <f t="shared" si="100"/>
        <v>0.2</v>
      </c>
      <c r="P93" s="544">
        <v>0</v>
      </c>
      <c r="Q93" s="574">
        <f t="shared" si="101"/>
        <v>0.2</v>
      </c>
      <c r="R93" s="544">
        <v>0</v>
      </c>
      <c r="S93" s="574">
        <f t="shared" si="102"/>
        <v>0.2</v>
      </c>
      <c r="T93" s="544">
        <v>0</v>
      </c>
      <c r="U93" s="574">
        <f t="shared" si="103"/>
        <v>0</v>
      </c>
      <c r="V93" s="544">
        <v>0</v>
      </c>
      <c r="W93" s="574">
        <f t="shared" si="104"/>
        <v>0</v>
      </c>
      <c r="X93" s="544">
        <v>0</v>
      </c>
      <c r="Y93" s="574">
        <f t="shared" si="105"/>
        <v>0</v>
      </c>
      <c r="Z93" s="544">
        <v>0</v>
      </c>
      <c r="AA93" s="574">
        <f t="shared" si="106"/>
        <v>0</v>
      </c>
      <c r="AB93" s="544">
        <v>0</v>
      </c>
      <c r="AC93" s="574">
        <f t="shared" si="107"/>
        <v>0</v>
      </c>
      <c r="AD93" s="544">
        <v>0</v>
      </c>
      <c r="AE93" s="574">
        <f t="shared" si="108"/>
        <v>0</v>
      </c>
      <c r="AF93" s="544">
        <v>0</v>
      </c>
      <c r="AG93" s="574">
        <f t="shared" si="109"/>
        <v>0</v>
      </c>
      <c r="AH93" s="544">
        <v>0</v>
      </c>
      <c r="AI93" s="574">
        <f t="shared" si="110"/>
        <v>0</v>
      </c>
      <c r="AJ93" s="544">
        <v>0</v>
      </c>
      <c r="AK93" s="574">
        <f t="shared" si="111"/>
        <v>0</v>
      </c>
    </row>
    <row r="94" spans="1:37" ht="18" customHeight="1" x14ac:dyDescent="0.3">
      <c r="A94" s="707" t="s">
        <v>1158</v>
      </c>
      <c r="B94" s="544">
        <v>0</v>
      </c>
      <c r="C94" s="544">
        <v>0</v>
      </c>
      <c r="D94" s="544">
        <v>0</v>
      </c>
      <c r="E94" s="544">
        <v>0</v>
      </c>
      <c r="F94" s="544">
        <v>2</v>
      </c>
      <c r="G94" s="573">
        <f t="shared" si="96"/>
        <v>0.4</v>
      </c>
      <c r="H94" s="544">
        <v>8</v>
      </c>
      <c r="I94" s="573">
        <f t="shared" si="97"/>
        <v>2</v>
      </c>
      <c r="J94" s="544">
        <v>10</v>
      </c>
      <c r="K94" s="573">
        <f t="shared" si="98"/>
        <v>4</v>
      </c>
      <c r="L94" s="544">
        <v>24</v>
      </c>
      <c r="M94" s="573">
        <f t="shared" si="99"/>
        <v>8.8000000000000007</v>
      </c>
      <c r="N94" s="544">
        <v>22</v>
      </c>
      <c r="O94" s="574">
        <f t="shared" si="100"/>
        <v>13.2</v>
      </c>
      <c r="P94" s="544">
        <v>21</v>
      </c>
      <c r="Q94" s="574">
        <f t="shared" si="101"/>
        <v>17</v>
      </c>
      <c r="R94" s="544">
        <v>23</v>
      </c>
      <c r="S94" s="574">
        <f t="shared" si="102"/>
        <v>20</v>
      </c>
      <c r="T94" s="544">
        <v>24</v>
      </c>
      <c r="U94" s="574">
        <f t="shared" si="103"/>
        <v>22.8</v>
      </c>
      <c r="V94" s="544">
        <v>17</v>
      </c>
      <c r="W94" s="574">
        <f t="shared" si="104"/>
        <v>21.4</v>
      </c>
      <c r="X94" s="544">
        <v>31</v>
      </c>
      <c r="Y94" s="574">
        <f t="shared" si="105"/>
        <v>23.2</v>
      </c>
      <c r="Z94" s="544">
        <v>23</v>
      </c>
      <c r="AA94" s="574">
        <f t="shared" si="106"/>
        <v>23.6</v>
      </c>
      <c r="AB94" s="544">
        <v>34</v>
      </c>
      <c r="AC94" s="574">
        <f t="shared" si="107"/>
        <v>25.8</v>
      </c>
      <c r="AD94" s="544">
        <v>42</v>
      </c>
      <c r="AE94" s="574">
        <f t="shared" si="108"/>
        <v>29.4</v>
      </c>
      <c r="AF94" s="544">
        <v>35</v>
      </c>
      <c r="AG94" s="574">
        <f t="shared" si="109"/>
        <v>33</v>
      </c>
      <c r="AH94" s="544">
        <v>42</v>
      </c>
      <c r="AI94" s="574">
        <f t="shared" si="110"/>
        <v>35.200000000000003</v>
      </c>
      <c r="AJ94" s="544">
        <v>32</v>
      </c>
      <c r="AK94" s="574">
        <f t="shared" si="111"/>
        <v>37</v>
      </c>
    </row>
    <row r="95" spans="1:37" ht="18" customHeight="1" x14ac:dyDescent="0.3">
      <c r="A95" s="707" t="s">
        <v>1159</v>
      </c>
      <c r="B95" s="544">
        <v>0</v>
      </c>
      <c r="C95" s="544">
        <v>0</v>
      </c>
      <c r="D95" s="544">
        <v>0</v>
      </c>
      <c r="E95" s="544">
        <v>0</v>
      </c>
      <c r="F95" s="544">
        <v>46</v>
      </c>
      <c r="G95" s="573">
        <f t="shared" si="96"/>
        <v>9.1999999999999993</v>
      </c>
      <c r="H95" s="544">
        <v>60</v>
      </c>
      <c r="I95" s="573">
        <f t="shared" si="97"/>
        <v>21.2</v>
      </c>
      <c r="J95" s="544">
        <v>64</v>
      </c>
      <c r="K95" s="573">
        <f t="shared" si="98"/>
        <v>34</v>
      </c>
      <c r="L95" s="544">
        <v>68</v>
      </c>
      <c r="M95" s="573">
        <f t="shared" si="99"/>
        <v>47.6</v>
      </c>
      <c r="N95" s="544">
        <v>49</v>
      </c>
      <c r="O95" s="574">
        <f t="shared" si="100"/>
        <v>57.4</v>
      </c>
      <c r="P95" s="544">
        <v>47</v>
      </c>
      <c r="Q95" s="574">
        <f t="shared" si="101"/>
        <v>57.6</v>
      </c>
      <c r="R95" s="544">
        <v>54</v>
      </c>
      <c r="S95" s="574">
        <f t="shared" si="102"/>
        <v>56.4</v>
      </c>
      <c r="T95" s="544">
        <v>48</v>
      </c>
      <c r="U95" s="574">
        <f t="shared" si="103"/>
        <v>53.2</v>
      </c>
      <c r="V95" s="544">
        <v>49</v>
      </c>
      <c r="W95" s="574">
        <f t="shared" si="104"/>
        <v>49.4</v>
      </c>
      <c r="X95" s="544">
        <v>49</v>
      </c>
      <c r="Y95" s="574">
        <f t="shared" si="105"/>
        <v>49.4</v>
      </c>
      <c r="Z95" s="544">
        <v>43</v>
      </c>
      <c r="AA95" s="574">
        <f t="shared" si="106"/>
        <v>48.6</v>
      </c>
      <c r="AB95" s="544">
        <v>51</v>
      </c>
      <c r="AC95" s="574">
        <f t="shared" si="107"/>
        <v>48</v>
      </c>
      <c r="AD95" s="544">
        <v>40</v>
      </c>
      <c r="AE95" s="574">
        <f t="shared" si="108"/>
        <v>46.4</v>
      </c>
      <c r="AF95" s="544">
        <v>44</v>
      </c>
      <c r="AG95" s="574">
        <f t="shared" si="109"/>
        <v>45.4</v>
      </c>
      <c r="AH95" s="544">
        <v>37</v>
      </c>
      <c r="AI95" s="574">
        <f t="shared" si="110"/>
        <v>43</v>
      </c>
      <c r="AJ95" s="544">
        <v>40</v>
      </c>
      <c r="AK95" s="574">
        <f t="shared" si="111"/>
        <v>42.4</v>
      </c>
    </row>
    <row r="96" spans="1:37" ht="18" customHeight="1" x14ac:dyDescent="0.3">
      <c r="A96" s="707" t="s">
        <v>82</v>
      </c>
      <c r="B96" s="544">
        <v>13</v>
      </c>
      <c r="C96" s="544">
        <v>27</v>
      </c>
      <c r="D96" s="544">
        <v>33</v>
      </c>
      <c r="E96" s="544">
        <v>24</v>
      </c>
      <c r="F96" s="544">
        <v>24</v>
      </c>
      <c r="G96" s="573">
        <f t="shared" si="96"/>
        <v>24.2</v>
      </c>
      <c r="H96" s="544">
        <v>15</v>
      </c>
      <c r="I96" s="573">
        <f t="shared" si="97"/>
        <v>24.6</v>
      </c>
      <c r="J96" s="544">
        <v>2</v>
      </c>
      <c r="K96" s="573">
        <f t="shared" si="98"/>
        <v>19.600000000000001</v>
      </c>
      <c r="L96" s="544">
        <v>1</v>
      </c>
      <c r="M96" s="573">
        <f t="shared" si="99"/>
        <v>13.2</v>
      </c>
      <c r="N96" s="544">
        <v>0</v>
      </c>
      <c r="O96" s="574">
        <f t="shared" si="100"/>
        <v>8.4</v>
      </c>
      <c r="P96" s="544">
        <v>0</v>
      </c>
      <c r="Q96" s="574">
        <f t="shared" si="101"/>
        <v>3.6</v>
      </c>
      <c r="R96" s="544">
        <v>0</v>
      </c>
      <c r="S96" s="574">
        <f t="shared" si="102"/>
        <v>0.6</v>
      </c>
      <c r="T96" s="544">
        <v>0</v>
      </c>
      <c r="U96" s="574">
        <f t="shared" si="103"/>
        <v>0.2</v>
      </c>
      <c r="V96" s="544">
        <v>0</v>
      </c>
      <c r="W96" s="574">
        <f t="shared" si="104"/>
        <v>0</v>
      </c>
      <c r="X96" s="544">
        <v>0</v>
      </c>
      <c r="Y96" s="574">
        <f t="shared" si="105"/>
        <v>0</v>
      </c>
      <c r="Z96" s="544">
        <v>0</v>
      </c>
      <c r="AA96" s="574">
        <f t="shared" si="106"/>
        <v>0</v>
      </c>
      <c r="AB96" s="544">
        <v>0</v>
      </c>
      <c r="AC96" s="574">
        <f t="shared" si="107"/>
        <v>0</v>
      </c>
      <c r="AD96" s="544">
        <v>0</v>
      </c>
      <c r="AE96" s="574">
        <f t="shared" si="108"/>
        <v>0</v>
      </c>
      <c r="AF96" s="544">
        <v>0</v>
      </c>
      <c r="AG96" s="574">
        <f t="shared" si="109"/>
        <v>0</v>
      </c>
      <c r="AH96" s="544">
        <v>0</v>
      </c>
      <c r="AI96" s="574">
        <f t="shared" si="110"/>
        <v>0</v>
      </c>
      <c r="AJ96" s="544">
        <v>0</v>
      </c>
      <c r="AK96" s="574">
        <f t="shared" si="111"/>
        <v>0</v>
      </c>
    </row>
    <row r="97" spans="1:37" ht="18" customHeight="1" x14ac:dyDescent="0.3">
      <c r="A97" s="707" t="s">
        <v>1139</v>
      </c>
      <c r="B97" s="544">
        <v>0</v>
      </c>
      <c r="C97" s="544">
        <v>0</v>
      </c>
      <c r="D97" s="544">
        <v>0</v>
      </c>
      <c r="E97" s="544">
        <v>0</v>
      </c>
      <c r="F97" s="544">
        <v>0</v>
      </c>
      <c r="G97" s="573">
        <f t="shared" si="96"/>
        <v>0</v>
      </c>
      <c r="H97" s="544">
        <v>0</v>
      </c>
      <c r="I97" s="573">
        <f t="shared" si="97"/>
        <v>0</v>
      </c>
      <c r="J97" s="544">
        <v>0</v>
      </c>
      <c r="K97" s="573">
        <f t="shared" si="98"/>
        <v>0</v>
      </c>
      <c r="L97" s="544">
        <v>0</v>
      </c>
      <c r="M97" s="573">
        <f t="shared" si="99"/>
        <v>0</v>
      </c>
      <c r="N97" s="544">
        <v>3</v>
      </c>
      <c r="O97" s="574">
        <f t="shared" si="100"/>
        <v>0.6</v>
      </c>
      <c r="P97" s="544">
        <v>5</v>
      </c>
      <c r="Q97" s="574">
        <f t="shared" si="101"/>
        <v>1.6</v>
      </c>
      <c r="R97" s="544">
        <v>8</v>
      </c>
      <c r="S97" s="574">
        <f t="shared" si="102"/>
        <v>3.2</v>
      </c>
      <c r="T97" s="544">
        <v>1</v>
      </c>
      <c r="U97" s="574">
        <f t="shared" si="103"/>
        <v>3.4</v>
      </c>
      <c r="V97" s="544">
        <v>4</v>
      </c>
      <c r="W97" s="574">
        <f t="shared" si="104"/>
        <v>4.2</v>
      </c>
      <c r="X97" s="544">
        <v>5</v>
      </c>
      <c r="Y97" s="574">
        <f t="shared" si="105"/>
        <v>4.5999999999999996</v>
      </c>
      <c r="Z97" s="544">
        <v>5</v>
      </c>
      <c r="AA97" s="574">
        <f t="shared" si="106"/>
        <v>4.5999999999999996</v>
      </c>
      <c r="AB97" s="544">
        <v>6</v>
      </c>
      <c r="AC97" s="574">
        <f t="shared" si="107"/>
        <v>4.2</v>
      </c>
      <c r="AD97" s="544">
        <v>7</v>
      </c>
      <c r="AE97" s="574">
        <f t="shared" si="108"/>
        <v>5.4</v>
      </c>
      <c r="AF97" s="544">
        <v>7</v>
      </c>
      <c r="AG97" s="574">
        <f t="shared" si="109"/>
        <v>6</v>
      </c>
      <c r="AH97" s="544">
        <v>7</v>
      </c>
      <c r="AI97" s="574">
        <f t="shared" si="110"/>
        <v>6.4</v>
      </c>
      <c r="AJ97" s="544">
        <v>2</v>
      </c>
      <c r="AK97" s="574">
        <f t="shared" si="111"/>
        <v>5.8</v>
      </c>
    </row>
    <row r="98" spans="1:37" ht="18" customHeight="1" x14ac:dyDescent="0.3">
      <c r="A98" s="708" t="s">
        <v>1015</v>
      </c>
      <c r="B98" s="572">
        <f>SUM(B91:B97)</f>
        <v>99</v>
      </c>
      <c r="C98" s="572">
        <f>SUM(C91:C97)</f>
        <v>111</v>
      </c>
      <c r="D98" s="572">
        <f>SUM(D91:D97)</f>
        <v>101</v>
      </c>
      <c r="E98" s="572">
        <f>SUM(E91:E97)</f>
        <v>119</v>
      </c>
      <c r="F98" s="572">
        <f>SUM(F91:F97)</f>
        <v>114</v>
      </c>
      <c r="G98" s="573">
        <f t="shared" si="96"/>
        <v>108.8</v>
      </c>
      <c r="H98" s="572">
        <f>SUM(H91:H97)</f>
        <v>124</v>
      </c>
      <c r="I98" s="573">
        <f t="shared" si="97"/>
        <v>113.8</v>
      </c>
      <c r="J98" s="572">
        <f>SUM(J91:J97)</f>
        <v>101</v>
      </c>
      <c r="K98" s="573">
        <f t="shared" si="98"/>
        <v>111.8</v>
      </c>
      <c r="L98" s="572">
        <f>SUM(L91:L97)</f>
        <v>129</v>
      </c>
      <c r="M98" s="573">
        <f t="shared" si="99"/>
        <v>117.4</v>
      </c>
      <c r="N98" s="572">
        <f>SUM(N91:N97)</f>
        <v>111</v>
      </c>
      <c r="O98" s="574">
        <f t="shared" si="100"/>
        <v>115.8</v>
      </c>
      <c r="P98" s="572">
        <f>SUM(P91:P97)</f>
        <v>106</v>
      </c>
      <c r="Q98" s="574">
        <f t="shared" si="101"/>
        <v>114.2</v>
      </c>
      <c r="R98" s="572">
        <f>SUM(R91:R97)</f>
        <v>113</v>
      </c>
      <c r="S98" s="574">
        <f t="shared" si="102"/>
        <v>112</v>
      </c>
      <c r="T98" s="572">
        <f>SUM(T91:T97)</f>
        <v>102</v>
      </c>
      <c r="U98" s="574">
        <f t="shared" si="103"/>
        <v>112.2</v>
      </c>
      <c r="V98" s="572">
        <f>SUM(V91:V97)</f>
        <v>91</v>
      </c>
      <c r="W98" s="574">
        <f t="shared" si="104"/>
        <v>104.6</v>
      </c>
      <c r="X98" s="572">
        <f>SUM(X91:X97)</f>
        <v>109</v>
      </c>
      <c r="Y98" s="574">
        <f t="shared" si="105"/>
        <v>104.2</v>
      </c>
      <c r="Z98" s="572">
        <f>SUM(Z91:Z97)</f>
        <v>100</v>
      </c>
      <c r="AA98" s="574">
        <f t="shared" si="106"/>
        <v>103</v>
      </c>
      <c r="AB98" s="572">
        <f>SUM(AB91:AB97)</f>
        <v>116</v>
      </c>
      <c r="AC98" s="574">
        <f t="shared" si="107"/>
        <v>103.6</v>
      </c>
      <c r="AD98" s="572">
        <f>SUM(AD91:AD97)</f>
        <v>110</v>
      </c>
      <c r="AE98" s="574">
        <f t="shared" si="108"/>
        <v>105.2</v>
      </c>
      <c r="AF98" s="572">
        <f>SUM(AF91:AF97)</f>
        <v>125</v>
      </c>
      <c r="AG98" s="574">
        <f t="shared" si="109"/>
        <v>112</v>
      </c>
      <c r="AH98" s="572">
        <f>SUM(AH91:AH97)</f>
        <v>106</v>
      </c>
      <c r="AI98" s="574">
        <f t="shared" si="110"/>
        <v>111.4</v>
      </c>
      <c r="AJ98" s="572">
        <f>SUM(AJ91:AJ97)</f>
        <v>105</v>
      </c>
      <c r="AK98" s="574">
        <f t="shared" si="111"/>
        <v>112.4</v>
      </c>
    </row>
    <row r="99" spans="1:37" ht="18" customHeight="1" x14ac:dyDescent="0.3">
      <c r="A99" s="864" t="s">
        <v>429</v>
      </c>
      <c r="B99" s="865"/>
      <c r="C99" s="865"/>
      <c r="D99" s="865"/>
      <c r="E99" s="865"/>
      <c r="F99" s="866"/>
      <c r="G99" s="866"/>
      <c r="H99" s="866"/>
      <c r="I99" s="866"/>
      <c r="J99" s="866"/>
      <c r="K99" s="866"/>
      <c r="L99" s="866"/>
      <c r="M99" s="866"/>
      <c r="N99" s="866"/>
      <c r="O99" s="867"/>
      <c r="P99" s="866"/>
      <c r="Q99" s="867"/>
      <c r="R99" s="866"/>
      <c r="S99" s="867"/>
      <c r="T99" s="866"/>
      <c r="U99" s="867"/>
      <c r="V99" s="866"/>
      <c r="W99" s="867"/>
      <c r="X99" s="866"/>
      <c r="Y99" s="867"/>
      <c r="Z99" s="866"/>
      <c r="AA99" s="867"/>
      <c r="AB99" s="866"/>
      <c r="AC99" s="867"/>
      <c r="AD99" s="866"/>
      <c r="AE99" s="867"/>
      <c r="AF99" s="866"/>
      <c r="AG99" s="867"/>
      <c r="AH99" s="866"/>
      <c r="AI99" s="867"/>
      <c r="AJ99" s="866"/>
      <c r="AK99" s="867"/>
    </row>
    <row r="100" spans="1:37" ht="18" customHeight="1" x14ac:dyDescent="0.3">
      <c r="A100" s="557" t="s">
        <v>513</v>
      </c>
      <c r="B100" s="544">
        <v>0</v>
      </c>
      <c r="C100" s="544">
        <v>0</v>
      </c>
      <c r="D100" s="544">
        <v>0</v>
      </c>
      <c r="E100" s="544">
        <v>0</v>
      </c>
      <c r="F100" s="544">
        <v>0</v>
      </c>
      <c r="G100" s="573">
        <f t="shared" ref="G100:G113" si="112">AVERAGE(B100:F100)</f>
        <v>0</v>
      </c>
      <c r="H100" s="544">
        <v>0</v>
      </c>
      <c r="I100" s="573">
        <f t="shared" ref="I100:I113" si="113">(+H100+F100+E100+D100+C100)/5</f>
        <v>0</v>
      </c>
      <c r="J100" s="544">
        <v>0</v>
      </c>
      <c r="K100" s="573">
        <f t="shared" ref="K100:K113" si="114">(+J100+H100+F100+E100+D100)/5</f>
        <v>0</v>
      </c>
      <c r="L100" s="544">
        <v>0</v>
      </c>
      <c r="M100" s="573">
        <f t="shared" ref="M100:M113" si="115">(L100+J100+H100+F100+E100)/5</f>
        <v>0</v>
      </c>
      <c r="N100" s="544">
        <v>0</v>
      </c>
      <c r="O100" s="574">
        <f t="shared" ref="O100:O113" si="116">(+N100+L100+J100+H100+F100)/5</f>
        <v>0</v>
      </c>
      <c r="P100" s="544">
        <v>0</v>
      </c>
      <c r="Q100" s="574">
        <f t="shared" ref="Q100:Q113" si="117">(P100+N100+L100+J100+H100)/5</f>
        <v>0</v>
      </c>
      <c r="R100" s="544">
        <v>0</v>
      </c>
      <c r="S100" s="574">
        <f t="shared" ref="S100:S113" si="118">(R100+P100+N100+L100+J100)/5</f>
        <v>0</v>
      </c>
      <c r="T100" s="544">
        <v>0</v>
      </c>
      <c r="U100" s="574">
        <f t="shared" ref="U100:U113" si="119">(T100+R100+P100+N100+L100)/5</f>
        <v>0</v>
      </c>
      <c r="V100" s="544">
        <v>3</v>
      </c>
      <c r="W100" s="574">
        <f t="shared" ref="W100:W113" si="120">(V100+T100+R100+P100+N100)/5</f>
        <v>0.6</v>
      </c>
      <c r="X100" s="544">
        <v>3</v>
      </c>
      <c r="Y100" s="574">
        <f t="shared" ref="Y100:Y113" si="121">(X100+V100+T100+R100+P100)/5</f>
        <v>1.2</v>
      </c>
      <c r="Z100" s="544">
        <v>1</v>
      </c>
      <c r="AA100" s="574">
        <f t="shared" ref="AA100:AA113" si="122">(Z100+X100+V100+T100+R100)/5</f>
        <v>1.4</v>
      </c>
      <c r="AB100" s="544">
        <v>3</v>
      </c>
      <c r="AC100" s="574">
        <f t="shared" ref="AC100:AC113" si="123">(AB100+Z100+X100+V100+T100)/5</f>
        <v>2</v>
      </c>
      <c r="AD100" s="544">
        <v>2</v>
      </c>
      <c r="AE100" s="574">
        <f t="shared" ref="AE100:AE113" si="124">(AD100+AB100+Z100+X100+V100)/5</f>
        <v>2.4</v>
      </c>
      <c r="AF100" s="544">
        <v>1</v>
      </c>
      <c r="AG100" s="574">
        <f t="shared" ref="AG100:AG113" si="125">(AF100+AD100+AB100+Z100+X100)/5</f>
        <v>2</v>
      </c>
      <c r="AH100" s="544">
        <v>0</v>
      </c>
      <c r="AI100" s="574">
        <f t="shared" ref="AI100:AI113" si="126">(AH100+AF100+AD100+AB100+Z100)/5</f>
        <v>1.4</v>
      </c>
      <c r="AJ100" s="544">
        <v>3</v>
      </c>
      <c r="AK100" s="574">
        <f t="shared" ref="AK100:AK113" si="127">(AJ100+AH100+AF100+AD100+AB100)/5</f>
        <v>1.8</v>
      </c>
    </row>
    <row r="101" spans="1:37" ht="18" customHeight="1" x14ac:dyDescent="0.3">
      <c r="A101" s="557" t="s">
        <v>1130</v>
      </c>
      <c r="B101" s="544">
        <v>10</v>
      </c>
      <c r="C101" s="544">
        <v>11</v>
      </c>
      <c r="D101" s="544">
        <v>11</v>
      </c>
      <c r="E101" s="544">
        <v>6</v>
      </c>
      <c r="F101" s="544">
        <v>7</v>
      </c>
      <c r="G101" s="573">
        <f t="shared" si="112"/>
        <v>9</v>
      </c>
      <c r="H101" s="544">
        <v>10</v>
      </c>
      <c r="I101" s="573">
        <f t="shared" si="113"/>
        <v>9</v>
      </c>
      <c r="J101" s="544">
        <v>5</v>
      </c>
      <c r="K101" s="573">
        <f t="shared" si="114"/>
        <v>7.8</v>
      </c>
      <c r="L101" s="544">
        <v>10</v>
      </c>
      <c r="M101" s="573">
        <f t="shared" si="115"/>
        <v>7.6</v>
      </c>
      <c r="N101" s="544">
        <v>8</v>
      </c>
      <c r="O101" s="574">
        <f t="shared" si="116"/>
        <v>8</v>
      </c>
      <c r="P101" s="544">
        <v>9</v>
      </c>
      <c r="Q101" s="574">
        <f t="shared" si="117"/>
        <v>8.4</v>
      </c>
      <c r="R101" s="544">
        <v>12</v>
      </c>
      <c r="S101" s="574">
        <f t="shared" si="118"/>
        <v>8.8000000000000007</v>
      </c>
      <c r="T101" s="544">
        <v>18</v>
      </c>
      <c r="U101" s="574">
        <f t="shared" si="119"/>
        <v>11.4</v>
      </c>
      <c r="V101" s="544">
        <v>17</v>
      </c>
      <c r="W101" s="574">
        <f t="shared" si="120"/>
        <v>12.8</v>
      </c>
      <c r="X101" s="544">
        <v>14</v>
      </c>
      <c r="Y101" s="574">
        <f t="shared" si="121"/>
        <v>14</v>
      </c>
      <c r="Z101" s="544">
        <v>9</v>
      </c>
      <c r="AA101" s="574">
        <f t="shared" si="122"/>
        <v>14</v>
      </c>
      <c r="AB101" s="544">
        <v>6</v>
      </c>
      <c r="AC101" s="574">
        <f t="shared" si="123"/>
        <v>12.8</v>
      </c>
      <c r="AD101" s="544">
        <v>13</v>
      </c>
      <c r="AE101" s="574">
        <f t="shared" si="124"/>
        <v>11.8</v>
      </c>
      <c r="AF101" s="544">
        <v>9</v>
      </c>
      <c r="AG101" s="574">
        <f t="shared" si="125"/>
        <v>10.199999999999999</v>
      </c>
      <c r="AH101" s="544">
        <v>3</v>
      </c>
      <c r="AI101" s="574">
        <f t="shared" si="126"/>
        <v>8</v>
      </c>
      <c r="AJ101" s="544">
        <v>10</v>
      </c>
      <c r="AK101" s="574">
        <f t="shared" si="127"/>
        <v>8.1999999999999993</v>
      </c>
    </row>
    <row r="102" spans="1:37" ht="18" customHeight="1" x14ac:dyDescent="0.3">
      <c r="A102" s="557" t="s">
        <v>880</v>
      </c>
      <c r="B102" s="544">
        <v>0</v>
      </c>
      <c r="C102" s="544">
        <v>0</v>
      </c>
      <c r="D102" s="544">
        <v>0</v>
      </c>
      <c r="E102" s="544">
        <v>0</v>
      </c>
      <c r="F102" s="544">
        <v>0</v>
      </c>
      <c r="G102" s="573">
        <f t="shared" si="112"/>
        <v>0</v>
      </c>
      <c r="H102" s="544">
        <v>0</v>
      </c>
      <c r="I102" s="573">
        <f t="shared" si="113"/>
        <v>0</v>
      </c>
      <c r="J102" s="544">
        <v>0</v>
      </c>
      <c r="K102" s="573">
        <f t="shared" si="114"/>
        <v>0</v>
      </c>
      <c r="L102" s="544">
        <v>0</v>
      </c>
      <c r="M102" s="573">
        <f t="shared" si="115"/>
        <v>0</v>
      </c>
      <c r="N102" s="544">
        <v>0</v>
      </c>
      <c r="O102" s="574">
        <f t="shared" si="116"/>
        <v>0</v>
      </c>
      <c r="P102" s="544">
        <v>0</v>
      </c>
      <c r="Q102" s="574">
        <f t="shared" si="117"/>
        <v>0</v>
      </c>
      <c r="R102" s="544">
        <v>0</v>
      </c>
      <c r="S102" s="574">
        <f t="shared" si="118"/>
        <v>0</v>
      </c>
      <c r="T102" s="544">
        <v>8</v>
      </c>
      <c r="U102" s="574">
        <f t="shared" si="119"/>
        <v>1.6</v>
      </c>
      <c r="V102" s="544">
        <v>6</v>
      </c>
      <c r="W102" s="574">
        <f t="shared" si="120"/>
        <v>2.8</v>
      </c>
      <c r="X102" s="544">
        <v>2</v>
      </c>
      <c r="Y102" s="574">
        <f t="shared" si="121"/>
        <v>3.2</v>
      </c>
      <c r="Z102" s="544">
        <v>1</v>
      </c>
      <c r="AA102" s="574">
        <f t="shared" si="122"/>
        <v>3.4</v>
      </c>
      <c r="AB102" s="544">
        <v>0</v>
      </c>
      <c r="AC102" s="574">
        <f t="shared" si="123"/>
        <v>3.4</v>
      </c>
      <c r="AD102" s="544">
        <v>0</v>
      </c>
      <c r="AE102" s="574">
        <f t="shared" si="124"/>
        <v>1.8</v>
      </c>
      <c r="AF102" s="544">
        <v>0</v>
      </c>
      <c r="AG102" s="574">
        <f t="shared" si="125"/>
        <v>0.6</v>
      </c>
      <c r="AH102" s="544">
        <v>0</v>
      </c>
      <c r="AI102" s="574">
        <f t="shared" si="126"/>
        <v>0.2</v>
      </c>
      <c r="AJ102" s="544">
        <v>0</v>
      </c>
      <c r="AK102" s="574">
        <f t="shared" si="127"/>
        <v>0</v>
      </c>
    </row>
    <row r="103" spans="1:37" ht="18" customHeight="1" x14ac:dyDescent="0.3">
      <c r="A103" s="557" t="s">
        <v>776</v>
      </c>
      <c r="B103" s="544">
        <v>0</v>
      </c>
      <c r="C103" s="544">
        <v>0</v>
      </c>
      <c r="D103" s="544">
        <v>0</v>
      </c>
      <c r="E103" s="544">
        <v>0</v>
      </c>
      <c r="F103" s="544">
        <v>2</v>
      </c>
      <c r="G103" s="573">
        <f t="shared" si="112"/>
        <v>0.4</v>
      </c>
      <c r="H103" s="544">
        <v>3</v>
      </c>
      <c r="I103" s="573">
        <f t="shared" si="113"/>
        <v>1</v>
      </c>
      <c r="J103" s="544">
        <v>6</v>
      </c>
      <c r="K103" s="573">
        <f t="shared" si="114"/>
        <v>2.2000000000000002</v>
      </c>
      <c r="L103" s="544">
        <v>2</v>
      </c>
      <c r="M103" s="573">
        <f t="shared" si="115"/>
        <v>2.6</v>
      </c>
      <c r="N103" s="544">
        <v>3</v>
      </c>
      <c r="O103" s="574">
        <f t="shared" si="116"/>
        <v>3.2</v>
      </c>
      <c r="P103" s="544">
        <v>3</v>
      </c>
      <c r="Q103" s="574">
        <f t="shared" si="117"/>
        <v>3.4</v>
      </c>
      <c r="R103" s="544">
        <v>1</v>
      </c>
      <c r="S103" s="574">
        <f t="shared" si="118"/>
        <v>3</v>
      </c>
      <c r="T103" s="544">
        <v>0</v>
      </c>
      <c r="U103" s="574">
        <f t="shared" si="119"/>
        <v>1.8</v>
      </c>
      <c r="V103" s="544">
        <v>0</v>
      </c>
      <c r="W103" s="574">
        <f t="shared" si="120"/>
        <v>1.4</v>
      </c>
      <c r="X103" s="544">
        <v>0</v>
      </c>
      <c r="Y103" s="574">
        <f t="shared" si="121"/>
        <v>0.8</v>
      </c>
      <c r="Z103" s="544">
        <v>0</v>
      </c>
      <c r="AA103" s="574">
        <f t="shared" si="122"/>
        <v>0.2</v>
      </c>
      <c r="AB103" s="544">
        <v>0</v>
      </c>
      <c r="AC103" s="574">
        <f t="shared" si="123"/>
        <v>0</v>
      </c>
      <c r="AD103" s="544">
        <v>0</v>
      </c>
      <c r="AE103" s="574">
        <f t="shared" si="124"/>
        <v>0</v>
      </c>
      <c r="AF103" s="544">
        <v>0</v>
      </c>
      <c r="AG103" s="574">
        <f t="shared" si="125"/>
        <v>0</v>
      </c>
      <c r="AH103" s="544">
        <v>0</v>
      </c>
      <c r="AI103" s="574">
        <f t="shared" si="126"/>
        <v>0</v>
      </c>
      <c r="AJ103" s="544">
        <v>0</v>
      </c>
      <c r="AK103" s="574">
        <f t="shared" si="127"/>
        <v>0</v>
      </c>
    </row>
    <row r="104" spans="1:37" ht="18" customHeight="1" x14ac:dyDescent="0.3">
      <c r="A104" s="557" t="s">
        <v>524</v>
      </c>
      <c r="B104" s="544">
        <v>0</v>
      </c>
      <c r="C104" s="544">
        <v>0</v>
      </c>
      <c r="D104" s="544">
        <v>0</v>
      </c>
      <c r="E104" s="544">
        <v>0</v>
      </c>
      <c r="F104" s="544">
        <v>0</v>
      </c>
      <c r="G104" s="573">
        <f t="shared" si="112"/>
        <v>0</v>
      </c>
      <c r="H104" s="544">
        <v>0</v>
      </c>
      <c r="I104" s="573">
        <f t="shared" si="113"/>
        <v>0</v>
      </c>
      <c r="J104" s="544">
        <v>0</v>
      </c>
      <c r="K104" s="573">
        <f t="shared" si="114"/>
        <v>0</v>
      </c>
      <c r="L104" s="544">
        <v>1</v>
      </c>
      <c r="M104" s="573">
        <f t="shared" si="115"/>
        <v>0.2</v>
      </c>
      <c r="N104" s="544">
        <v>2</v>
      </c>
      <c r="O104" s="574">
        <f t="shared" si="116"/>
        <v>0.6</v>
      </c>
      <c r="P104" s="544">
        <v>1</v>
      </c>
      <c r="Q104" s="574">
        <f t="shared" si="117"/>
        <v>0.8</v>
      </c>
      <c r="R104" s="544">
        <v>1</v>
      </c>
      <c r="S104" s="574">
        <f t="shared" si="118"/>
        <v>1</v>
      </c>
      <c r="T104" s="544">
        <v>0</v>
      </c>
      <c r="U104" s="574">
        <f t="shared" si="119"/>
        <v>1</v>
      </c>
      <c r="V104" s="544">
        <v>0</v>
      </c>
      <c r="W104" s="574">
        <f t="shared" si="120"/>
        <v>0.8</v>
      </c>
      <c r="X104" s="544">
        <v>0</v>
      </c>
      <c r="Y104" s="574">
        <f t="shared" si="121"/>
        <v>0.4</v>
      </c>
      <c r="Z104" s="544">
        <v>0</v>
      </c>
      <c r="AA104" s="574">
        <f t="shared" si="122"/>
        <v>0.2</v>
      </c>
      <c r="AB104" s="544">
        <v>0</v>
      </c>
      <c r="AC104" s="574">
        <f t="shared" si="123"/>
        <v>0</v>
      </c>
      <c r="AD104" s="544">
        <v>0</v>
      </c>
      <c r="AE104" s="574">
        <f t="shared" si="124"/>
        <v>0</v>
      </c>
      <c r="AF104" s="544">
        <v>0</v>
      </c>
      <c r="AG104" s="574">
        <f t="shared" si="125"/>
        <v>0</v>
      </c>
      <c r="AH104" s="544">
        <v>0</v>
      </c>
      <c r="AI104" s="574">
        <f t="shared" si="126"/>
        <v>0</v>
      </c>
      <c r="AJ104" s="544">
        <v>0</v>
      </c>
      <c r="AK104" s="574">
        <f t="shared" si="127"/>
        <v>0</v>
      </c>
    </row>
    <row r="105" spans="1:37" ht="18" customHeight="1" x14ac:dyDescent="0.3">
      <c r="A105" s="557" t="s">
        <v>789</v>
      </c>
      <c r="B105" s="544">
        <v>0</v>
      </c>
      <c r="C105" s="544">
        <v>0</v>
      </c>
      <c r="D105" s="544">
        <v>0</v>
      </c>
      <c r="E105" s="544">
        <v>0</v>
      </c>
      <c r="F105" s="544">
        <v>3</v>
      </c>
      <c r="G105" s="573">
        <f t="shared" si="112"/>
        <v>0.6</v>
      </c>
      <c r="H105" s="544">
        <v>4</v>
      </c>
      <c r="I105" s="573">
        <f t="shared" si="113"/>
        <v>1.4</v>
      </c>
      <c r="J105" s="544">
        <v>2</v>
      </c>
      <c r="K105" s="573">
        <f t="shared" si="114"/>
        <v>1.8</v>
      </c>
      <c r="L105" s="544">
        <v>4</v>
      </c>
      <c r="M105" s="573">
        <f t="shared" si="115"/>
        <v>2.6</v>
      </c>
      <c r="N105" s="544">
        <v>2</v>
      </c>
      <c r="O105" s="574">
        <f t="shared" si="116"/>
        <v>3</v>
      </c>
      <c r="P105" s="544">
        <v>3</v>
      </c>
      <c r="Q105" s="574">
        <f t="shared" si="117"/>
        <v>3</v>
      </c>
      <c r="R105" s="544">
        <v>3</v>
      </c>
      <c r="S105" s="574">
        <f t="shared" si="118"/>
        <v>2.8</v>
      </c>
      <c r="T105" s="544">
        <v>1</v>
      </c>
      <c r="U105" s="574">
        <f t="shared" si="119"/>
        <v>2.6</v>
      </c>
      <c r="V105" s="544">
        <v>4</v>
      </c>
      <c r="W105" s="574">
        <f t="shared" si="120"/>
        <v>2.6</v>
      </c>
      <c r="X105" s="544">
        <v>4</v>
      </c>
      <c r="Y105" s="574">
        <f t="shared" si="121"/>
        <v>3</v>
      </c>
      <c r="Z105" s="544">
        <v>1</v>
      </c>
      <c r="AA105" s="574">
        <f t="shared" si="122"/>
        <v>2.6</v>
      </c>
      <c r="AB105" s="544">
        <v>1</v>
      </c>
      <c r="AC105" s="574">
        <f t="shared" si="123"/>
        <v>2.2000000000000002</v>
      </c>
      <c r="AD105" s="544">
        <v>1</v>
      </c>
      <c r="AE105" s="574">
        <f t="shared" si="124"/>
        <v>2.2000000000000002</v>
      </c>
      <c r="AF105" s="544">
        <v>1</v>
      </c>
      <c r="AG105" s="574">
        <f t="shared" si="125"/>
        <v>1.6</v>
      </c>
      <c r="AH105" s="544">
        <v>1</v>
      </c>
      <c r="AI105" s="574">
        <f t="shared" si="126"/>
        <v>1</v>
      </c>
      <c r="AJ105" s="544">
        <v>2</v>
      </c>
      <c r="AK105" s="574">
        <f t="shared" si="127"/>
        <v>1.2</v>
      </c>
    </row>
    <row r="106" spans="1:37" ht="18" customHeight="1" x14ac:dyDescent="0.3">
      <c r="A106" s="557" t="s">
        <v>525</v>
      </c>
      <c r="B106" s="544">
        <v>0</v>
      </c>
      <c r="C106" s="544">
        <v>0</v>
      </c>
      <c r="D106" s="544">
        <v>0</v>
      </c>
      <c r="E106" s="544">
        <v>0</v>
      </c>
      <c r="F106" s="544">
        <v>0</v>
      </c>
      <c r="G106" s="573">
        <f t="shared" si="112"/>
        <v>0</v>
      </c>
      <c r="H106" s="544">
        <v>0</v>
      </c>
      <c r="I106" s="573">
        <f t="shared" si="113"/>
        <v>0</v>
      </c>
      <c r="J106" s="544">
        <v>0</v>
      </c>
      <c r="K106" s="573">
        <f t="shared" si="114"/>
        <v>0</v>
      </c>
      <c r="L106" s="544">
        <v>1</v>
      </c>
      <c r="M106" s="573">
        <f t="shared" si="115"/>
        <v>0.2</v>
      </c>
      <c r="N106" s="544">
        <v>2</v>
      </c>
      <c r="O106" s="574">
        <f t="shared" si="116"/>
        <v>0.6</v>
      </c>
      <c r="P106" s="544">
        <v>1</v>
      </c>
      <c r="Q106" s="574">
        <f t="shared" si="117"/>
        <v>0.8</v>
      </c>
      <c r="R106" s="544">
        <v>4</v>
      </c>
      <c r="S106" s="574">
        <f t="shared" si="118"/>
        <v>1.6</v>
      </c>
      <c r="T106" s="544">
        <v>0</v>
      </c>
      <c r="U106" s="574">
        <f t="shared" si="119"/>
        <v>1.6</v>
      </c>
      <c r="V106" s="544">
        <v>0</v>
      </c>
      <c r="W106" s="574">
        <f t="shared" si="120"/>
        <v>1.4</v>
      </c>
      <c r="X106" s="544">
        <v>1</v>
      </c>
      <c r="Y106" s="574">
        <f t="shared" si="121"/>
        <v>1.2</v>
      </c>
      <c r="Z106" s="544">
        <v>3</v>
      </c>
      <c r="AA106" s="574">
        <f t="shared" si="122"/>
        <v>1.6</v>
      </c>
      <c r="AB106" s="544">
        <v>0</v>
      </c>
      <c r="AC106" s="574">
        <f t="shared" si="123"/>
        <v>0.8</v>
      </c>
      <c r="AD106" s="544">
        <v>0</v>
      </c>
      <c r="AE106" s="574">
        <f t="shared" si="124"/>
        <v>0.8</v>
      </c>
      <c r="AF106" s="544">
        <v>0</v>
      </c>
      <c r="AG106" s="574">
        <f t="shared" si="125"/>
        <v>0.8</v>
      </c>
      <c r="AH106" s="544">
        <v>0</v>
      </c>
      <c r="AI106" s="574">
        <f t="shared" si="126"/>
        <v>0.6</v>
      </c>
      <c r="AJ106" s="544">
        <v>0</v>
      </c>
      <c r="AK106" s="574">
        <f t="shared" si="127"/>
        <v>0</v>
      </c>
    </row>
    <row r="107" spans="1:37" ht="18" customHeight="1" x14ac:dyDescent="0.3">
      <c r="A107" s="557" t="s">
        <v>1106</v>
      </c>
      <c r="B107" s="544">
        <v>32</v>
      </c>
      <c r="C107" s="544">
        <v>27</v>
      </c>
      <c r="D107" s="544">
        <v>40</v>
      </c>
      <c r="E107" s="544">
        <v>28</v>
      </c>
      <c r="F107" s="544">
        <v>7</v>
      </c>
      <c r="G107" s="573">
        <f t="shared" si="112"/>
        <v>26.8</v>
      </c>
      <c r="H107" s="544">
        <v>7</v>
      </c>
      <c r="I107" s="573">
        <f t="shared" si="113"/>
        <v>21.8</v>
      </c>
      <c r="J107" s="544">
        <v>6</v>
      </c>
      <c r="K107" s="573">
        <f t="shared" si="114"/>
        <v>17.600000000000001</v>
      </c>
      <c r="L107" s="544">
        <v>8</v>
      </c>
      <c r="M107" s="573">
        <f t="shared" si="115"/>
        <v>11.2</v>
      </c>
      <c r="N107" s="548">
        <v>24</v>
      </c>
      <c r="O107" s="574">
        <f t="shared" si="116"/>
        <v>10.4</v>
      </c>
      <c r="P107" s="548">
        <v>13</v>
      </c>
      <c r="Q107" s="574">
        <f t="shared" si="117"/>
        <v>11.6</v>
      </c>
      <c r="R107" s="548">
        <v>26</v>
      </c>
      <c r="S107" s="574">
        <f t="shared" si="118"/>
        <v>15.4</v>
      </c>
      <c r="T107" s="548">
        <v>12</v>
      </c>
      <c r="U107" s="574">
        <f t="shared" si="119"/>
        <v>16.600000000000001</v>
      </c>
      <c r="V107" s="548">
        <v>13</v>
      </c>
      <c r="W107" s="574">
        <f t="shared" si="120"/>
        <v>17.600000000000001</v>
      </c>
      <c r="X107" s="548">
        <v>8</v>
      </c>
      <c r="Y107" s="574">
        <f t="shared" si="121"/>
        <v>14.4</v>
      </c>
      <c r="Z107" s="548">
        <v>11</v>
      </c>
      <c r="AA107" s="574">
        <f t="shared" si="122"/>
        <v>14</v>
      </c>
      <c r="AB107" s="548">
        <v>10</v>
      </c>
      <c r="AC107" s="574">
        <f t="shared" si="123"/>
        <v>10.8</v>
      </c>
      <c r="AD107" s="548">
        <v>14</v>
      </c>
      <c r="AE107" s="574">
        <f t="shared" si="124"/>
        <v>11.2</v>
      </c>
      <c r="AF107" s="548">
        <v>19</v>
      </c>
      <c r="AG107" s="574">
        <f t="shared" si="125"/>
        <v>12.4</v>
      </c>
      <c r="AH107" s="548">
        <v>16</v>
      </c>
      <c r="AI107" s="574">
        <f t="shared" si="126"/>
        <v>14</v>
      </c>
      <c r="AJ107" s="548">
        <v>10</v>
      </c>
      <c r="AK107" s="574">
        <f t="shared" si="127"/>
        <v>13.8</v>
      </c>
    </row>
    <row r="108" spans="1:37" ht="18" customHeight="1" x14ac:dyDescent="0.3">
      <c r="A108" s="557" t="s">
        <v>650</v>
      </c>
      <c r="B108" s="544">
        <v>0</v>
      </c>
      <c r="C108" s="544">
        <v>0</v>
      </c>
      <c r="D108" s="544">
        <v>0</v>
      </c>
      <c r="E108" s="544">
        <v>0</v>
      </c>
      <c r="F108" s="544">
        <v>0</v>
      </c>
      <c r="G108" s="573">
        <f t="shared" si="112"/>
        <v>0</v>
      </c>
      <c r="H108" s="544">
        <v>2</v>
      </c>
      <c r="I108" s="573">
        <f t="shared" si="113"/>
        <v>0.4</v>
      </c>
      <c r="J108" s="544">
        <v>4</v>
      </c>
      <c r="K108" s="573">
        <f t="shared" si="114"/>
        <v>1.2</v>
      </c>
      <c r="L108" s="544">
        <v>1</v>
      </c>
      <c r="M108" s="573">
        <f t="shared" si="115"/>
        <v>1.4</v>
      </c>
      <c r="N108" s="544">
        <v>4</v>
      </c>
      <c r="O108" s="574">
        <f t="shared" si="116"/>
        <v>2.2000000000000002</v>
      </c>
      <c r="P108" s="544">
        <v>0</v>
      </c>
      <c r="Q108" s="574">
        <f t="shared" si="117"/>
        <v>2.2000000000000002</v>
      </c>
      <c r="R108" s="544">
        <v>1</v>
      </c>
      <c r="S108" s="574">
        <f t="shared" si="118"/>
        <v>2</v>
      </c>
      <c r="T108" s="544">
        <v>2</v>
      </c>
      <c r="U108" s="574">
        <f t="shared" si="119"/>
        <v>1.6</v>
      </c>
      <c r="V108" s="544">
        <v>4</v>
      </c>
      <c r="W108" s="574">
        <f t="shared" si="120"/>
        <v>2.2000000000000002</v>
      </c>
      <c r="X108" s="544">
        <v>1</v>
      </c>
      <c r="Y108" s="574">
        <f t="shared" si="121"/>
        <v>1.6</v>
      </c>
      <c r="Z108" s="544">
        <v>3</v>
      </c>
      <c r="AA108" s="574">
        <f t="shared" si="122"/>
        <v>2.2000000000000002</v>
      </c>
      <c r="AB108" s="544">
        <v>0</v>
      </c>
      <c r="AC108" s="574">
        <f t="shared" si="123"/>
        <v>2</v>
      </c>
      <c r="AD108" s="544">
        <v>0</v>
      </c>
      <c r="AE108" s="574">
        <f t="shared" si="124"/>
        <v>1.6</v>
      </c>
      <c r="AF108" s="544">
        <v>0</v>
      </c>
      <c r="AG108" s="574">
        <f t="shared" si="125"/>
        <v>0.8</v>
      </c>
      <c r="AH108" s="544">
        <v>0</v>
      </c>
      <c r="AI108" s="574">
        <f t="shared" si="126"/>
        <v>0.6</v>
      </c>
      <c r="AJ108" s="544">
        <v>0</v>
      </c>
      <c r="AK108" s="574">
        <f t="shared" si="127"/>
        <v>0</v>
      </c>
    </row>
    <row r="109" spans="1:37" ht="18" customHeight="1" x14ac:dyDescent="0.3">
      <c r="A109" s="557" t="s">
        <v>1108</v>
      </c>
      <c r="B109" s="544">
        <v>0</v>
      </c>
      <c r="C109" s="544">
        <v>0</v>
      </c>
      <c r="D109" s="544">
        <v>0</v>
      </c>
      <c r="E109" s="544">
        <v>0</v>
      </c>
      <c r="F109" s="544">
        <v>8</v>
      </c>
      <c r="G109" s="573">
        <f t="shared" si="112"/>
        <v>1.6</v>
      </c>
      <c r="H109" s="544">
        <v>6</v>
      </c>
      <c r="I109" s="573">
        <f t="shared" si="113"/>
        <v>2.8</v>
      </c>
      <c r="J109" s="544">
        <v>11</v>
      </c>
      <c r="K109" s="573">
        <f t="shared" si="114"/>
        <v>5</v>
      </c>
      <c r="L109" s="544">
        <v>6</v>
      </c>
      <c r="M109" s="573">
        <f t="shared" si="115"/>
        <v>6.2</v>
      </c>
      <c r="N109" s="544">
        <v>6</v>
      </c>
      <c r="O109" s="574">
        <f t="shared" si="116"/>
        <v>7.4</v>
      </c>
      <c r="P109" s="544">
        <v>9</v>
      </c>
      <c r="Q109" s="574">
        <f t="shared" si="117"/>
        <v>7.6</v>
      </c>
      <c r="R109" s="544">
        <v>11</v>
      </c>
      <c r="S109" s="574">
        <f t="shared" si="118"/>
        <v>8.6</v>
      </c>
      <c r="T109" s="544">
        <v>7</v>
      </c>
      <c r="U109" s="574">
        <f t="shared" si="119"/>
        <v>7.8</v>
      </c>
      <c r="V109" s="544">
        <v>16</v>
      </c>
      <c r="W109" s="574">
        <f t="shared" si="120"/>
        <v>9.8000000000000007</v>
      </c>
      <c r="X109" s="544">
        <v>20</v>
      </c>
      <c r="Y109" s="574">
        <f t="shared" si="121"/>
        <v>12.6</v>
      </c>
      <c r="Z109" s="544">
        <v>14</v>
      </c>
      <c r="AA109" s="574">
        <f t="shared" si="122"/>
        <v>13.6</v>
      </c>
      <c r="AB109" s="544">
        <v>13</v>
      </c>
      <c r="AC109" s="574">
        <f t="shared" si="123"/>
        <v>14</v>
      </c>
      <c r="AD109" s="544">
        <v>17</v>
      </c>
      <c r="AE109" s="574">
        <f t="shared" si="124"/>
        <v>16</v>
      </c>
      <c r="AF109" s="544">
        <v>9</v>
      </c>
      <c r="AG109" s="574">
        <f t="shared" si="125"/>
        <v>14.6</v>
      </c>
      <c r="AH109" s="544">
        <v>17</v>
      </c>
      <c r="AI109" s="574">
        <f t="shared" si="126"/>
        <v>14</v>
      </c>
      <c r="AJ109" s="544">
        <v>19</v>
      </c>
      <c r="AK109" s="574">
        <f t="shared" si="127"/>
        <v>15</v>
      </c>
    </row>
    <row r="110" spans="1:37" ht="18" customHeight="1" x14ac:dyDescent="0.3">
      <c r="A110" s="557" t="s">
        <v>521</v>
      </c>
      <c r="B110" s="544">
        <v>0</v>
      </c>
      <c r="C110" s="544">
        <v>0</v>
      </c>
      <c r="D110" s="544">
        <v>0</v>
      </c>
      <c r="E110" s="544">
        <v>0</v>
      </c>
      <c r="F110" s="544">
        <v>5</v>
      </c>
      <c r="G110" s="573">
        <f t="shared" si="112"/>
        <v>1</v>
      </c>
      <c r="H110" s="544">
        <v>2</v>
      </c>
      <c r="I110" s="573">
        <f t="shared" si="113"/>
        <v>1.4</v>
      </c>
      <c r="J110" s="544">
        <v>2</v>
      </c>
      <c r="K110" s="573">
        <f t="shared" si="114"/>
        <v>1.8</v>
      </c>
      <c r="L110" s="544">
        <v>1</v>
      </c>
      <c r="M110" s="573">
        <f t="shared" si="115"/>
        <v>2</v>
      </c>
      <c r="N110" s="544">
        <v>4</v>
      </c>
      <c r="O110" s="574">
        <f t="shared" si="116"/>
        <v>2.8</v>
      </c>
      <c r="P110" s="544">
        <v>0</v>
      </c>
      <c r="Q110" s="574">
        <f t="shared" si="117"/>
        <v>1.8</v>
      </c>
      <c r="R110" s="544">
        <v>5</v>
      </c>
      <c r="S110" s="574">
        <f t="shared" si="118"/>
        <v>2.4</v>
      </c>
      <c r="T110" s="544">
        <v>2</v>
      </c>
      <c r="U110" s="574">
        <f t="shared" si="119"/>
        <v>2.4</v>
      </c>
      <c r="V110" s="544">
        <v>3</v>
      </c>
      <c r="W110" s="574">
        <f t="shared" si="120"/>
        <v>2.8</v>
      </c>
      <c r="X110" s="544">
        <v>2</v>
      </c>
      <c r="Y110" s="574">
        <f t="shared" si="121"/>
        <v>2.4</v>
      </c>
      <c r="Z110" s="544">
        <v>3</v>
      </c>
      <c r="AA110" s="574">
        <f t="shared" si="122"/>
        <v>3</v>
      </c>
      <c r="AB110" s="544">
        <v>0</v>
      </c>
      <c r="AC110" s="574">
        <f t="shared" si="123"/>
        <v>2</v>
      </c>
      <c r="AD110" s="544">
        <v>0</v>
      </c>
      <c r="AE110" s="574">
        <f t="shared" si="124"/>
        <v>1.6</v>
      </c>
      <c r="AF110" s="544">
        <v>0</v>
      </c>
      <c r="AG110" s="574">
        <f t="shared" si="125"/>
        <v>1</v>
      </c>
      <c r="AH110" s="544">
        <v>0</v>
      </c>
      <c r="AI110" s="574">
        <f t="shared" si="126"/>
        <v>0.6</v>
      </c>
      <c r="AJ110" s="544">
        <v>0</v>
      </c>
      <c r="AK110" s="574">
        <f t="shared" si="127"/>
        <v>0</v>
      </c>
    </row>
    <row r="111" spans="1:37" ht="18" customHeight="1" x14ac:dyDescent="0.3">
      <c r="A111" s="708" t="s">
        <v>1015</v>
      </c>
      <c r="B111" s="572">
        <f>SUM(B100:B110)</f>
        <v>42</v>
      </c>
      <c r="C111" s="572">
        <f>SUM(C100:C110)</f>
        <v>38</v>
      </c>
      <c r="D111" s="572">
        <f>SUM(D100:D110)</f>
        <v>51</v>
      </c>
      <c r="E111" s="572">
        <f>SUM(E100:E110)</f>
        <v>34</v>
      </c>
      <c r="F111" s="572">
        <f>SUM(F100:F110)</f>
        <v>32</v>
      </c>
      <c r="G111" s="573">
        <f t="shared" si="112"/>
        <v>39.4</v>
      </c>
      <c r="H111" s="572">
        <f>SUM(H100:H110)</f>
        <v>34</v>
      </c>
      <c r="I111" s="573">
        <f t="shared" si="113"/>
        <v>37.799999999999997</v>
      </c>
      <c r="J111" s="572">
        <f>SUM(J100:J110)</f>
        <v>36</v>
      </c>
      <c r="K111" s="573">
        <f t="shared" si="114"/>
        <v>37.4</v>
      </c>
      <c r="L111" s="572">
        <f>SUM(L100:L110)</f>
        <v>34</v>
      </c>
      <c r="M111" s="573">
        <f t="shared" si="115"/>
        <v>34</v>
      </c>
      <c r="N111" s="572">
        <f>SUM(N100:N110)</f>
        <v>55</v>
      </c>
      <c r="O111" s="574">
        <f t="shared" si="116"/>
        <v>38.200000000000003</v>
      </c>
      <c r="P111" s="572">
        <f>SUM(P100:P110)</f>
        <v>39</v>
      </c>
      <c r="Q111" s="574">
        <f t="shared" si="117"/>
        <v>39.6</v>
      </c>
      <c r="R111" s="572">
        <f>SUM(R100:R110)</f>
        <v>64</v>
      </c>
      <c r="S111" s="574">
        <f t="shared" si="118"/>
        <v>45.6</v>
      </c>
      <c r="T111" s="572">
        <f>SUM(T100:T110)</f>
        <v>50</v>
      </c>
      <c r="U111" s="574">
        <f t="shared" si="119"/>
        <v>48.4</v>
      </c>
      <c r="V111" s="572">
        <f>SUM(V100:V110)</f>
        <v>66</v>
      </c>
      <c r="W111" s="574">
        <f t="shared" si="120"/>
        <v>54.8</v>
      </c>
      <c r="X111" s="572">
        <f>SUM(X100:X110)</f>
        <v>55</v>
      </c>
      <c r="Y111" s="574">
        <f t="shared" si="121"/>
        <v>54.8</v>
      </c>
      <c r="Z111" s="572">
        <f>SUM(Z100:Z110)</f>
        <v>46</v>
      </c>
      <c r="AA111" s="574">
        <f t="shared" si="122"/>
        <v>56.2</v>
      </c>
      <c r="AB111" s="572">
        <f>SUM(AB100:AB110)</f>
        <v>33</v>
      </c>
      <c r="AC111" s="574">
        <f t="shared" si="123"/>
        <v>50</v>
      </c>
      <c r="AD111" s="572">
        <f>SUM(AD100:AD110)</f>
        <v>47</v>
      </c>
      <c r="AE111" s="574">
        <f t="shared" si="124"/>
        <v>49.4</v>
      </c>
      <c r="AF111" s="572">
        <f>SUM(AF100:AF110)</f>
        <v>39</v>
      </c>
      <c r="AG111" s="574">
        <f t="shared" si="125"/>
        <v>44</v>
      </c>
      <c r="AH111" s="572">
        <f>SUM(AH100:AH110)</f>
        <v>37</v>
      </c>
      <c r="AI111" s="574">
        <f t="shared" si="126"/>
        <v>40.4</v>
      </c>
      <c r="AJ111" s="572">
        <f>SUM(AJ100:AJ110)</f>
        <v>44</v>
      </c>
      <c r="AK111" s="574">
        <f t="shared" si="127"/>
        <v>40</v>
      </c>
    </row>
    <row r="112" spans="1:37" ht="18" customHeight="1" thickBot="1" x14ac:dyDescent="0.35">
      <c r="A112" s="556" t="s">
        <v>430</v>
      </c>
      <c r="B112" s="545">
        <f>+B111+B98</f>
        <v>141</v>
      </c>
      <c r="C112" s="545">
        <f>+C111+C98</f>
        <v>149</v>
      </c>
      <c r="D112" s="545">
        <f>+D111+D98</f>
        <v>152</v>
      </c>
      <c r="E112" s="545">
        <f>+E111+E98</f>
        <v>153</v>
      </c>
      <c r="F112" s="545">
        <f>+F111+F98</f>
        <v>146</v>
      </c>
      <c r="G112" s="579">
        <f t="shared" si="112"/>
        <v>148.19999999999999</v>
      </c>
      <c r="H112" s="545">
        <f>+H111+H98</f>
        <v>158</v>
      </c>
      <c r="I112" s="579">
        <f t="shared" si="113"/>
        <v>151.6</v>
      </c>
      <c r="J112" s="545">
        <f>+J111+J98</f>
        <v>137</v>
      </c>
      <c r="K112" s="579">
        <f t="shared" si="114"/>
        <v>149.19999999999999</v>
      </c>
      <c r="L112" s="545">
        <f>+L111+L98</f>
        <v>163</v>
      </c>
      <c r="M112" s="580">
        <f t="shared" si="115"/>
        <v>151.4</v>
      </c>
      <c r="N112" s="581">
        <f>+N111+N98</f>
        <v>166</v>
      </c>
      <c r="O112" s="582">
        <f t="shared" si="116"/>
        <v>154</v>
      </c>
      <c r="P112" s="581">
        <f>+P111+P98</f>
        <v>145</v>
      </c>
      <c r="Q112" s="574">
        <f t="shared" si="117"/>
        <v>153.80000000000001</v>
      </c>
      <c r="R112" s="581">
        <f>+R111+R98</f>
        <v>177</v>
      </c>
      <c r="S112" s="574">
        <f t="shared" si="118"/>
        <v>157.6</v>
      </c>
      <c r="T112" s="581">
        <f>+T111+T98</f>
        <v>152</v>
      </c>
      <c r="U112" s="574">
        <f t="shared" si="119"/>
        <v>160.6</v>
      </c>
      <c r="V112" s="581">
        <f>+V111+V98</f>
        <v>157</v>
      </c>
      <c r="W112" s="574">
        <f t="shared" si="120"/>
        <v>159.4</v>
      </c>
      <c r="X112" s="581">
        <f>+X111+X98</f>
        <v>164</v>
      </c>
      <c r="Y112" s="574">
        <f t="shared" si="121"/>
        <v>159</v>
      </c>
      <c r="Z112" s="581">
        <f>+Z111+Z98</f>
        <v>146</v>
      </c>
      <c r="AA112" s="574">
        <f t="shared" si="122"/>
        <v>159.19999999999999</v>
      </c>
      <c r="AB112" s="581">
        <f>+AB111+AB98</f>
        <v>149</v>
      </c>
      <c r="AC112" s="574">
        <f t="shared" si="123"/>
        <v>153.6</v>
      </c>
      <c r="AD112" s="581">
        <f>+AD111+AD98</f>
        <v>157</v>
      </c>
      <c r="AE112" s="574">
        <f t="shared" si="124"/>
        <v>154.6</v>
      </c>
      <c r="AF112" s="581">
        <f>+AF111+AF98</f>
        <v>164</v>
      </c>
      <c r="AG112" s="574">
        <f t="shared" si="125"/>
        <v>156</v>
      </c>
      <c r="AH112" s="581">
        <f>+AH111+AH98</f>
        <v>143</v>
      </c>
      <c r="AI112" s="574">
        <f t="shared" si="126"/>
        <v>151.80000000000001</v>
      </c>
      <c r="AJ112" s="581">
        <f>+AJ111+AJ98</f>
        <v>149</v>
      </c>
      <c r="AK112" s="574">
        <f t="shared" si="127"/>
        <v>152.4</v>
      </c>
    </row>
    <row r="113" spans="1:37" ht="18" customHeight="1" thickBot="1" x14ac:dyDescent="0.35">
      <c r="A113" s="879" t="s">
        <v>1003</v>
      </c>
      <c r="B113" s="880">
        <f>B112+B87+B57+B30</f>
        <v>432</v>
      </c>
      <c r="C113" s="880">
        <f>C112+C87+C57+C30</f>
        <v>462</v>
      </c>
      <c r="D113" s="880">
        <f>D112+D87+D57+D30</f>
        <v>440</v>
      </c>
      <c r="E113" s="880">
        <f>E112+E87+E57+E30</f>
        <v>415</v>
      </c>
      <c r="F113" s="880">
        <f>F112+F87+F57+F30</f>
        <v>405</v>
      </c>
      <c r="G113" s="880">
        <f t="shared" si="112"/>
        <v>430.8</v>
      </c>
      <c r="H113" s="880">
        <f>H112+H87+H57+H30</f>
        <v>422</v>
      </c>
      <c r="I113" s="880">
        <f t="shared" si="113"/>
        <v>428.8</v>
      </c>
      <c r="J113" s="880">
        <f>J112+J87+J57+J30</f>
        <v>426</v>
      </c>
      <c r="K113" s="880">
        <f t="shared" si="114"/>
        <v>421.6</v>
      </c>
      <c r="L113" s="880">
        <f>L112+L87+L57+L30</f>
        <v>473</v>
      </c>
      <c r="M113" s="880">
        <f t="shared" si="115"/>
        <v>428.2</v>
      </c>
      <c r="N113" s="880">
        <f>N112+N87+N57+N30</f>
        <v>492</v>
      </c>
      <c r="O113" s="881">
        <f t="shared" si="116"/>
        <v>443.6</v>
      </c>
      <c r="P113" s="880">
        <f>P112+P87+P57+P30</f>
        <v>477</v>
      </c>
      <c r="Q113" s="880">
        <f t="shared" si="117"/>
        <v>458</v>
      </c>
      <c r="R113" s="880">
        <f>R112+R87+R57+R30</f>
        <v>485</v>
      </c>
      <c r="S113" s="882">
        <f t="shared" si="118"/>
        <v>470.6</v>
      </c>
      <c r="T113" s="880">
        <f>T112+T87+T57+T30</f>
        <v>419</v>
      </c>
      <c r="U113" s="882">
        <f t="shared" si="119"/>
        <v>469.2</v>
      </c>
      <c r="V113" s="880">
        <f>V112+V87+V57+V30</f>
        <v>475</v>
      </c>
      <c r="W113" s="882">
        <f t="shared" si="120"/>
        <v>469.6</v>
      </c>
      <c r="X113" s="880">
        <f>X112+X87+X57+X30</f>
        <v>481</v>
      </c>
      <c r="Y113" s="882">
        <f t="shared" si="121"/>
        <v>467.4</v>
      </c>
      <c r="Z113" s="880">
        <f>Z112+Z87+Z57+Z30</f>
        <v>447</v>
      </c>
      <c r="AA113" s="882">
        <f t="shared" si="122"/>
        <v>461.4</v>
      </c>
      <c r="AB113" s="880">
        <f>AB112+AB87+AB57+AB30</f>
        <v>472</v>
      </c>
      <c r="AC113" s="882">
        <f t="shared" si="123"/>
        <v>458.8</v>
      </c>
      <c r="AD113" s="880">
        <f>AD112+AD87+AD57+AD30</f>
        <v>497</v>
      </c>
      <c r="AE113" s="882">
        <f t="shared" si="124"/>
        <v>474.4</v>
      </c>
      <c r="AF113" s="880">
        <f>AF112+AF87+AF57+AF30</f>
        <v>582</v>
      </c>
      <c r="AG113" s="882">
        <f t="shared" si="125"/>
        <v>495.8</v>
      </c>
      <c r="AH113" s="880">
        <f>AH112+AH87+AH57+AH30</f>
        <v>494</v>
      </c>
      <c r="AI113" s="882">
        <f t="shared" si="126"/>
        <v>498.4</v>
      </c>
      <c r="AJ113" s="880">
        <f>AJ112+AJ87+AJ57+AJ30</f>
        <v>460</v>
      </c>
      <c r="AK113" s="882">
        <f t="shared" si="127"/>
        <v>501</v>
      </c>
    </row>
    <row r="114" spans="1:37" ht="18" customHeight="1" x14ac:dyDescent="0.25">
      <c r="A114" s="474"/>
      <c r="B114" s="474"/>
      <c r="C114" s="474"/>
      <c r="D114" s="474"/>
      <c r="E114" s="474"/>
      <c r="F114" s="474"/>
      <c r="G114" s="475"/>
      <c r="H114" s="475"/>
      <c r="I114" s="475"/>
      <c r="J114" s="475"/>
      <c r="K114" s="475"/>
      <c r="L114" s="475"/>
      <c r="M114" s="475"/>
      <c r="N114" s="475"/>
      <c r="O114" s="475"/>
    </row>
  </sheetData>
  <mergeCells count="6">
    <mergeCell ref="A88:AK88"/>
    <mergeCell ref="A58:AK58"/>
    <mergeCell ref="A31:AK31"/>
    <mergeCell ref="A3:AK3"/>
    <mergeCell ref="A1:AK1"/>
    <mergeCell ref="A2:AK2"/>
  </mergeCells>
  <printOptions horizontalCentered="1" verticalCentered="1"/>
  <pageMargins left="0.2" right="0.2" top="0.3" bottom="0.4" header="0" footer="0.15"/>
  <pageSetup paperSize="5" scale="51" orientation="landscape" r:id="rId1"/>
  <headerFooter alignWithMargins="0">
    <oddFooter>&amp;LSource: Office of Institutional Research</oddFooter>
  </headerFooter>
  <rowBreaks count="1" manualBreakCount="1">
    <brk id="57" max="16383"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workbookViewId="0">
      <selection sqref="A1:N1"/>
    </sheetView>
  </sheetViews>
  <sheetFormatPr defaultRowHeight="13.2" x14ac:dyDescent="0.25"/>
  <cols>
    <col min="1" max="1" width="51.44140625" customWidth="1"/>
    <col min="2" max="9" width="12.44140625" hidden="1" customWidth="1"/>
    <col min="10" max="10" width="12.5546875" customWidth="1"/>
    <col min="11" max="37" width="12.6640625" customWidth="1"/>
  </cols>
  <sheetData>
    <row r="1" spans="1:14" ht="19.2" x14ac:dyDescent="0.35">
      <c r="A1" s="2174" t="s">
        <v>488</v>
      </c>
      <c r="B1" s="2174"/>
      <c r="C1" s="2174"/>
      <c r="D1" s="2174"/>
      <c r="E1" s="2174"/>
      <c r="F1" s="2174"/>
      <c r="G1" s="2174"/>
      <c r="H1" s="2174"/>
      <c r="I1" s="2174"/>
      <c r="J1" s="2174"/>
      <c r="K1" s="2174"/>
      <c r="L1" s="2174"/>
      <c r="M1" s="2174"/>
      <c r="N1" s="2174"/>
    </row>
    <row r="2" spans="1:14" ht="8.4" customHeight="1" x14ac:dyDescent="0.35">
      <c r="A2" s="2210"/>
      <c r="B2" s="2210"/>
      <c r="C2" s="2210"/>
      <c r="D2" s="2210"/>
      <c r="E2" s="2210"/>
      <c r="F2" s="2210"/>
    </row>
    <row r="3" spans="1:14" ht="17.399999999999999" x14ac:dyDescent="0.3">
      <c r="A3" s="2220"/>
      <c r="B3" s="2221"/>
      <c r="C3" s="2221"/>
      <c r="D3" s="2221"/>
      <c r="E3" s="2221"/>
      <c r="F3" s="2221"/>
      <c r="G3" s="2221"/>
      <c r="H3" s="2221"/>
      <c r="I3" s="2221"/>
      <c r="J3" s="2221"/>
      <c r="K3" s="2221"/>
      <c r="L3" s="2221"/>
      <c r="M3" s="2221"/>
      <c r="N3" s="2221"/>
    </row>
    <row r="4" spans="1:14" ht="16.8" x14ac:dyDescent="0.3">
      <c r="A4" s="549" t="s">
        <v>496</v>
      </c>
      <c r="B4" s="1193" t="s">
        <v>1105</v>
      </c>
      <c r="C4" s="1193" t="s">
        <v>283</v>
      </c>
      <c r="D4" s="1193" t="s">
        <v>1314</v>
      </c>
      <c r="E4" s="1193" t="s">
        <v>372</v>
      </c>
      <c r="F4" s="1193" t="s">
        <v>615</v>
      </c>
      <c r="G4" s="1193" t="s">
        <v>1418</v>
      </c>
      <c r="H4" s="1193" t="s">
        <v>1446</v>
      </c>
      <c r="I4" s="1193" t="s">
        <v>1447</v>
      </c>
      <c r="J4" s="550" t="s">
        <v>1438</v>
      </c>
      <c r="K4" s="550" t="s">
        <v>1549</v>
      </c>
      <c r="L4" s="550" t="s">
        <v>1611</v>
      </c>
      <c r="M4" s="550" t="s">
        <v>1639</v>
      </c>
      <c r="N4" s="550" t="s">
        <v>1721</v>
      </c>
    </row>
    <row r="5" spans="1:14" ht="16.8" x14ac:dyDescent="0.3">
      <c r="A5" s="552" t="s">
        <v>489</v>
      </c>
      <c r="B5" s="544">
        <v>0</v>
      </c>
      <c r="C5" s="544">
        <v>1</v>
      </c>
      <c r="D5" s="544">
        <v>1</v>
      </c>
      <c r="E5" s="544">
        <v>3</v>
      </c>
      <c r="F5" s="544">
        <v>0</v>
      </c>
      <c r="G5" s="544">
        <v>1</v>
      </c>
      <c r="H5" s="544">
        <v>2</v>
      </c>
      <c r="I5" s="544">
        <v>2</v>
      </c>
      <c r="J5" s="1076">
        <v>3</v>
      </c>
      <c r="K5" s="1076">
        <v>1</v>
      </c>
      <c r="L5" s="1076">
        <v>2</v>
      </c>
      <c r="M5" s="1076">
        <v>2</v>
      </c>
      <c r="N5" s="1076">
        <v>1</v>
      </c>
    </row>
    <row r="6" spans="1:14" ht="16.8" x14ac:dyDescent="0.3">
      <c r="A6" s="552" t="s">
        <v>490</v>
      </c>
      <c r="B6" s="544">
        <v>2</v>
      </c>
      <c r="C6" s="544">
        <v>5</v>
      </c>
      <c r="D6" s="544">
        <v>1</v>
      </c>
      <c r="E6" s="544">
        <v>3</v>
      </c>
      <c r="F6" s="544">
        <v>2</v>
      </c>
      <c r="G6" s="544">
        <v>2</v>
      </c>
      <c r="H6" s="544">
        <v>0</v>
      </c>
      <c r="I6" s="544">
        <v>3</v>
      </c>
      <c r="J6" s="1076">
        <v>3</v>
      </c>
      <c r="K6" s="1076">
        <v>4</v>
      </c>
      <c r="L6" s="1076">
        <v>8</v>
      </c>
      <c r="M6" s="1076">
        <v>0</v>
      </c>
      <c r="N6" s="1076">
        <v>4</v>
      </c>
    </row>
    <row r="7" spans="1:14" ht="16.8" x14ac:dyDescent="0.3">
      <c r="A7" s="552" t="s">
        <v>491</v>
      </c>
      <c r="B7" s="544">
        <v>0</v>
      </c>
      <c r="C7" s="544">
        <v>4</v>
      </c>
      <c r="D7" s="544">
        <v>3</v>
      </c>
      <c r="E7" s="544">
        <v>1</v>
      </c>
      <c r="F7" s="544">
        <v>3</v>
      </c>
      <c r="G7" s="544">
        <v>1</v>
      </c>
      <c r="H7" s="544">
        <v>2</v>
      </c>
      <c r="I7" s="544">
        <v>2</v>
      </c>
      <c r="J7" s="1076">
        <v>1</v>
      </c>
      <c r="K7" s="1076">
        <v>2</v>
      </c>
      <c r="L7" s="1076">
        <v>0</v>
      </c>
      <c r="M7" s="1076">
        <v>2</v>
      </c>
      <c r="N7" s="1076">
        <v>0</v>
      </c>
    </row>
    <row r="8" spans="1:14" ht="16.8" x14ac:dyDescent="0.3">
      <c r="A8" s="552" t="s">
        <v>492</v>
      </c>
      <c r="B8" s="544">
        <v>2</v>
      </c>
      <c r="C8" s="544">
        <v>8</v>
      </c>
      <c r="D8" s="544">
        <v>4</v>
      </c>
      <c r="E8" s="544">
        <v>2</v>
      </c>
      <c r="F8" s="544">
        <v>0</v>
      </c>
      <c r="G8" s="544">
        <v>3</v>
      </c>
      <c r="H8" s="544">
        <v>3</v>
      </c>
      <c r="I8" s="544">
        <v>2</v>
      </c>
      <c r="J8" s="1076">
        <v>2</v>
      </c>
      <c r="K8" s="1076">
        <v>2</v>
      </c>
      <c r="L8" s="1076">
        <v>3</v>
      </c>
      <c r="M8" s="1076">
        <v>1</v>
      </c>
      <c r="N8" s="1076">
        <v>2</v>
      </c>
    </row>
    <row r="9" spans="1:14" ht="16.8" x14ac:dyDescent="0.3">
      <c r="A9" s="552" t="s">
        <v>493</v>
      </c>
      <c r="B9" s="544">
        <v>0</v>
      </c>
      <c r="C9" s="544">
        <v>0</v>
      </c>
      <c r="D9" s="544">
        <v>1</v>
      </c>
      <c r="E9" s="544">
        <v>0</v>
      </c>
      <c r="F9" s="544">
        <v>0</v>
      </c>
      <c r="G9" s="544">
        <v>0</v>
      </c>
      <c r="H9" s="544">
        <v>0</v>
      </c>
      <c r="I9" s="544">
        <v>0</v>
      </c>
      <c r="J9" s="1076">
        <v>0</v>
      </c>
      <c r="K9" s="1076">
        <v>0</v>
      </c>
      <c r="L9" s="1076">
        <v>0</v>
      </c>
      <c r="M9" s="1076">
        <v>0</v>
      </c>
      <c r="N9" s="1076">
        <v>0</v>
      </c>
    </row>
    <row r="10" spans="1:14" ht="16.8" x14ac:dyDescent="0.3">
      <c r="A10" s="552" t="s">
        <v>494</v>
      </c>
      <c r="B10" s="544">
        <v>0</v>
      </c>
      <c r="C10" s="544">
        <v>1</v>
      </c>
      <c r="D10" s="544">
        <v>0</v>
      </c>
      <c r="E10" s="544">
        <v>0</v>
      </c>
      <c r="F10" s="544">
        <v>2</v>
      </c>
      <c r="G10" s="544">
        <v>0</v>
      </c>
      <c r="H10" s="544">
        <v>0</v>
      </c>
      <c r="I10" s="544">
        <v>0</v>
      </c>
      <c r="J10" s="1076">
        <v>0</v>
      </c>
      <c r="K10" s="1076">
        <v>0</v>
      </c>
      <c r="L10" s="1076">
        <v>0</v>
      </c>
      <c r="M10" s="1076">
        <v>0</v>
      </c>
      <c r="N10" s="1076">
        <v>0</v>
      </c>
    </row>
    <row r="11" spans="1:14" ht="16.8" x14ac:dyDescent="0.3">
      <c r="A11" s="552" t="s">
        <v>495</v>
      </c>
      <c r="B11" s="544">
        <v>3</v>
      </c>
      <c r="C11" s="544">
        <v>4</v>
      </c>
      <c r="D11" s="544">
        <v>2</v>
      </c>
      <c r="E11" s="544">
        <v>0</v>
      </c>
      <c r="F11" s="544">
        <v>1</v>
      </c>
      <c r="G11" s="544">
        <v>0</v>
      </c>
      <c r="H11" s="544">
        <v>1</v>
      </c>
      <c r="I11" s="544">
        <v>0</v>
      </c>
      <c r="J11" s="1076">
        <v>0</v>
      </c>
      <c r="K11" s="1076">
        <v>0</v>
      </c>
      <c r="L11" s="1076">
        <v>7</v>
      </c>
      <c r="M11" s="1076">
        <v>1</v>
      </c>
      <c r="N11" s="1076">
        <v>1</v>
      </c>
    </row>
    <row r="12" spans="1:14" ht="17.399999999999999" thickBot="1" x14ac:dyDescent="0.35">
      <c r="A12" s="725" t="s">
        <v>888</v>
      </c>
      <c r="B12" s="577">
        <f t="shared" ref="B12:I12" si="0">SUM(B5:B11)</f>
        <v>7</v>
      </c>
      <c r="C12" s="577">
        <f t="shared" si="0"/>
        <v>23</v>
      </c>
      <c r="D12" s="577">
        <f t="shared" si="0"/>
        <v>12</v>
      </c>
      <c r="E12" s="577">
        <f t="shared" si="0"/>
        <v>9</v>
      </c>
      <c r="F12" s="577">
        <f t="shared" si="0"/>
        <v>8</v>
      </c>
      <c r="G12" s="577">
        <f t="shared" si="0"/>
        <v>7</v>
      </c>
      <c r="H12" s="577">
        <f t="shared" si="0"/>
        <v>8</v>
      </c>
      <c r="I12" s="577">
        <f t="shared" si="0"/>
        <v>9</v>
      </c>
      <c r="J12" s="1010">
        <f>SUM(J5:J11)</f>
        <v>9</v>
      </c>
      <c r="K12" s="1010">
        <f>SUM(K5:K11)</f>
        <v>9</v>
      </c>
      <c r="L12" s="1010">
        <f>SUM(L5:L11)</f>
        <v>20</v>
      </c>
      <c r="M12" s="1010">
        <f>SUM(M5:M11)</f>
        <v>6</v>
      </c>
      <c r="N12" s="1010">
        <f>SUM(N5:N11)</f>
        <v>8</v>
      </c>
    </row>
    <row r="14" spans="1:14" s="1075" customFormat="1" ht="41.4" customHeight="1" x14ac:dyDescent="0.25">
      <c r="A14" s="2218" t="s">
        <v>1524</v>
      </c>
      <c r="B14" s="2219"/>
      <c r="C14" s="2219"/>
      <c r="D14" s="2219"/>
      <c r="E14" s="2219"/>
      <c r="F14" s="2219"/>
      <c r="G14" s="2219"/>
      <c r="H14" s="2219"/>
      <c r="I14" s="2219"/>
      <c r="J14" s="2219"/>
      <c r="K14" s="2219"/>
      <c r="L14" s="2219"/>
      <c r="M14" s="2219"/>
    </row>
    <row r="15" spans="1:14" s="1075" customFormat="1" ht="25.5" customHeight="1" x14ac:dyDescent="0.25">
      <c r="A15" s="2216"/>
      <c r="B15" s="2217"/>
      <c r="C15" s="2217"/>
      <c r="D15" s="2217"/>
      <c r="E15" s="2217"/>
      <c r="F15" s="2217"/>
      <c r="G15" s="2217"/>
    </row>
  </sheetData>
  <mergeCells count="5">
    <mergeCell ref="A2:F2"/>
    <mergeCell ref="A15:G15"/>
    <mergeCell ref="A14:M14"/>
    <mergeCell ref="A1:N1"/>
    <mergeCell ref="A3:N3"/>
  </mergeCells>
  <phoneticPr fontId="16" type="noConversion"/>
  <pageMargins left="0.75" right="0.75" top="1" bottom="1" header="0.5" footer="0.5"/>
  <pageSetup scale="83" orientation="portrait" r:id="rId1"/>
  <headerFooter alignWithMargins="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pageSetUpPr fitToPage="1"/>
  </sheetPr>
  <dimension ref="A1:P51"/>
  <sheetViews>
    <sheetView workbookViewId="0">
      <selection sqref="A1:O1"/>
    </sheetView>
  </sheetViews>
  <sheetFormatPr defaultRowHeight="13.2" x14ac:dyDescent="0.25"/>
  <cols>
    <col min="1" max="1" width="32.44140625" customWidth="1"/>
    <col min="2" max="6" width="12.6640625" hidden="1" customWidth="1"/>
    <col min="7" max="10" width="12.88671875" hidden="1" customWidth="1"/>
    <col min="11" max="12" width="12.88671875" customWidth="1"/>
    <col min="13" max="13" width="12.6640625" customWidth="1"/>
    <col min="14" max="23" width="12.88671875" customWidth="1"/>
  </cols>
  <sheetData>
    <row r="1" spans="1:15" ht="19.2" x14ac:dyDescent="0.35">
      <c r="A1" s="2174" t="s">
        <v>484</v>
      </c>
      <c r="B1" s="2174"/>
      <c r="C1" s="2174"/>
      <c r="D1" s="2174"/>
      <c r="E1" s="2174"/>
      <c r="F1" s="2174"/>
      <c r="G1" s="2174"/>
      <c r="H1" s="2174"/>
      <c r="I1" s="2174"/>
      <c r="J1" s="2174"/>
      <c r="K1" s="2174"/>
      <c r="L1" s="2174"/>
      <c r="M1" s="2174"/>
      <c r="N1" s="2174"/>
      <c r="O1" s="2174"/>
    </row>
    <row r="3" spans="1:15" x14ac:dyDescent="0.25">
      <c r="A3" s="247" t="s">
        <v>485</v>
      </c>
      <c r="B3" s="248" t="s">
        <v>795</v>
      </c>
      <c r="C3" s="248" t="s">
        <v>652</v>
      </c>
      <c r="D3" s="248" t="s">
        <v>1359</v>
      </c>
      <c r="E3" s="248" t="s">
        <v>1105</v>
      </c>
      <c r="F3" s="248" t="s">
        <v>372</v>
      </c>
      <c r="G3" s="248" t="s">
        <v>615</v>
      </c>
      <c r="H3" s="248" t="s">
        <v>1418</v>
      </c>
      <c r="I3" s="248" t="s">
        <v>1446</v>
      </c>
      <c r="J3" s="248" t="s">
        <v>1447</v>
      </c>
      <c r="K3" s="248" t="s">
        <v>1438</v>
      </c>
      <c r="L3" s="248" t="s">
        <v>1549</v>
      </c>
      <c r="M3" s="248" t="s">
        <v>1611</v>
      </c>
      <c r="N3" s="248" t="s">
        <v>1639</v>
      </c>
      <c r="O3" s="248" t="s">
        <v>1721</v>
      </c>
    </row>
    <row r="4" spans="1:15" x14ac:dyDescent="0.25">
      <c r="A4" s="378"/>
      <c r="B4" s="379"/>
      <c r="C4" s="379"/>
      <c r="D4" s="379"/>
      <c r="E4" s="379"/>
      <c r="F4" s="379"/>
      <c r="G4" s="379"/>
      <c r="H4" s="379"/>
      <c r="I4" s="379"/>
      <c r="J4" s="379"/>
      <c r="K4" s="379"/>
      <c r="L4" s="379"/>
      <c r="M4" s="379"/>
      <c r="N4" s="379"/>
      <c r="O4" s="379"/>
    </row>
    <row r="5" spans="1:15" x14ac:dyDescent="0.25">
      <c r="A5" s="671" t="s">
        <v>1175</v>
      </c>
      <c r="B5" s="672">
        <v>0</v>
      </c>
      <c r="C5" s="672">
        <v>0</v>
      </c>
      <c r="D5" s="672">
        <v>0</v>
      </c>
      <c r="E5" s="672">
        <v>0</v>
      </c>
      <c r="F5" s="672">
        <v>0</v>
      </c>
      <c r="G5" s="672">
        <v>1</v>
      </c>
      <c r="H5" s="672">
        <v>3</v>
      </c>
      <c r="I5" s="672">
        <v>2</v>
      </c>
      <c r="J5" s="672">
        <v>3</v>
      </c>
      <c r="K5" s="672">
        <v>2</v>
      </c>
      <c r="L5" s="672">
        <v>0</v>
      </c>
      <c r="M5" s="672">
        <v>0</v>
      </c>
      <c r="N5" s="672">
        <v>0</v>
      </c>
      <c r="O5" s="672">
        <v>0</v>
      </c>
    </row>
    <row r="6" spans="1:15" x14ac:dyDescent="0.25">
      <c r="A6" s="161" t="s">
        <v>1176</v>
      </c>
      <c r="B6" s="162">
        <v>0</v>
      </c>
      <c r="C6" s="162">
        <v>0</v>
      </c>
      <c r="D6" s="162">
        <v>1</v>
      </c>
      <c r="E6" s="162">
        <v>1</v>
      </c>
      <c r="F6" s="162">
        <v>0</v>
      </c>
      <c r="G6" s="162">
        <v>0</v>
      </c>
      <c r="H6" s="162">
        <v>0</v>
      </c>
      <c r="I6" s="162">
        <v>0</v>
      </c>
      <c r="J6" s="162">
        <v>0</v>
      </c>
      <c r="K6" s="162">
        <v>0</v>
      </c>
      <c r="L6" s="162">
        <v>0</v>
      </c>
      <c r="M6" s="162">
        <v>0</v>
      </c>
      <c r="N6" s="162">
        <v>0</v>
      </c>
      <c r="O6" s="162">
        <v>0</v>
      </c>
    </row>
    <row r="7" spans="1:15" x14ac:dyDescent="0.25">
      <c r="A7" s="161" t="s">
        <v>1177</v>
      </c>
      <c r="B7" s="162">
        <v>0</v>
      </c>
      <c r="C7" s="162">
        <v>0</v>
      </c>
      <c r="D7" s="162">
        <v>1</v>
      </c>
      <c r="E7" s="162">
        <v>0</v>
      </c>
      <c r="F7" s="162">
        <v>0</v>
      </c>
      <c r="G7" s="162">
        <v>0</v>
      </c>
      <c r="H7" s="162">
        <v>1</v>
      </c>
      <c r="I7" s="162">
        <v>1</v>
      </c>
      <c r="J7" s="162">
        <v>0</v>
      </c>
      <c r="K7" s="162">
        <v>0</v>
      </c>
      <c r="L7" s="162">
        <v>0</v>
      </c>
      <c r="M7" s="162">
        <v>0</v>
      </c>
      <c r="N7" s="162">
        <v>0</v>
      </c>
      <c r="O7" s="162">
        <v>0</v>
      </c>
    </row>
    <row r="8" spans="1:15" x14ac:dyDescent="0.25">
      <c r="A8" s="1633" t="s">
        <v>1110</v>
      </c>
      <c r="B8" s="162">
        <v>11</v>
      </c>
      <c r="C8" s="162">
        <v>2</v>
      </c>
      <c r="D8" s="162">
        <v>9</v>
      </c>
      <c r="E8" s="162">
        <v>7</v>
      </c>
      <c r="F8" s="162">
        <v>3</v>
      </c>
      <c r="G8" s="162">
        <v>4</v>
      </c>
      <c r="H8" s="162">
        <v>1</v>
      </c>
      <c r="I8" s="162">
        <v>4</v>
      </c>
      <c r="J8" s="162">
        <v>0</v>
      </c>
      <c r="K8" s="162">
        <v>2</v>
      </c>
      <c r="L8" s="162">
        <v>1</v>
      </c>
      <c r="M8" s="162">
        <v>3</v>
      </c>
      <c r="N8" s="162">
        <v>1</v>
      </c>
      <c r="O8" s="162">
        <v>1</v>
      </c>
    </row>
    <row r="9" spans="1:15" x14ac:dyDescent="0.25">
      <c r="A9" s="161" t="s">
        <v>1178</v>
      </c>
      <c r="B9" s="162">
        <v>15</v>
      </c>
      <c r="C9" s="162">
        <v>8</v>
      </c>
      <c r="D9" s="162">
        <f>2+1</f>
        <v>3</v>
      </c>
      <c r="E9" s="162">
        <v>3</v>
      </c>
      <c r="F9" s="162">
        <v>5</v>
      </c>
      <c r="G9" s="162">
        <v>7</v>
      </c>
      <c r="H9" s="162">
        <v>7</v>
      </c>
      <c r="I9" s="162">
        <v>4</v>
      </c>
      <c r="J9" s="162">
        <v>3</v>
      </c>
      <c r="K9" s="162">
        <v>7</v>
      </c>
      <c r="L9" s="162">
        <v>6</v>
      </c>
      <c r="M9" s="162">
        <v>3</v>
      </c>
      <c r="N9" s="162">
        <v>2</v>
      </c>
      <c r="O9" s="162">
        <v>7</v>
      </c>
    </row>
    <row r="10" spans="1:15" x14ac:dyDescent="0.25">
      <c r="A10" s="249" t="s">
        <v>1111</v>
      </c>
      <c r="B10" s="162">
        <v>1</v>
      </c>
      <c r="C10" s="162">
        <v>0</v>
      </c>
      <c r="D10" s="162">
        <v>1</v>
      </c>
      <c r="E10" s="162">
        <v>3</v>
      </c>
      <c r="F10" s="162">
        <v>3</v>
      </c>
      <c r="G10" s="162">
        <v>2</v>
      </c>
      <c r="H10" s="162">
        <v>1</v>
      </c>
      <c r="I10" s="162">
        <v>1</v>
      </c>
      <c r="J10" s="162">
        <v>2</v>
      </c>
      <c r="K10" s="162">
        <v>4</v>
      </c>
      <c r="L10" s="162">
        <v>2</v>
      </c>
      <c r="M10" s="162">
        <v>8</v>
      </c>
      <c r="N10" s="162">
        <v>6</v>
      </c>
      <c r="O10" s="162">
        <v>5</v>
      </c>
    </row>
    <row r="11" spans="1:15" x14ac:dyDescent="0.25">
      <c r="A11" s="161" t="s">
        <v>1179</v>
      </c>
      <c r="B11" s="162">
        <v>10</v>
      </c>
      <c r="C11" s="162">
        <v>0</v>
      </c>
      <c r="D11" s="162">
        <v>2</v>
      </c>
      <c r="E11" s="162">
        <v>3</v>
      </c>
      <c r="F11" s="162">
        <v>2</v>
      </c>
      <c r="G11" s="162">
        <v>0</v>
      </c>
      <c r="H11" s="162">
        <v>1</v>
      </c>
      <c r="I11" s="162">
        <v>1</v>
      </c>
      <c r="J11" s="162">
        <v>0</v>
      </c>
      <c r="K11" s="162">
        <v>0</v>
      </c>
      <c r="L11" s="162">
        <v>0</v>
      </c>
      <c r="M11" s="162">
        <v>4</v>
      </c>
      <c r="N11" s="162">
        <v>5</v>
      </c>
      <c r="O11" s="162">
        <v>0</v>
      </c>
    </row>
    <row r="12" spans="1:15" x14ac:dyDescent="0.25">
      <c r="A12" s="161" t="s">
        <v>1180</v>
      </c>
      <c r="B12" s="162">
        <v>4</v>
      </c>
      <c r="C12" s="162">
        <v>3</v>
      </c>
      <c r="D12" s="162">
        <v>1</v>
      </c>
      <c r="E12" s="162">
        <v>0</v>
      </c>
      <c r="F12" s="162">
        <v>0</v>
      </c>
      <c r="G12" s="162">
        <v>0</v>
      </c>
      <c r="H12" s="162">
        <v>0</v>
      </c>
      <c r="I12" s="162">
        <v>0</v>
      </c>
      <c r="J12" s="162">
        <v>0</v>
      </c>
      <c r="K12" s="162">
        <v>0</v>
      </c>
      <c r="L12" s="162">
        <v>0</v>
      </c>
      <c r="M12" s="162">
        <v>0</v>
      </c>
      <c r="N12" s="162">
        <v>0</v>
      </c>
      <c r="O12" s="162">
        <v>0</v>
      </c>
    </row>
    <row r="13" spans="1:15" x14ac:dyDescent="0.25">
      <c r="A13" s="161" t="s">
        <v>1273</v>
      </c>
      <c r="B13" s="162">
        <v>1</v>
      </c>
      <c r="C13" s="162">
        <v>0</v>
      </c>
      <c r="D13" s="162">
        <v>1</v>
      </c>
      <c r="E13" s="162">
        <v>0</v>
      </c>
      <c r="F13" s="162">
        <v>1</v>
      </c>
      <c r="G13" s="162">
        <v>0</v>
      </c>
      <c r="H13" s="162">
        <v>0</v>
      </c>
      <c r="I13" s="162">
        <v>0</v>
      </c>
      <c r="J13" s="162">
        <v>0</v>
      </c>
      <c r="K13" s="162">
        <v>0</v>
      </c>
      <c r="L13" s="162">
        <v>0</v>
      </c>
      <c r="M13" s="162">
        <v>0</v>
      </c>
      <c r="N13" s="162">
        <v>1</v>
      </c>
      <c r="O13" s="162">
        <v>0</v>
      </c>
    </row>
    <row r="14" spans="1:15" x14ac:dyDescent="0.25">
      <c r="A14" s="249" t="s">
        <v>1181</v>
      </c>
      <c r="B14" s="162">
        <v>0</v>
      </c>
      <c r="C14" s="162">
        <v>2</v>
      </c>
      <c r="D14" s="162">
        <v>0</v>
      </c>
      <c r="E14" s="162">
        <v>1</v>
      </c>
      <c r="F14" s="162">
        <v>3</v>
      </c>
      <c r="G14" s="162">
        <v>1</v>
      </c>
      <c r="H14" s="162">
        <v>1</v>
      </c>
      <c r="I14" s="162">
        <v>1</v>
      </c>
      <c r="J14" s="162">
        <v>0</v>
      </c>
      <c r="K14" s="162">
        <v>0</v>
      </c>
      <c r="L14" s="162">
        <v>0</v>
      </c>
      <c r="M14" s="162">
        <v>1</v>
      </c>
      <c r="N14" s="162">
        <v>1</v>
      </c>
      <c r="O14" s="162">
        <v>2</v>
      </c>
    </row>
    <row r="15" spans="1:15" x14ac:dyDescent="0.25">
      <c r="A15" s="1199" t="s">
        <v>1588</v>
      </c>
      <c r="B15" s="162">
        <v>0</v>
      </c>
      <c r="C15" s="162">
        <v>0</v>
      </c>
      <c r="D15" s="162">
        <v>0</v>
      </c>
      <c r="E15" s="162">
        <v>0</v>
      </c>
      <c r="F15" s="162">
        <v>0</v>
      </c>
      <c r="G15" s="162">
        <v>0</v>
      </c>
      <c r="H15" s="162">
        <v>0</v>
      </c>
      <c r="I15" s="162">
        <v>0</v>
      </c>
      <c r="J15" s="162">
        <v>0</v>
      </c>
      <c r="K15" s="162">
        <v>0</v>
      </c>
      <c r="L15" s="162">
        <v>1</v>
      </c>
      <c r="M15" s="162">
        <v>2</v>
      </c>
      <c r="N15" s="162">
        <v>1</v>
      </c>
      <c r="O15" s="162">
        <v>0</v>
      </c>
    </row>
    <row r="16" spans="1:15" x14ac:dyDescent="0.25">
      <c r="A16" s="249" t="s">
        <v>1182</v>
      </c>
      <c r="B16" s="162">
        <v>1</v>
      </c>
      <c r="C16" s="162">
        <v>0</v>
      </c>
      <c r="D16" s="162">
        <v>1</v>
      </c>
      <c r="E16" s="162">
        <v>0</v>
      </c>
      <c r="F16" s="162">
        <v>0</v>
      </c>
      <c r="G16" s="162">
        <v>2</v>
      </c>
      <c r="H16" s="162">
        <v>1</v>
      </c>
      <c r="I16" s="162">
        <v>1</v>
      </c>
      <c r="J16" s="162">
        <v>0</v>
      </c>
      <c r="K16" s="162">
        <v>0</v>
      </c>
      <c r="L16" s="162">
        <v>0</v>
      </c>
      <c r="M16" s="162">
        <v>0</v>
      </c>
      <c r="N16" s="162">
        <v>2</v>
      </c>
      <c r="O16" s="162">
        <v>0</v>
      </c>
    </row>
    <row r="17" spans="1:15" x14ac:dyDescent="0.25">
      <c r="A17" s="161" t="s">
        <v>1132</v>
      </c>
      <c r="B17" s="162">
        <v>1</v>
      </c>
      <c r="C17" s="162">
        <v>0</v>
      </c>
      <c r="D17" s="162">
        <v>1</v>
      </c>
      <c r="E17" s="162">
        <v>1</v>
      </c>
      <c r="F17" s="162">
        <v>0</v>
      </c>
      <c r="G17" s="162">
        <v>0</v>
      </c>
      <c r="H17" s="162">
        <v>2</v>
      </c>
      <c r="I17" s="162">
        <v>1</v>
      </c>
      <c r="J17" s="162">
        <v>0</v>
      </c>
      <c r="K17" s="162">
        <v>0</v>
      </c>
      <c r="L17" s="162">
        <v>1</v>
      </c>
      <c r="M17" s="162">
        <v>0</v>
      </c>
      <c r="N17" s="162">
        <v>0</v>
      </c>
      <c r="O17" s="162">
        <v>0</v>
      </c>
    </row>
    <row r="18" spans="1:15" x14ac:dyDescent="0.25">
      <c r="A18" s="161" t="s">
        <v>829</v>
      </c>
      <c r="B18" s="162">
        <v>1</v>
      </c>
      <c r="C18" s="162">
        <v>0</v>
      </c>
      <c r="D18" s="162">
        <v>0</v>
      </c>
      <c r="E18" s="162">
        <v>0</v>
      </c>
      <c r="F18" s="162">
        <v>0</v>
      </c>
      <c r="G18" s="162">
        <v>0</v>
      </c>
      <c r="H18" s="162">
        <v>0</v>
      </c>
      <c r="I18" s="162">
        <v>0</v>
      </c>
      <c r="J18" s="162">
        <v>0</v>
      </c>
      <c r="K18" s="162">
        <v>0</v>
      </c>
      <c r="L18" s="162">
        <v>0</v>
      </c>
      <c r="M18" s="162">
        <v>0</v>
      </c>
      <c r="N18" s="162">
        <v>0</v>
      </c>
      <c r="O18" s="162">
        <v>0</v>
      </c>
    </row>
    <row r="19" spans="1:15" x14ac:dyDescent="0.25">
      <c r="A19" s="888" t="s">
        <v>1520</v>
      </c>
      <c r="B19" s="162">
        <v>0</v>
      </c>
      <c r="C19" s="162">
        <v>0</v>
      </c>
      <c r="D19" s="162">
        <v>0</v>
      </c>
      <c r="E19" s="162">
        <v>0</v>
      </c>
      <c r="F19" s="162">
        <v>0</v>
      </c>
      <c r="G19" s="162">
        <v>0</v>
      </c>
      <c r="H19" s="162">
        <v>0</v>
      </c>
      <c r="I19" s="162">
        <v>0</v>
      </c>
      <c r="J19" s="162">
        <v>3</v>
      </c>
      <c r="K19" s="162">
        <v>0</v>
      </c>
      <c r="L19" s="162">
        <v>0</v>
      </c>
      <c r="M19" s="162">
        <v>2</v>
      </c>
      <c r="N19" s="162">
        <v>0</v>
      </c>
      <c r="O19" s="162">
        <v>2</v>
      </c>
    </row>
    <row r="20" spans="1:15" x14ac:dyDescent="0.25">
      <c r="A20" s="161" t="s">
        <v>1113</v>
      </c>
      <c r="B20" s="162">
        <v>0</v>
      </c>
      <c r="C20" s="162">
        <v>3</v>
      </c>
      <c r="D20" s="162">
        <v>0</v>
      </c>
      <c r="E20" s="162">
        <v>1</v>
      </c>
      <c r="F20" s="162">
        <v>0</v>
      </c>
      <c r="G20" s="162">
        <v>0</v>
      </c>
      <c r="H20" s="162">
        <v>0</v>
      </c>
      <c r="I20" s="162">
        <v>0</v>
      </c>
      <c r="J20" s="162">
        <v>0</v>
      </c>
      <c r="K20" s="162">
        <v>0</v>
      </c>
      <c r="L20" s="162">
        <v>2</v>
      </c>
      <c r="M20" s="162">
        <v>0</v>
      </c>
      <c r="N20" s="162">
        <v>1</v>
      </c>
      <c r="O20" s="162">
        <v>1</v>
      </c>
    </row>
    <row r="21" spans="1:15" x14ac:dyDescent="0.25">
      <c r="A21" s="161" t="s">
        <v>1184</v>
      </c>
      <c r="B21" s="162">
        <v>1</v>
      </c>
      <c r="C21" s="162">
        <v>0</v>
      </c>
      <c r="D21" s="162">
        <v>1</v>
      </c>
      <c r="E21" s="162">
        <v>1</v>
      </c>
      <c r="F21" s="162">
        <v>0</v>
      </c>
      <c r="G21" s="162">
        <v>0</v>
      </c>
      <c r="H21" s="162">
        <v>0</v>
      </c>
      <c r="I21" s="162">
        <v>1</v>
      </c>
      <c r="J21" s="162">
        <v>0</v>
      </c>
      <c r="K21" s="162">
        <v>1</v>
      </c>
      <c r="L21" s="162">
        <v>1</v>
      </c>
      <c r="M21" s="162">
        <v>2</v>
      </c>
      <c r="N21" s="162">
        <v>0</v>
      </c>
      <c r="O21" s="162">
        <v>0</v>
      </c>
    </row>
    <row r="22" spans="1:15" x14ac:dyDescent="0.25">
      <c r="A22" s="161" t="s">
        <v>609</v>
      </c>
      <c r="B22" s="162">
        <v>0</v>
      </c>
      <c r="C22" s="162">
        <v>0</v>
      </c>
      <c r="D22" s="162">
        <v>0</v>
      </c>
      <c r="E22" s="162">
        <v>2</v>
      </c>
      <c r="F22" s="162">
        <v>0</v>
      </c>
      <c r="G22" s="162">
        <v>0</v>
      </c>
      <c r="H22" s="162">
        <v>0</v>
      </c>
      <c r="I22" s="162">
        <v>0</v>
      </c>
      <c r="J22" s="162">
        <v>0</v>
      </c>
      <c r="K22" s="162">
        <v>0</v>
      </c>
      <c r="L22" s="162">
        <v>0</v>
      </c>
      <c r="M22" s="162">
        <v>0</v>
      </c>
      <c r="N22" s="162">
        <v>0</v>
      </c>
      <c r="O22" s="162">
        <v>0</v>
      </c>
    </row>
    <row r="23" spans="1:15" x14ac:dyDescent="0.25">
      <c r="A23" s="249" t="s">
        <v>499</v>
      </c>
      <c r="B23" s="162">
        <v>1</v>
      </c>
      <c r="C23" s="162">
        <v>1</v>
      </c>
      <c r="D23" s="162">
        <v>1</v>
      </c>
      <c r="E23" s="162">
        <v>0</v>
      </c>
      <c r="F23" s="162">
        <v>2</v>
      </c>
      <c r="G23" s="162">
        <v>3</v>
      </c>
      <c r="H23" s="162">
        <v>2</v>
      </c>
      <c r="I23" s="162">
        <v>2</v>
      </c>
      <c r="J23" s="162">
        <v>2</v>
      </c>
      <c r="K23" s="162">
        <v>4</v>
      </c>
      <c r="L23" s="162">
        <v>3</v>
      </c>
      <c r="M23" s="162">
        <v>3</v>
      </c>
      <c r="N23" s="162">
        <v>5</v>
      </c>
      <c r="O23" s="162">
        <v>3</v>
      </c>
    </row>
    <row r="24" spans="1:15" x14ac:dyDescent="0.25">
      <c r="A24" s="161" t="s">
        <v>1129</v>
      </c>
      <c r="B24" s="162">
        <v>7</v>
      </c>
      <c r="C24" s="162">
        <v>2</v>
      </c>
      <c r="D24" s="162">
        <v>6</v>
      </c>
      <c r="E24" s="162">
        <v>5</v>
      </c>
      <c r="F24" s="162">
        <v>0</v>
      </c>
      <c r="G24" s="162">
        <v>2</v>
      </c>
      <c r="H24" s="162">
        <v>1</v>
      </c>
      <c r="I24" s="162">
        <v>0</v>
      </c>
      <c r="J24" s="162">
        <v>1</v>
      </c>
      <c r="K24" s="162">
        <v>3</v>
      </c>
      <c r="L24" s="162">
        <v>0</v>
      </c>
      <c r="M24" s="162">
        <v>2</v>
      </c>
      <c r="N24" s="162">
        <v>2</v>
      </c>
      <c r="O24" s="162">
        <v>0</v>
      </c>
    </row>
    <row r="25" spans="1:15" x14ac:dyDescent="0.25">
      <c r="A25" s="888" t="s">
        <v>1506</v>
      </c>
      <c r="B25" s="162">
        <v>0</v>
      </c>
      <c r="C25" s="162">
        <v>0</v>
      </c>
      <c r="D25" s="162">
        <v>0</v>
      </c>
      <c r="E25" s="162">
        <v>0</v>
      </c>
      <c r="F25" s="162">
        <v>0</v>
      </c>
      <c r="G25" s="162">
        <v>0</v>
      </c>
      <c r="H25" s="162">
        <v>0</v>
      </c>
      <c r="I25" s="162">
        <v>0</v>
      </c>
      <c r="J25" s="162">
        <v>1</v>
      </c>
      <c r="K25" s="162">
        <v>1</v>
      </c>
      <c r="L25" s="162">
        <v>0</v>
      </c>
      <c r="M25" s="162">
        <v>0</v>
      </c>
      <c r="N25" s="162">
        <v>0</v>
      </c>
      <c r="O25" s="162">
        <v>0</v>
      </c>
    </row>
    <row r="26" spans="1:15" x14ac:dyDescent="0.25">
      <c r="A26" s="161" t="s">
        <v>1186</v>
      </c>
      <c r="B26" s="162">
        <v>0</v>
      </c>
      <c r="C26" s="162">
        <v>0</v>
      </c>
      <c r="D26" s="162">
        <v>0</v>
      </c>
      <c r="E26" s="162">
        <v>1</v>
      </c>
      <c r="F26" s="162">
        <v>1</v>
      </c>
      <c r="G26" s="162">
        <v>0</v>
      </c>
      <c r="H26" s="162">
        <v>0</v>
      </c>
      <c r="I26" s="162">
        <v>2</v>
      </c>
      <c r="J26" s="162">
        <v>0</v>
      </c>
      <c r="K26" s="162">
        <v>0</v>
      </c>
      <c r="L26" s="162">
        <v>0</v>
      </c>
      <c r="M26" s="162">
        <v>3</v>
      </c>
      <c r="N26" s="162">
        <v>1</v>
      </c>
      <c r="O26" s="162">
        <v>3</v>
      </c>
    </row>
    <row r="27" spans="1:15" x14ac:dyDescent="0.25">
      <c r="A27" s="2071" t="s">
        <v>1631</v>
      </c>
      <c r="B27" s="2070">
        <v>0</v>
      </c>
      <c r="C27" s="2070">
        <v>0</v>
      </c>
      <c r="D27" s="2070">
        <v>0</v>
      </c>
      <c r="E27" s="2070">
        <v>0</v>
      </c>
      <c r="F27" s="2070">
        <v>0</v>
      </c>
      <c r="G27" s="2070">
        <v>0</v>
      </c>
      <c r="H27" s="2070">
        <v>0</v>
      </c>
      <c r="I27" s="2070">
        <v>0</v>
      </c>
      <c r="J27" s="2070">
        <v>0</v>
      </c>
      <c r="K27" s="2070">
        <v>0</v>
      </c>
      <c r="L27" s="2070">
        <v>0</v>
      </c>
      <c r="M27" s="2070">
        <v>0</v>
      </c>
      <c r="N27" s="2070">
        <v>0</v>
      </c>
      <c r="O27" s="2070">
        <v>2</v>
      </c>
    </row>
    <row r="28" spans="1:15" x14ac:dyDescent="0.25">
      <c r="A28" s="888" t="s">
        <v>1521</v>
      </c>
      <c r="B28" s="162">
        <v>0</v>
      </c>
      <c r="C28" s="162">
        <v>0</v>
      </c>
      <c r="D28" s="162">
        <v>1</v>
      </c>
      <c r="E28" s="162">
        <v>0</v>
      </c>
      <c r="F28" s="162">
        <v>0</v>
      </c>
      <c r="G28" s="162">
        <v>1</v>
      </c>
      <c r="H28" s="162">
        <v>0</v>
      </c>
      <c r="I28" s="162">
        <v>1</v>
      </c>
      <c r="J28" s="162">
        <v>2</v>
      </c>
      <c r="K28" s="162">
        <v>1</v>
      </c>
      <c r="L28" s="162">
        <v>0</v>
      </c>
      <c r="M28" s="162">
        <v>0</v>
      </c>
      <c r="N28" s="162">
        <v>2</v>
      </c>
      <c r="O28" s="162">
        <v>0</v>
      </c>
    </row>
    <row r="29" spans="1:15" x14ac:dyDescent="0.25">
      <c r="A29" s="161" t="s">
        <v>1141</v>
      </c>
      <c r="B29" s="162">
        <v>5</v>
      </c>
      <c r="C29" s="162">
        <v>2</v>
      </c>
      <c r="D29" s="162">
        <v>4</v>
      </c>
      <c r="E29" s="162">
        <v>2</v>
      </c>
      <c r="F29" s="162">
        <v>4</v>
      </c>
      <c r="G29" s="162">
        <v>0</v>
      </c>
      <c r="H29" s="162">
        <v>2</v>
      </c>
      <c r="I29" s="162">
        <v>0</v>
      </c>
      <c r="J29" s="162">
        <v>1</v>
      </c>
      <c r="K29" s="162">
        <v>0</v>
      </c>
      <c r="L29" s="162">
        <v>2</v>
      </c>
      <c r="M29" s="162">
        <v>6</v>
      </c>
      <c r="N29" s="162">
        <v>4</v>
      </c>
      <c r="O29" s="162">
        <v>5</v>
      </c>
    </row>
    <row r="30" spans="1:15" x14ac:dyDescent="0.25">
      <c r="A30" s="888" t="s">
        <v>1507</v>
      </c>
      <c r="B30" s="162">
        <v>0</v>
      </c>
      <c r="C30" s="162">
        <v>0</v>
      </c>
      <c r="D30" s="162">
        <v>0</v>
      </c>
      <c r="E30" s="162">
        <v>0</v>
      </c>
      <c r="F30" s="162">
        <v>0</v>
      </c>
      <c r="G30" s="162">
        <v>0</v>
      </c>
      <c r="H30" s="162">
        <v>0</v>
      </c>
      <c r="I30" s="162">
        <v>0</v>
      </c>
      <c r="J30" s="162">
        <v>1</v>
      </c>
      <c r="K30" s="162">
        <v>2</v>
      </c>
      <c r="L30" s="162">
        <v>0</v>
      </c>
      <c r="M30" s="162">
        <v>2</v>
      </c>
      <c r="N30" s="162">
        <v>2</v>
      </c>
      <c r="O30" s="162">
        <v>1</v>
      </c>
    </row>
    <row r="31" spans="1:15" x14ac:dyDescent="0.25">
      <c r="A31" s="161" t="s">
        <v>1125</v>
      </c>
      <c r="B31" s="162">
        <v>3</v>
      </c>
      <c r="C31" s="162">
        <v>3</v>
      </c>
      <c r="D31" s="162">
        <v>1</v>
      </c>
      <c r="E31" s="162">
        <v>2</v>
      </c>
      <c r="F31" s="162">
        <v>0</v>
      </c>
      <c r="G31" s="162">
        <v>0</v>
      </c>
      <c r="H31" s="162">
        <v>0</v>
      </c>
      <c r="I31" s="162">
        <v>0</v>
      </c>
      <c r="J31" s="162">
        <v>0</v>
      </c>
      <c r="K31" s="162">
        <v>0</v>
      </c>
      <c r="L31" s="162">
        <v>1</v>
      </c>
      <c r="M31" s="162">
        <v>2</v>
      </c>
      <c r="N31" s="162">
        <v>0</v>
      </c>
      <c r="O31" s="162">
        <v>1</v>
      </c>
    </row>
    <row r="32" spans="1:15" x14ac:dyDescent="0.25">
      <c r="A32" s="1200" t="s">
        <v>1589</v>
      </c>
      <c r="B32" s="162">
        <v>0</v>
      </c>
      <c r="C32" s="162">
        <v>0</v>
      </c>
      <c r="D32" s="162">
        <v>0</v>
      </c>
      <c r="E32" s="162">
        <v>0</v>
      </c>
      <c r="F32" s="162">
        <v>0</v>
      </c>
      <c r="G32" s="162">
        <v>0</v>
      </c>
      <c r="H32" s="162">
        <v>0</v>
      </c>
      <c r="I32" s="162">
        <v>0</v>
      </c>
      <c r="J32" s="162">
        <v>0</v>
      </c>
      <c r="K32" s="162">
        <v>0</v>
      </c>
      <c r="L32" s="162">
        <v>1</v>
      </c>
      <c r="M32" s="162">
        <v>0</v>
      </c>
      <c r="N32" s="162">
        <v>0</v>
      </c>
      <c r="O32" s="162">
        <v>0</v>
      </c>
    </row>
    <row r="33" spans="1:15" x14ac:dyDescent="0.25">
      <c r="A33" s="161" t="s">
        <v>1272</v>
      </c>
      <c r="B33" s="162">
        <v>0</v>
      </c>
      <c r="C33" s="162">
        <v>0</v>
      </c>
      <c r="D33" s="162">
        <v>0</v>
      </c>
      <c r="E33" s="162">
        <v>0</v>
      </c>
      <c r="F33" s="162">
        <v>2</v>
      </c>
      <c r="G33" s="162">
        <v>0</v>
      </c>
      <c r="H33" s="162">
        <v>2</v>
      </c>
      <c r="I33" s="162">
        <v>1</v>
      </c>
      <c r="J33" s="162">
        <v>0</v>
      </c>
      <c r="K33" s="162">
        <v>0</v>
      </c>
      <c r="L33" s="162">
        <v>6</v>
      </c>
      <c r="M33" s="162">
        <v>2</v>
      </c>
      <c r="N33" s="162">
        <v>1</v>
      </c>
      <c r="O33" s="162">
        <v>0</v>
      </c>
    </row>
    <row r="34" spans="1:15" x14ac:dyDescent="0.25">
      <c r="A34" s="161" t="s">
        <v>1190</v>
      </c>
      <c r="B34" s="162">
        <v>0</v>
      </c>
      <c r="C34" s="162">
        <v>0</v>
      </c>
      <c r="D34" s="162">
        <v>0</v>
      </c>
      <c r="E34" s="162">
        <v>1</v>
      </c>
      <c r="F34" s="162">
        <v>0</v>
      </c>
      <c r="G34" s="162">
        <v>0</v>
      </c>
      <c r="H34" s="162">
        <v>0</v>
      </c>
      <c r="I34" s="162">
        <v>0</v>
      </c>
      <c r="J34" s="162">
        <v>1</v>
      </c>
      <c r="K34" s="162">
        <v>0</v>
      </c>
      <c r="L34" s="162">
        <v>1</v>
      </c>
      <c r="M34" s="162">
        <v>1</v>
      </c>
      <c r="N34" s="162">
        <v>1</v>
      </c>
      <c r="O34" s="162">
        <v>2</v>
      </c>
    </row>
    <row r="35" spans="1:15" x14ac:dyDescent="0.25">
      <c r="A35" s="161" t="s">
        <v>1130</v>
      </c>
      <c r="B35" s="162">
        <v>2</v>
      </c>
      <c r="C35" s="162">
        <v>0</v>
      </c>
      <c r="D35" s="162">
        <v>3</v>
      </c>
      <c r="E35" s="162">
        <v>0</v>
      </c>
      <c r="F35" s="162">
        <v>1</v>
      </c>
      <c r="G35" s="162">
        <v>0</v>
      </c>
      <c r="H35" s="162">
        <v>2</v>
      </c>
      <c r="I35" s="162">
        <v>0</v>
      </c>
      <c r="J35" s="162">
        <v>0</v>
      </c>
      <c r="K35" s="162">
        <v>0</v>
      </c>
      <c r="L35" s="162">
        <v>0</v>
      </c>
      <c r="M35" s="162">
        <v>1</v>
      </c>
      <c r="N35" s="162">
        <v>4</v>
      </c>
      <c r="O35" s="162">
        <v>1</v>
      </c>
    </row>
    <row r="36" spans="1:15" x14ac:dyDescent="0.25">
      <c r="A36" s="161" t="s">
        <v>1131</v>
      </c>
      <c r="B36" s="162">
        <v>0</v>
      </c>
      <c r="C36" s="162">
        <v>1</v>
      </c>
      <c r="D36" s="162">
        <v>0</v>
      </c>
      <c r="E36" s="162">
        <v>0</v>
      </c>
      <c r="F36" s="162">
        <v>4</v>
      </c>
      <c r="G36" s="162">
        <v>3</v>
      </c>
      <c r="H36" s="162">
        <v>3</v>
      </c>
      <c r="I36" s="162">
        <v>2</v>
      </c>
      <c r="J36" s="162">
        <v>1</v>
      </c>
      <c r="K36" s="162">
        <v>1</v>
      </c>
      <c r="L36" s="162">
        <v>1</v>
      </c>
      <c r="M36" s="162">
        <v>3</v>
      </c>
      <c r="N36" s="162">
        <v>0</v>
      </c>
      <c r="O36" s="162">
        <v>1</v>
      </c>
    </row>
    <row r="37" spans="1:15" x14ac:dyDescent="0.25">
      <c r="A37" s="161" t="s">
        <v>1101</v>
      </c>
      <c r="B37" s="162">
        <v>3</v>
      </c>
      <c r="C37" s="162">
        <v>4</v>
      </c>
      <c r="D37" s="162">
        <v>2</v>
      </c>
      <c r="E37" s="162">
        <v>0</v>
      </c>
      <c r="F37" s="162">
        <v>1</v>
      </c>
      <c r="G37" s="162">
        <v>0</v>
      </c>
      <c r="H37" s="162">
        <v>2</v>
      </c>
      <c r="I37" s="162">
        <v>2</v>
      </c>
      <c r="J37" s="162">
        <v>8</v>
      </c>
      <c r="K37" s="162">
        <v>6</v>
      </c>
      <c r="L37" s="162">
        <v>4</v>
      </c>
      <c r="M37" s="162">
        <v>13</v>
      </c>
      <c r="N37" s="162">
        <v>7</v>
      </c>
      <c r="O37" s="162">
        <v>11</v>
      </c>
    </row>
    <row r="38" spans="1:15" x14ac:dyDescent="0.25">
      <c r="A38" s="888" t="s">
        <v>1436</v>
      </c>
      <c r="B38" s="162">
        <v>0</v>
      </c>
      <c r="C38" s="162">
        <v>0</v>
      </c>
      <c r="D38" s="162">
        <v>0</v>
      </c>
      <c r="E38" s="162">
        <v>0</v>
      </c>
      <c r="F38" s="162">
        <v>0</v>
      </c>
      <c r="G38" s="162">
        <v>0</v>
      </c>
      <c r="H38" s="162">
        <v>1</v>
      </c>
      <c r="I38" s="162">
        <v>0</v>
      </c>
      <c r="J38" s="162">
        <v>0</v>
      </c>
      <c r="K38" s="162">
        <v>0</v>
      </c>
      <c r="L38" s="162">
        <v>0</v>
      </c>
      <c r="M38" s="162">
        <v>0</v>
      </c>
      <c r="N38" s="162">
        <v>0</v>
      </c>
      <c r="O38" s="162">
        <v>1</v>
      </c>
    </row>
    <row r="39" spans="1:15" x14ac:dyDescent="0.25">
      <c r="A39" s="1633" t="s">
        <v>1665</v>
      </c>
      <c r="B39" s="1632">
        <v>0</v>
      </c>
      <c r="C39" s="1632">
        <v>0</v>
      </c>
      <c r="D39" s="1632">
        <v>0</v>
      </c>
      <c r="E39" s="1632">
        <v>0</v>
      </c>
      <c r="F39" s="1632">
        <v>0</v>
      </c>
      <c r="G39" s="1632">
        <v>0</v>
      </c>
      <c r="H39" s="1632">
        <v>0</v>
      </c>
      <c r="I39" s="1632">
        <v>0</v>
      </c>
      <c r="J39" s="1632">
        <v>0</v>
      </c>
      <c r="K39" s="1632">
        <v>0</v>
      </c>
      <c r="L39" s="1632">
        <v>0</v>
      </c>
      <c r="M39" s="1632">
        <v>0</v>
      </c>
      <c r="N39" s="1632">
        <v>5</v>
      </c>
      <c r="O39" s="1632">
        <v>4</v>
      </c>
    </row>
    <row r="40" spans="1:15" x14ac:dyDescent="0.25">
      <c r="A40" s="161" t="s">
        <v>1106</v>
      </c>
      <c r="B40" s="162">
        <v>1</v>
      </c>
      <c r="C40" s="162">
        <v>0</v>
      </c>
      <c r="D40" s="162">
        <v>0</v>
      </c>
      <c r="E40" s="162">
        <v>0</v>
      </c>
      <c r="F40" s="162">
        <v>0</v>
      </c>
      <c r="G40" s="162">
        <v>0</v>
      </c>
      <c r="H40" s="162">
        <v>1</v>
      </c>
      <c r="I40" s="162">
        <v>1</v>
      </c>
      <c r="J40" s="162">
        <v>1</v>
      </c>
      <c r="K40" s="162">
        <v>1</v>
      </c>
      <c r="L40" s="162">
        <v>0</v>
      </c>
      <c r="M40" s="162">
        <v>1</v>
      </c>
      <c r="N40" s="162">
        <v>0</v>
      </c>
      <c r="O40" s="162">
        <v>1</v>
      </c>
    </row>
    <row r="41" spans="1:15" x14ac:dyDescent="0.25">
      <c r="A41" s="161" t="s">
        <v>1133</v>
      </c>
      <c r="B41" s="162">
        <v>5</v>
      </c>
      <c r="C41" s="162">
        <v>0</v>
      </c>
      <c r="D41" s="162">
        <v>4</v>
      </c>
      <c r="E41" s="162">
        <v>4</v>
      </c>
      <c r="F41" s="162">
        <v>7</v>
      </c>
      <c r="G41" s="162">
        <v>7</v>
      </c>
      <c r="H41" s="162">
        <v>1</v>
      </c>
      <c r="I41" s="162">
        <v>4</v>
      </c>
      <c r="J41" s="162">
        <v>1</v>
      </c>
      <c r="K41" s="162">
        <v>0</v>
      </c>
      <c r="L41" s="162">
        <v>2</v>
      </c>
      <c r="M41" s="162">
        <v>2</v>
      </c>
      <c r="N41" s="162">
        <v>1</v>
      </c>
      <c r="O41" s="162">
        <v>0</v>
      </c>
    </row>
    <row r="42" spans="1:15" x14ac:dyDescent="0.25">
      <c r="A42" s="161" t="s">
        <v>1127</v>
      </c>
      <c r="B42" s="162">
        <v>0</v>
      </c>
      <c r="C42" s="162">
        <v>0</v>
      </c>
      <c r="D42" s="162">
        <v>0</v>
      </c>
      <c r="E42" s="162">
        <v>0</v>
      </c>
      <c r="F42" s="162">
        <v>0</v>
      </c>
      <c r="G42" s="162">
        <v>0</v>
      </c>
      <c r="H42" s="162">
        <v>0</v>
      </c>
      <c r="I42" s="162">
        <v>0</v>
      </c>
      <c r="J42" s="162">
        <v>0</v>
      </c>
      <c r="K42" s="162">
        <v>0</v>
      </c>
      <c r="L42" s="162">
        <v>1</v>
      </c>
      <c r="M42" s="162">
        <v>0</v>
      </c>
      <c r="N42" s="162">
        <v>0</v>
      </c>
      <c r="O42" s="162">
        <v>0</v>
      </c>
    </row>
    <row r="43" spans="1:15" x14ac:dyDescent="0.25">
      <c r="A43" s="1614" t="s">
        <v>1510</v>
      </c>
      <c r="B43" s="1632">
        <v>0</v>
      </c>
      <c r="C43" s="1632">
        <v>0</v>
      </c>
      <c r="D43" s="1632">
        <v>0</v>
      </c>
      <c r="E43" s="1632">
        <v>0</v>
      </c>
      <c r="F43" s="1632">
        <v>0</v>
      </c>
      <c r="G43" s="1632">
        <v>0</v>
      </c>
      <c r="H43" s="1632">
        <v>0</v>
      </c>
      <c r="I43" s="1632">
        <v>0</v>
      </c>
      <c r="J43" s="1632">
        <v>0</v>
      </c>
      <c r="K43" s="1632">
        <v>0</v>
      </c>
      <c r="L43" s="1632">
        <v>0</v>
      </c>
      <c r="M43" s="1632">
        <v>0</v>
      </c>
      <c r="N43" s="1632">
        <v>1</v>
      </c>
      <c r="O43" s="1632">
        <v>3</v>
      </c>
    </row>
    <row r="44" spans="1:15" x14ac:dyDescent="0.25">
      <c r="A44" s="249" t="s">
        <v>1128</v>
      </c>
      <c r="B44" s="162">
        <v>1</v>
      </c>
      <c r="C44" s="162">
        <v>1</v>
      </c>
      <c r="D44" s="162">
        <v>3</v>
      </c>
      <c r="E44" s="162">
        <v>2</v>
      </c>
      <c r="F44" s="162">
        <v>1</v>
      </c>
      <c r="G44" s="162">
        <v>1</v>
      </c>
      <c r="H44" s="162">
        <v>1</v>
      </c>
      <c r="I44" s="162">
        <v>0</v>
      </c>
      <c r="J44" s="162">
        <v>1</v>
      </c>
      <c r="K44" s="162">
        <v>0</v>
      </c>
      <c r="L44" s="162">
        <v>2</v>
      </c>
      <c r="M44" s="162">
        <v>1</v>
      </c>
      <c r="N44" s="162">
        <v>1</v>
      </c>
      <c r="O44" s="162">
        <v>3</v>
      </c>
    </row>
    <row r="45" spans="1:15" x14ac:dyDescent="0.25">
      <c r="A45" s="249" t="s">
        <v>1191</v>
      </c>
      <c r="B45" s="162">
        <v>0</v>
      </c>
      <c r="C45" s="162">
        <v>1</v>
      </c>
      <c r="D45" s="162">
        <v>2</v>
      </c>
      <c r="E45" s="162">
        <v>1</v>
      </c>
      <c r="F45" s="162">
        <v>2</v>
      </c>
      <c r="G45" s="162">
        <v>1</v>
      </c>
      <c r="H45" s="162">
        <v>2</v>
      </c>
      <c r="I45" s="162">
        <v>0</v>
      </c>
      <c r="J45" s="162">
        <v>1</v>
      </c>
      <c r="K45" s="162">
        <v>0</v>
      </c>
      <c r="L45" s="162">
        <v>0</v>
      </c>
      <c r="M45" s="162">
        <v>0</v>
      </c>
      <c r="N45" s="162">
        <v>0</v>
      </c>
      <c r="O45" s="162">
        <v>0</v>
      </c>
    </row>
    <row r="46" spans="1:15" x14ac:dyDescent="0.25">
      <c r="A46" s="249" t="s">
        <v>1192</v>
      </c>
      <c r="B46" s="162">
        <f>SUM(B6:B45)</f>
        <v>74</v>
      </c>
      <c r="C46" s="162">
        <f t="shared" ref="C46:J46" si="0">SUM(C5:C45)</f>
        <v>33</v>
      </c>
      <c r="D46" s="162">
        <f t="shared" si="0"/>
        <v>49</v>
      </c>
      <c r="E46" s="162">
        <f t="shared" si="0"/>
        <v>41</v>
      </c>
      <c r="F46" s="162">
        <f>SUM(F5:F45)</f>
        <v>42</v>
      </c>
      <c r="G46" s="162">
        <f>SUM(G5:G45)</f>
        <v>35</v>
      </c>
      <c r="H46" s="162">
        <f>SUM(H5:H45)</f>
        <v>38</v>
      </c>
      <c r="I46" s="162">
        <f t="shared" si="0"/>
        <v>32</v>
      </c>
      <c r="J46" s="162">
        <f t="shared" si="0"/>
        <v>33</v>
      </c>
      <c r="K46" s="162">
        <f>SUM(K5:K45)</f>
        <v>35</v>
      </c>
      <c r="L46" s="162">
        <f>SUM(L5:L45)</f>
        <v>38</v>
      </c>
      <c r="M46" s="162">
        <f>SUM(M5:M45)</f>
        <v>67</v>
      </c>
      <c r="N46" s="162">
        <f>SUM(N5:N45)</f>
        <v>57</v>
      </c>
      <c r="O46" s="162">
        <f>SUM(O5:O45)</f>
        <v>60</v>
      </c>
    </row>
    <row r="47" spans="1:15" x14ac:dyDescent="0.25">
      <c r="A47" s="249" t="s">
        <v>1193</v>
      </c>
      <c r="B47" s="162">
        <v>314</v>
      </c>
      <c r="C47" s="162">
        <v>364</v>
      </c>
      <c r="D47" s="162">
        <f>334+7</f>
        <v>341</v>
      </c>
      <c r="E47" s="162">
        <v>389</v>
      </c>
      <c r="F47" s="162">
        <f>485-F46-F48</f>
        <v>435</v>
      </c>
      <c r="G47" s="162">
        <f>416-G48-G46</f>
        <v>367</v>
      </c>
      <c r="H47" s="162">
        <f>475-H46-H48</f>
        <v>418</v>
      </c>
      <c r="I47" s="162">
        <f>481-I46-I48</f>
        <v>418</v>
      </c>
      <c r="J47" s="162">
        <f>447-J46-J48</f>
        <v>403</v>
      </c>
      <c r="K47" s="162">
        <f>472-K46-K48</f>
        <v>419</v>
      </c>
      <c r="L47" s="162">
        <f>497-L46-L48</f>
        <v>446</v>
      </c>
      <c r="M47" s="162">
        <f>582-M46-M48</f>
        <v>493</v>
      </c>
      <c r="N47" s="162">
        <f>494-N48-N46</f>
        <v>411</v>
      </c>
      <c r="O47" s="162">
        <f>443-O46</f>
        <v>383</v>
      </c>
    </row>
    <row r="48" spans="1:15" x14ac:dyDescent="0.25">
      <c r="A48" s="249" t="s">
        <v>1194</v>
      </c>
      <c r="B48" s="162">
        <v>17</v>
      </c>
      <c r="C48" s="162">
        <v>25</v>
      </c>
      <c r="D48" s="162">
        <f>32+4</f>
        <v>36</v>
      </c>
      <c r="E48" s="162">
        <v>43</v>
      </c>
      <c r="F48" s="162">
        <v>8</v>
      </c>
      <c r="G48" s="162">
        <v>14</v>
      </c>
      <c r="H48" s="162">
        <v>19</v>
      </c>
      <c r="I48" s="162">
        <v>31</v>
      </c>
      <c r="J48" s="162">
        <v>11</v>
      </c>
      <c r="K48" s="162">
        <v>18</v>
      </c>
      <c r="L48" s="162">
        <v>13</v>
      </c>
      <c r="M48" s="162">
        <v>22</v>
      </c>
      <c r="N48" s="162">
        <v>26</v>
      </c>
      <c r="O48" s="162">
        <v>17</v>
      </c>
    </row>
    <row r="49" spans="1:16" x14ac:dyDescent="0.25">
      <c r="A49" s="378"/>
      <c r="B49" s="379"/>
      <c r="C49" s="379"/>
      <c r="D49" s="379"/>
      <c r="E49" s="379"/>
      <c r="F49" s="379"/>
      <c r="G49" s="379"/>
      <c r="H49" s="379"/>
      <c r="I49" s="379"/>
      <c r="J49" s="379"/>
      <c r="K49" s="379"/>
      <c r="L49" s="379"/>
      <c r="M49" s="379"/>
      <c r="N49" s="379"/>
      <c r="O49" s="379"/>
    </row>
    <row r="50" spans="1:16" x14ac:dyDescent="0.25">
      <c r="A50" s="250" t="s">
        <v>1003</v>
      </c>
      <c r="B50" s="318">
        <f t="shared" ref="B50:G50" si="1">SUM(B46:B48)</f>
        <v>405</v>
      </c>
      <c r="C50" s="318">
        <f t="shared" si="1"/>
        <v>422</v>
      </c>
      <c r="D50" s="318">
        <f t="shared" si="1"/>
        <v>426</v>
      </c>
      <c r="E50" s="318">
        <f t="shared" si="1"/>
        <v>473</v>
      </c>
      <c r="F50" s="318">
        <f t="shared" si="1"/>
        <v>485</v>
      </c>
      <c r="G50" s="318">
        <f t="shared" si="1"/>
        <v>416</v>
      </c>
      <c r="H50" s="318">
        <f t="shared" ref="H50:M50" si="2">SUM(H46:H48)</f>
        <v>475</v>
      </c>
      <c r="I50" s="318">
        <f t="shared" si="2"/>
        <v>481</v>
      </c>
      <c r="J50" s="318">
        <f t="shared" si="2"/>
        <v>447</v>
      </c>
      <c r="K50" s="318">
        <f t="shared" si="2"/>
        <v>472</v>
      </c>
      <c r="L50" s="318">
        <f t="shared" si="2"/>
        <v>497</v>
      </c>
      <c r="M50" s="318">
        <f t="shared" si="2"/>
        <v>582</v>
      </c>
      <c r="N50" s="318">
        <f>SUM(N46:N48)</f>
        <v>494</v>
      </c>
      <c r="O50" s="318">
        <f>SUM(O46:O48)</f>
        <v>460</v>
      </c>
    </row>
    <row r="51" spans="1:16" ht="88.2" customHeight="1" x14ac:dyDescent="0.25">
      <c r="A51" s="2222" t="s">
        <v>483</v>
      </c>
      <c r="B51" s="2222"/>
      <c r="C51" s="2222"/>
      <c r="D51" s="2222"/>
      <c r="E51" s="2222"/>
      <c r="F51" s="2222"/>
      <c r="G51" s="2222"/>
      <c r="H51" s="2222"/>
      <c r="I51" s="2222"/>
      <c r="J51" s="2222"/>
      <c r="K51" s="2222"/>
      <c r="L51" s="2222"/>
      <c r="M51" s="2222"/>
      <c r="P51" s="2045"/>
    </row>
  </sheetData>
  <mergeCells count="2">
    <mergeCell ref="A51:M51"/>
    <mergeCell ref="A1:O1"/>
  </mergeCells>
  <phoneticPr fontId="16" type="noConversion"/>
  <printOptions horizontalCentered="1" verticalCentered="1"/>
  <pageMargins left="0.75" right="0.75" top="1" bottom="1" header="0.5" footer="0.5"/>
  <pageSetup scale="94" orientation="portrait" r:id="rId1"/>
  <headerFooter alignWithMargins="0">
    <oddFooter>&amp;LSource: Office of Institutional Research</oddFooter>
  </headerFooter>
  <legacyDrawing r:id="rId2"/>
  <webPublishItems count="1">
    <webPublishItem id="23806" divId="FINAL COPY 2000_2001 FACT BOOK_23806" sourceType="sheet" destinationFile="C:\Documents and Settings\mkirkpatrick\My Documents\2004-2005 FACT BOOK\2004-2005 fact book WEB PAGES\04_05minorsconferred.htm"/>
  </webPublishItem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pageSetUpPr fitToPage="1"/>
  </sheetPr>
  <dimension ref="A1:AK52"/>
  <sheetViews>
    <sheetView zoomScale="40" zoomScaleNormal="40" workbookViewId="0">
      <selection sqref="A1:AK1"/>
    </sheetView>
  </sheetViews>
  <sheetFormatPr defaultRowHeight="13.2" x14ac:dyDescent="0.25"/>
  <cols>
    <col min="1" max="1" width="30.6640625" customWidth="1"/>
    <col min="2" max="19" width="12.6640625" customWidth="1"/>
    <col min="20" max="23" width="13" customWidth="1"/>
    <col min="24" max="37" width="13.109375" customWidth="1"/>
  </cols>
  <sheetData>
    <row r="1" spans="1:37" ht="19.2" x14ac:dyDescent="0.35">
      <c r="A1" s="2174" t="s">
        <v>484</v>
      </c>
      <c r="B1" s="2174"/>
      <c r="C1" s="2174"/>
      <c r="D1" s="2174"/>
      <c r="E1" s="2174"/>
      <c r="F1" s="2174"/>
      <c r="G1" s="2174"/>
      <c r="H1" s="2174"/>
      <c r="I1" s="2174"/>
      <c r="J1" s="2174"/>
      <c r="K1" s="2174"/>
      <c r="L1" s="2174"/>
      <c r="M1" s="2174"/>
      <c r="N1" s="2174"/>
      <c r="O1" s="2174"/>
      <c r="P1" s="2174"/>
      <c r="Q1" s="2174"/>
      <c r="R1" s="2174"/>
      <c r="S1" s="2174"/>
      <c r="T1" s="2174"/>
      <c r="U1" s="2174"/>
      <c r="V1" s="2174"/>
      <c r="W1" s="2174"/>
      <c r="X1" s="2174"/>
      <c r="Y1" s="2174"/>
      <c r="Z1" s="2174"/>
      <c r="AA1" s="2174"/>
      <c r="AB1" s="2174"/>
      <c r="AC1" s="2174"/>
      <c r="AD1" s="2174"/>
      <c r="AE1" s="2174"/>
      <c r="AF1" s="2174"/>
      <c r="AG1" s="2174"/>
      <c r="AH1" s="2174"/>
      <c r="AI1" s="2174"/>
      <c r="AJ1" s="2174"/>
      <c r="AK1" s="2174"/>
    </row>
    <row r="2" spans="1:37" ht="16.2" customHeight="1" x14ac:dyDescent="0.3">
      <c r="A2" s="2223" t="s">
        <v>258</v>
      </c>
      <c r="B2" s="2223"/>
      <c r="C2" s="2223"/>
      <c r="D2" s="2223"/>
      <c r="E2" s="2223"/>
      <c r="F2" s="2223"/>
      <c r="G2" s="2223"/>
      <c r="H2" s="2223"/>
      <c r="I2" s="2223"/>
      <c r="J2" s="2223"/>
      <c r="K2" s="2223"/>
      <c r="L2" s="2223"/>
      <c r="M2" s="2223"/>
      <c r="N2" s="2223"/>
      <c r="O2" s="2223"/>
      <c r="P2" s="2223"/>
      <c r="Q2" s="2223"/>
      <c r="R2" s="2223"/>
      <c r="S2" s="2223"/>
      <c r="T2" s="2223"/>
      <c r="U2" s="2223"/>
      <c r="V2" s="2223"/>
      <c r="W2" s="2223"/>
      <c r="X2" s="2223"/>
      <c r="Y2" s="2223"/>
      <c r="Z2" s="2223"/>
      <c r="AA2" s="2223"/>
      <c r="AB2" s="2223"/>
      <c r="AC2" s="2223"/>
      <c r="AD2" s="2223"/>
      <c r="AE2" s="2223"/>
      <c r="AF2" s="2223"/>
      <c r="AG2" s="2223"/>
      <c r="AH2" s="2223"/>
      <c r="AI2" s="2223"/>
      <c r="AJ2" s="2223"/>
      <c r="AK2" s="2223"/>
    </row>
    <row r="3" spans="1:37" x14ac:dyDescent="0.25">
      <c r="A3" s="247" t="s">
        <v>485</v>
      </c>
      <c r="B3" s="258" t="s">
        <v>400</v>
      </c>
      <c r="C3" s="258" t="s">
        <v>1350</v>
      </c>
      <c r="D3" s="258" t="s">
        <v>1351</v>
      </c>
      <c r="E3" s="258" t="s">
        <v>1352</v>
      </c>
      <c r="F3" s="248" t="s">
        <v>795</v>
      </c>
      <c r="G3" s="700" t="s">
        <v>387</v>
      </c>
      <c r="H3" s="248" t="s">
        <v>652</v>
      </c>
      <c r="I3" s="700" t="s">
        <v>387</v>
      </c>
      <c r="J3" s="248" t="s">
        <v>1359</v>
      </c>
      <c r="K3" s="700" t="s">
        <v>387</v>
      </c>
      <c r="L3" s="248" t="s">
        <v>1105</v>
      </c>
      <c r="M3" s="700" t="s">
        <v>387</v>
      </c>
      <c r="N3" s="248" t="s">
        <v>283</v>
      </c>
      <c r="O3" s="700" t="s">
        <v>387</v>
      </c>
      <c r="P3" s="248" t="s">
        <v>1314</v>
      </c>
      <c r="Q3" s="700" t="s">
        <v>387</v>
      </c>
      <c r="R3" s="248" t="s">
        <v>372</v>
      </c>
      <c r="S3" s="700" t="s">
        <v>387</v>
      </c>
      <c r="T3" s="248" t="s">
        <v>615</v>
      </c>
      <c r="U3" s="700" t="s">
        <v>387</v>
      </c>
      <c r="V3" s="248" t="s">
        <v>1418</v>
      </c>
      <c r="W3" s="700" t="s">
        <v>387</v>
      </c>
      <c r="X3" s="248" t="s">
        <v>1446</v>
      </c>
      <c r="Y3" s="700" t="s">
        <v>387</v>
      </c>
      <c r="Z3" s="248" t="s">
        <v>1447</v>
      </c>
      <c r="AA3" s="700" t="s">
        <v>387</v>
      </c>
      <c r="AB3" s="248" t="s">
        <v>1438</v>
      </c>
      <c r="AC3" s="700" t="s">
        <v>387</v>
      </c>
      <c r="AD3" s="248" t="s">
        <v>1549</v>
      </c>
      <c r="AE3" s="700" t="s">
        <v>387</v>
      </c>
      <c r="AF3" s="248" t="s">
        <v>1611</v>
      </c>
      <c r="AG3" s="700" t="s">
        <v>387</v>
      </c>
      <c r="AH3" s="248" t="s">
        <v>1639</v>
      </c>
      <c r="AI3" s="700" t="s">
        <v>387</v>
      </c>
      <c r="AJ3" s="248" t="s">
        <v>1721</v>
      </c>
      <c r="AK3" s="700" t="s">
        <v>387</v>
      </c>
    </row>
    <row r="4" spans="1:37" x14ac:dyDescent="0.25">
      <c r="A4" s="378"/>
      <c r="B4" s="379"/>
      <c r="C4" s="379"/>
      <c r="D4" s="379"/>
      <c r="E4" s="379"/>
      <c r="F4" s="379"/>
      <c r="G4" s="379"/>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row>
    <row r="5" spans="1:37" x14ac:dyDescent="0.25">
      <c r="A5" s="671" t="s">
        <v>1175</v>
      </c>
      <c r="B5" s="701">
        <v>0</v>
      </c>
      <c r="C5" s="701">
        <v>0</v>
      </c>
      <c r="D5" s="701">
        <v>0</v>
      </c>
      <c r="E5" s="701">
        <v>0</v>
      </c>
      <c r="F5" s="672">
        <v>0</v>
      </c>
      <c r="G5" s="702">
        <f t="shared" ref="G5:G49" si="0">AVERAGE(B5:F5)</f>
        <v>0</v>
      </c>
      <c r="H5" s="672">
        <v>0</v>
      </c>
      <c r="I5" s="702">
        <f t="shared" ref="I5:I49" si="1">(+H5+F5+E5+D5+C5)/5</f>
        <v>0</v>
      </c>
      <c r="J5" s="672">
        <v>0</v>
      </c>
      <c r="K5" s="702">
        <f t="shared" ref="K5:K49" si="2">(+J5+H5+F5+E5+D5)/5</f>
        <v>0</v>
      </c>
      <c r="L5" s="672">
        <v>0</v>
      </c>
      <c r="M5" s="702">
        <f t="shared" ref="M5:M49" si="3">(L5+J5+H5+F5+E5)/5</f>
        <v>0</v>
      </c>
      <c r="N5" s="672">
        <v>0</v>
      </c>
      <c r="O5" s="702">
        <f t="shared" ref="O5:O49" si="4">(N5+L5+J5+H5+F5)/5</f>
        <v>0</v>
      </c>
      <c r="P5" s="672">
        <v>2</v>
      </c>
      <c r="Q5" s="702">
        <f t="shared" ref="Q5:Q49" si="5">(P5+N5+L5+J5+H5)/5</f>
        <v>0.4</v>
      </c>
      <c r="R5" s="672">
        <v>0</v>
      </c>
      <c r="S5" s="702">
        <f t="shared" ref="S5:S49" si="6">(R5+P5+N5+L5+J5)/5</f>
        <v>0.4</v>
      </c>
      <c r="T5" s="672">
        <v>1</v>
      </c>
      <c r="U5" s="702">
        <f t="shared" ref="U5:U49" si="7">(T5+R5+P5+N5+L5)/5</f>
        <v>0.6</v>
      </c>
      <c r="V5" s="672">
        <v>3</v>
      </c>
      <c r="W5" s="702">
        <f t="shared" ref="W5:W49" si="8">(V5+T5+R5+P5+N5)/5</f>
        <v>1.2</v>
      </c>
      <c r="X5" s="672">
        <v>2</v>
      </c>
      <c r="Y5" s="702">
        <f t="shared" ref="Y5:Y49" si="9">(X5+V5+T5+R5+P5)/5</f>
        <v>1.6</v>
      </c>
      <c r="Z5" s="672">
        <v>3</v>
      </c>
      <c r="AA5" s="702">
        <f t="shared" ref="AA5:AA49" si="10">(Z5+X5+V5+T5+R5)/5</f>
        <v>1.8</v>
      </c>
      <c r="AB5" s="672">
        <v>2</v>
      </c>
      <c r="AC5" s="702">
        <f t="shared" ref="AC5:AC49" si="11">(AB5+Z5+X5+V5+T5)/5</f>
        <v>2.2000000000000002</v>
      </c>
      <c r="AD5" s="672">
        <v>0</v>
      </c>
      <c r="AE5" s="702">
        <f t="shared" ref="AE5:AE24" si="12">(AD5+AB5+Z5+X5+V5)/5</f>
        <v>2</v>
      </c>
      <c r="AF5" s="672">
        <v>0</v>
      </c>
      <c r="AG5" s="702">
        <f t="shared" ref="AG5:AG24" si="13">(AF5+AD5+AB5+Z5+X5)/5</f>
        <v>1.4</v>
      </c>
      <c r="AH5" s="672">
        <v>0</v>
      </c>
      <c r="AI5" s="702">
        <f t="shared" ref="AI5:AI24" si="14">(AH5+AF5+AD5+AB5+Z5)/5</f>
        <v>1</v>
      </c>
      <c r="AJ5" s="672">
        <v>0</v>
      </c>
      <c r="AK5" s="702">
        <f t="shared" ref="AK5:AK24" si="15">(AJ5+AH5+AF5+AD5+AB5)/5</f>
        <v>0.4</v>
      </c>
    </row>
    <row r="6" spans="1:37" x14ac:dyDescent="0.25">
      <c r="A6" s="161" t="s">
        <v>1176</v>
      </c>
      <c r="B6" s="701">
        <v>3</v>
      </c>
      <c r="C6" s="701">
        <v>3</v>
      </c>
      <c r="D6" s="701">
        <v>3</v>
      </c>
      <c r="E6" s="701">
        <v>5</v>
      </c>
      <c r="F6" s="162">
        <v>0</v>
      </c>
      <c r="G6" s="702">
        <f t="shared" si="0"/>
        <v>2.8</v>
      </c>
      <c r="H6" s="162">
        <v>0</v>
      </c>
      <c r="I6" s="702">
        <f t="shared" si="1"/>
        <v>2.2000000000000002</v>
      </c>
      <c r="J6" s="162">
        <v>1</v>
      </c>
      <c r="K6" s="702">
        <f t="shared" si="2"/>
        <v>1.8</v>
      </c>
      <c r="L6" s="162">
        <v>1</v>
      </c>
      <c r="M6" s="702">
        <f t="shared" si="3"/>
        <v>1.4</v>
      </c>
      <c r="N6" s="162">
        <v>1</v>
      </c>
      <c r="O6" s="702">
        <f t="shared" si="4"/>
        <v>0.6</v>
      </c>
      <c r="P6" s="162">
        <v>0</v>
      </c>
      <c r="Q6" s="702">
        <f t="shared" si="5"/>
        <v>0.6</v>
      </c>
      <c r="R6" s="162">
        <v>0</v>
      </c>
      <c r="S6" s="702">
        <f t="shared" si="6"/>
        <v>0.6</v>
      </c>
      <c r="T6" s="162">
        <v>0</v>
      </c>
      <c r="U6" s="702">
        <f t="shared" si="7"/>
        <v>0.4</v>
      </c>
      <c r="V6" s="162">
        <v>0</v>
      </c>
      <c r="W6" s="702">
        <f t="shared" si="8"/>
        <v>0.2</v>
      </c>
      <c r="X6" s="162">
        <v>0</v>
      </c>
      <c r="Y6" s="702">
        <f t="shared" si="9"/>
        <v>0</v>
      </c>
      <c r="Z6" s="162">
        <v>0</v>
      </c>
      <c r="AA6" s="702">
        <f t="shared" si="10"/>
        <v>0</v>
      </c>
      <c r="AB6" s="162">
        <v>0</v>
      </c>
      <c r="AC6" s="702">
        <f t="shared" si="11"/>
        <v>0</v>
      </c>
      <c r="AD6" s="162">
        <v>0</v>
      </c>
      <c r="AE6" s="702">
        <f t="shared" si="12"/>
        <v>0</v>
      </c>
      <c r="AF6" s="162">
        <v>0</v>
      </c>
      <c r="AG6" s="702">
        <f t="shared" si="13"/>
        <v>0</v>
      </c>
      <c r="AH6" s="162">
        <v>0</v>
      </c>
      <c r="AI6" s="702">
        <f t="shared" si="14"/>
        <v>0</v>
      </c>
      <c r="AJ6" s="162">
        <v>0</v>
      </c>
      <c r="AK6" s="702">
        <f t="shared" si="15"/>
        <v>0</v>
      </c>
    </row>
    <row r="7" spans="1:37" x14ac:dyDescent="0.25">
      <c r="A7" s="161" t="s">
        <v>1177</v>
      </c>
      <c r="B7" s="701">
        <v>1</v>
      </c>
      <c r="C7" s="701">
        <v>1</v>
      </c>
      <c r="D7" s="701">
        <v>0</v>
      </c>
      <c r="E7" s="701">
        <v>1</v>
      </c>
      <c r="F7" s="162">
        <v>0</v>
      </c>
      <c r="G7" s="702">
        <f t="shared" si="0"/>
        <v>0.6</v>
      </c>
      <c r="H7" s="162">
        <v>0</v>
      </c>
      <c r="I7" s="702">
        <f t="shared" si="1"/>
        <v>0.4</v>
      </c>
      <c r="J7" s="162">
        <v>1</v>
      </c>
      <c r="K7" s="702">
        <f t="shared" si="2"/>
        <v>0.4</v>
      </c>
      <c r="L7" s="162">
        <v>0</v>
      </c>
      <c r="M7" s="702">
        <f t="shared" si="3"/>
        <v>0.4</v>
      </c>
      <c r="N7" s="162">
        <v>0</v>
      </c>
      <c r="O7" s="702">
        <f t="shared" si="4"/>
        <v>0.2</v>
      </c>
      <c r="P7" s="162">
        <v>0</v>
      </c>
      <c r="Q7" s="702">
        <f t="shared" si="5"/>
        <v>0.2</v>
      </c>
      <c r="R7" s="162">
        <v>0</v>
      </c>
      <c r="S7" s="702">
        <f t="shared" si="6"/>
        <v>0.2</v>
      </c>
      <c r="T7" s="162">
        <v>0</v>
      </c>
      <c r="U7" s="702">
        <f t="shared" si="7"/>
        <v>0</v>
      </c>
      <c r="V7" s="162">
        <v>1</v>
      </c>
      <c r="W7" s="702">
        <f t="shared" si="8"/>
        <v>0.2</v>
      </c>
      <c r="X7" s="162">
        <v>1</v>
      </c>
      <c r="Y7" s="702">
        <f t="shared" si="9"/>
        <v>0.4</v>
      </c>
      <c r="Z7" s="162">
        <v>0</v>
      </c>
      <c r="AA7" s="702">
        <f t="shared" si="10"/>
        <v>0.4</v>
      </c>
      <c r="AB7" s="162">
        <v>0</v>
      </c>
      <c r="AC7" s="702">
        <f t="shared" si="11"/>
        <v>0.4</v>
      </c>
      <c r="AD7" s="162">
        <v>0</v>
      </c>
      <c r="AE7" s="702">
        <f t="shared" si="12"/>
        <v>0.4</v>
      </c>
      <c r="AF7" s="162">
        <v>0</v>
      </c>
      <c r="AG7" s="702">
        <f t="shared" si="13"/>
        <v>0.2</v>
      </c>
      <c r="AH7" s="162">
        <v>0</v>
      </c>
      <c r="AI7" s="702">
        <f t="shared" si="14"/>
        <v>0</v>
      </c>
      <c r="AJ7" s="162">
        <v>0</v>
      </c>
      <c r="AK7" s="702">
        <f t="shared" si="15"/>
        <v>0</v>
      </c>
    </row>
    <row r="8" spans="1:37" x14ac:dyDescent="0.25">
      <c r="A8" s="161" t="s">
        <v>1110</v>
      </c>
      <c r="B8" s="701">
        <v>2</v>
      </c>
      <c r="C8" s="701">
        <v>3</v>
      </c>
      <c r="D8" s="701">
        <v>3</v>
      </c>
      <c r="E8" s="701">
        <v>2</v>
      </c>
      <c r="F8" s="162">
        <v>11</v>
      </c>
      <c r="G8" s="702">
        <f t="shared" si="0"/>
        <v>4.2</v>
      </c>
      <c r="H8" s="162">
        <v>2</v>
      </c>
      <c r="I8" s="702">
        <f t="shared" si="1"/>
        <v>4.2</v>
      </c>
      <c r="J8" s="162">
        <v>9</v>
      </c>
      <c r="K8" s="702">
        <f t="shared" si="2"/>
        <v>5.4</v>
      </c>
      <c r="L8" s="162">
        <v>7</v>
      </c>
      <c r="M8" s="702">
        <f t="shared" si="3"/>
        <v>6.2</v>
      </c>
      <c r="N8" s="162">
        <v>12</v>
      </c>
      <c r="O8" s="702">
        <f t="shared" si="4"/>
        <v>8.1999999999999993</v>
      </c>
      <c r="P8" s="162">
        <v>5</v>
      </c>
      <c r="Q8" s="702">
        <f t="shared" si="5"/>
        <v>7</v>
      </c>
      <c r="R8" s="162">
        <v>3</v>
      </c>
      <c r="S8" s="702">
        <f t="shared" si="6"/>
        <v>7.2</v>
      </c>
      <c r="T8" s="162">
        <v>4</v>
      </c>
      <c r="U8" s="702">
        <f t="shared" si="7"/>
        <v>6.2</v>
      </c>
      <c r="V8" s="162">
        <v>1</v>
      </c>
      <c r="W8" s="702">
        <f t="shared" si="8"/>
        <v>5</v>
      </c>
      <c r="X8" s="162">
        <v>4</v>
      </c>
      <c r="Y8" s="702">
        <f t="shared" si="9"/>
        <v>3.4</v>
      </c>
      <c r="Z8" s="162">
        <v>0</v>
      </c>
      <c r="AA8" s="702">
        <f t="shared" si="10"/>
        <v>2.4</v>
      </c>
      <c r="AB8" s="162">
        <v>2</v>
      </c>
      <c r="AC8" s="702">
        <f t="shared" si="11"/>
        <v>2.2000000000000002</v>
      </c>
      <c r="AD8" s="162">
        <v>1</v>
      </c>
      <c r="AE8" s="702">
        <f t="shared" si="12"/>
        <v>1.6</v>
      </c>
      <c r="AF8" s="162">
        <v>3</v>
      </c>
      <c r="AG8" s="702">
        <f t="shared" si="13"/>
        <v>2</v>
      </c>
      <c r="AH8" s="162">
        <v>1</v>
      </c>
      <c r="AI8" s="702">
        <f t="shared" si="14"/>
        <v>1.4</v>
      </c>
      <c r="AJ8" s="162">
        <v>1</v>
      </c>
      <c r="AK8" s="702">
        <f t="shared" si="15"/>
        <v>1.6</v>
      </c>
    </row>
    <row r="9" spans="1:37" x14ac:dyDescent="0.25">
      <c r="A9" s="161" t="s">
        <v>1178</v>
      </c>
      <c r="B9" s="701">
        <v>12</v>
      </c>
      <c r="C9" s="701">
        <v>13</v>
      </c>
      <c r="D9" s="701">
        <v>11</v>
      </c>
      <c r="E9" s="701">
        <v>17</v>
      </c>
      <c r="F9" s="162">
        <v>15</v>
      </c>
      <c r="G9" s="702">
        <f t="shared" si="0"/>
        <v>13.6</v>
      </c>
      <c r="H9" s="162">
        <v>8</v>
      </c>
      <c r="I9" s="702">
        <f t="shared" si="1"/>
        <v>12.8</v>
      </c>
      <c r="J9" s="162">
        <f>2+1</f>
        <v>3</v>
      </c>
      <c r="K9" s="702">
        <f t="shared" si="2"/>
        <v>10.8</v>
      </c>
      <c r="L9" s="162">
        <v>3</v>
      </c>
      <c r="M9" s="702">
        <f t="shared" si="3"/>
        <v>9.1999999999999993</v>
      </c>
      <c r="N9" s="162">
        <v>3</v>
      </c>
      <c r="O9" s="702">
        <f t="shared" si="4"/>
        <v>6.4</v>
      </c>
      <c r="P9" s="162">
        <v>7</v>
      </c>
      <c r="Q9" s="702">
        <f t="shared" si="5"/>
        <v>4.8</v>
      </c>
      <c r="R9" s="162">
        <v>5</v>
      </c>
      <c r="S9" s="702">
        <f t="shared" si="6"/>
        <v>4.2</v>
      </c>
      <c r="T9" s="162">
        <v>7</v>
      </c>
      <c r="U9" s="702">
        <f t="shared" si="7"/>
        <v>5</v>
      </c>
      <c r="V9" s="162">
        <v>7</v>
      </c>
      <c r="W9" s="702">
        <f t="shared" si="8"/>
        <v>5.8</v>
      </c>
      <c r="X9" s="162">
        <v>4</v>
      </c>
      <c r="Y9" s="702">
        <f t="shared" si="9"/>
        <v>6</v>
      </c>
      <c r="Z9" s="162">
        <v>3</v>
      </c>
      <c r="AA9" s="702">
        <f t="shared" si="10"/>
        <v>5.2</v>
      </c>
      <c r="AB9" s="162">
        <v>7</v>
      </c>
      <c r="AC9" s="702">
        <f t="shared" si="11"/>
        <v>5.6</v>
      </c>
      <c r="AD9" s="162">
        <v>6</v>
      </c>
      <c r="AE9" s="702">
        <f t="shared" si="12"/>
        <v>5.4</v>
      </c>
      <c r="AF9" s="162">
        <v>3</v>
      </c>
      <c r="AG9" s="702">
        <f t="shared" si="13"/>
        <v>4.5999999999999996</v>
      </c>
      <c r="AH9" s="162">
        <v>2</v>
      </c>
      <c r="AI9" s="702">
        <f t="shared" si="14"/>
        <v>4.2</v>
      </c>
      <c r="AJ9" s="162">
        <v>7</v>
      </c>
      <c r="AK9" s="702">
        <f t="shared" si="15"/>
        <v>5</v>
      </c>
    </row>
    <row r="10" spans="1:37" x14ac:dyDescent="0.25">
      <c r="A10" s="249" t="s">
        <v>1111</v>
      </c>
      <c r="B10" s="701">
        <v>3</v>
      </c>
      <c r="C10" s="701">
        <v>2</v>
      </c>
      <c r="D10" s="701">
        <v>2</v>
      </c>
      <c r="E10" s="701">
        <v>0</v>
      </c>
      <c r="F10" s="162">
        <v>1</v>
      </c>
      <c r="G10" s="702">
        <f t="shared" si="0"/>
        <v>1.6</v>
      </c>
      <c r="H10" s="162">
        <v>0</v>
      </c>
      <c r="I10" s="702">
        <f t="shared" si="1"/>
        <v>1</v>
      </c>
      <c r="J10" s="162">
        <v>1</v>
      </c>
      <c r="K10" s="702">
        <f t="shared" si="2"/>
        <v>0.8</v>
      </c>
      <c r="L10" s="162">
        <v>3</v>
      </c>
      <c r="M10" s="702">
        <f t="shared" si="3"/>
        <v>1</v>
      </c>
      <c r="N10" s="162">
        <v>2</v>
      </c>
      <c r="O10" s="702">
        <f t="shared" si="4"/>
        <v>1.4</v>
      </c>
      <c r="P10" s="162">
        <v>3</v>
      </c>
      <c r="Q10" s="702">
        <f t="shared" si="5"/>
        <v>1.8</v>
      </c>
      <c r="R10" s="162">
        <v>3</v>
      </c>
      <c r="S10" s="702">
        <f t="shared" si="6"/>
        <v>2.4</v>
      </c>
      <c r="T10" s="162">
        <v>2</v>
      </c>
      <c r="U10" s="702">
        <f t="shared" si="7"/>
        <v>2.6</v>
      </c>
      <c r="V10" s="162">
        <v>1</v>
      </c>
      <c r="W10" s="702">
        <f t="shared" si="8"/>
        <v>2.2000000000000002</v>
      </c>
      <c r="X10" s="162">
        <v>1</v>
      </c>
      <c r="Y10" s="702">
        <f t="shared" si="9"/>
        <v>2</v>
      </c>
      <c r="Z10" s="162">
        <v>2</v>
      </c>
      <c r="AA10" s="702">
        <f t="shared" si="10"/>
        <v>1.8</v>
      </c>
      <c r="AB10" s="162">
        <v>4</v>
      </c>
      <c r="AC10" s="702">
        <f t="shared" si="11"/>
        <v>2</v>
      </c>
      <c r="AD10" s="162">
        <v>2</v>
      </c>
      <c r="AE10" s="702">
        <f t="shared" si="12"/>
        <v>2</v>
      </c>
      <c r="AF10" s="162">
        <v>8</v>
      </c>
      <c r="AG10" s="702">
        <f t="shared" si="13"/>
        <v>3.4</v>
      </c>
      <c r="AH10" s="162">
        <v>6</v>
      </c>
      <c r="AI10" s="702">
        <f t="shared" si="14"/>
        <v>4.4000000000000004</v>
      </c>
      <c r="AJ10" s="162">
        <v>5</v>
      </c>
      <c r="AK10" s="702">
        <f t="shared" si="15"/>
        <v>5</v>
      </c>
    </row>
    <row r="11" spans="1:37" x14ac:dyDescent="0.25">
      <c r="A11" s="888" t="s">
        <v>1179</v>
      </c>
      <c r="B11" s="701">
        <v>6</v>
      </c>
      <c r="C11" s="701">
        <v>2</v>
      </c>
      <c r="D11" s="701">
        <v>4</v>
      </c>
      <c r="E11" s="701">
        <v>7</v>
      </c>
      <c r="F11" s="162">
        <v>10</v>
      </c>
      <c r="G11" s="702">
        <f t="shared" si="0"/>
        <v>5.8</v>
      </c>
      <c r="H11" s="162">
        <v>0</v>
      </c>
      <c r="I11" s="702">
        <f t="shared" si="1"/>
        <v>4.5999999999999996</v>
      </c>
      <c r="J11" s="162">
        <v>2</v>
      </c>
      <c r="K11" s="702">
        <f t="shared" si="2"/>
        <v>4.5999999999999996</v>
      </c>
      <c r="L11" s="162">
        <v>3</v>
      </c>
      <c r="M11" s="702">
        <f t="shared" si="3"/>
        <v>4.4000000000000004</v>
      </c>
      <c r="N11" s="162">
        <v>3</v>
      </c>
      <c r="O11" s="702">
        <f t="shared" si="4"/>
        <v>3.6</v>
      </c>
      <c r="P11" s="162">
        <v>2</v>
      </c>
      <c r="Q11" s="702">
        <f t="shared" si="5"/>
        <v>2</v>
      </c>
      <c r="R11" s="162">
        <v>2</v>
      </c>
      <c r="S11" s="702">
        <f t="shared" si="6"/>
        <v>2.4</v>
      </c>
      <c r="T11" s="162">
        <v>0</v>
      </c>
      <c r="U11" s="702">
        <f t="shared" si="7"/>
        <v>2</v>
      </c>
      <c r="V11" s="162">
        <v>1</v>
      </c>
      <c r="W11" s="702">
        <f t="shared" si="8"/>
        <v>1.6</v>
      </c>
      <c r="X11" s="162">
        <v>1</v>
      </c>
      <c r="Y11" s="702">
        <f t="shared" si="9"/>
        <v>1.2</v>
      </c>
      <c r="Z11" s="162">
        <v>0</v>
      </c>
      <c r="AA11" s="702">
        <f t="shared" si="10"/>
        <v>0.8</v>
      </c>
      <c r="AB11" s="162">
        <v>0</v>
      </c>
      <c r="AC11" s="702">
        <f t="shared" si="11"/>
        <v>0.4</v>
      </c>
      <c r="AD11" s="162">
        <v>0</v>
      </c>
      <c r="AE11" s="702">
        <f t="shared" si="12"/>
        <v>0.4</v>
      </c>
      <c r="AF11" s="162">
        <v>4</v>
      </c>
      <c r="AG11" s="702">
        <f t="shared" si="13"/>
        <v>1</v>
      </c>
      <c r="AH11" s="162">
        <v>5</v>
      </c>
      <c r="AI11" s="702">
        <f t="shared" si="14"/>
        <v>1.8</v>
      </c>
      <c r="AJ11" s="162">
        <v>0</v>
      </c>
      <c r="AK11" s="702">
        <f t="shared" si="15"/>
        <v>1.8</v>
      </c>
    </row>
    <row r="12" spans="1:37" x14ac:dyDescent="0.25">
      <c r="A12" s="161" t="s">
        <v>1180</v>
      </c>
      <c r="B12" s="701">
        <v>1</v>
      </c>
      <c r="C12" s="701">
        <v>0</v>
      </c>
      <c r="D12" s="701">
        <v>6</v>
      </c>
      <c r="E12" s="701">
        <v>5</v>
      </c>
      <c r="F12" s="162">
        <v>4</v>
      </c>
      <c r="G12" s="702">
        <f t="shared" si="0"/>
        <v>3.2</v>
      </c>
      <c r="H12" s="162">
        <v>3</v>
      </c>
      <c r="I12" s="702">
        <f t="shared" si="1"/>
        <v>3.6</v>
      </c>
      <c r="J12" s="162">
        <v>1</v>
      </c>
      <c r="K12" s="702">
        <f t="shared" si="2"/>
        <v>3.8</v>
      </c>
      <c r="L12" s="162">
        <v>0</v>
      </c>
      <c r="M12" s="702">
        <f t="shared" si="3"/>
        <v>2.6</v>
      </c>
      <c r="N12" s="162">
        <v>0</v>
      </c>
      <c r="O12" s="702">
        <f t="shared" si="4"/>
        <v>1.6</v>
      </c>
      <c r="P12" s="162">
        <v>1</v>
      </c>
      <c r="Q12" s="702">
        <f t="shared" si="5"/>
        <v>1</v>
      </c>
      <c r="R12" s="162">
        <v>0</v>
      </c>
      <c r="S12" s="702">
        <f t="shared" si="6"/>
        <v>0.4</v>
      </c>
      <c r="T12" s="162">
        <v>0</v>
      </c>
      <c r="U12" s="702">
        <f t="shared" si="7"/>
        <v>0.2</v>
      </c>
      <c r="V12" s="162">
        <v>0</v>
      </c>
      <c r="W12" s="702">
        <f t="shared" si="8"/>
        <v>0.2</v>
      </c>
      <c r="X12" s="162">
        <v>0</v>
      </c>
      <c r="Y12" s="702">
        <f t="shared" si="9"/>
        <v>0.2</v>
      </c>
      <c r="Z12" s="162">
        <v>0</v>
      </c>
      <c r="AA12" s="702">
        <f t="shared" si="10"/>
        <v>0</v>
      </c>
      <c r="AB12" s="162">
        <v>0</v>
      </c>
      <c r="AC12" s="702">
        <f t="shared" si="11"/>
        <v>0</v>
      </c>
      <c r="AD12" s="162">
        <v>0</v>
      </c>
      <c r="AE12" s="702">
        <f t="shared" si="12"/>
        <v>0</v>
      </c>
      <c r="AF12" s="162">
        <v>0</v>
      </c>
      <c r="AG12" s="702">
        <f t="shared" si="13"/>
        <v>0</v>
      </c>
      <c r="AH12" s="162">
        <v>0</v>
      </c>
      <c r="AI12" s="702">
        <f t="shared" si="14"/>
        <v>0</v>
      </c>
      <c r="AJ12" s="162">
        <v>0</v>
      </c>
      <c r="AK12" s="702">
        <f t="shared" si="15"/>
        <v>0</v>
      </c>
    </row>
    <row r="13" spans="1:37" x14ac:dyDescent="0.25">
      <c r="A13" s="161" t="s">
        <v>1273</v>
      </c>
      <c r="B13" s="701">
        <v>0</v>
      </c>
      <c r="C13" s="701">
        <v>2</v>
      </c>
      <c r="D13" s="701">
        <v>1</v>
      </c>
      <c r="E13" s="701">
        <v>1</v>
      </c>
      <c r="F13" s="162">
        <v>1</v>
      </c>
      <c r="G13" s="702">
        <f t="shared" si="0"/>
        <v>1</v>
      </c>
      <c r="H13" s="162">
        <v>0</v>
      </c>
      <c r="I13" s="702">
        <f t="shared" si="1"/>
        <v>1</v>
      </c>
      <c r="J13" s="162">
        <v>1</v>
      </c>
      <c r="K13" s="702">
        <f t="shared" si="2"/>
        <v>0.8</v>
      </c>
      <c r="L13" s="162">
        <v>0</v>
      </c>
      <c r="M13" s="702">
        <f t="shared" si="3"/>
        <v>0.6</v>
      </c>
      <c r="N13" s="162">
        <v>0</v>
      </c>
      <c r="O13" s="702">
        <f t="shared" si="4"/>
        <v>0.4</v>
      </c>
      <c r="P13" s="162">
        <v>0</v>
      </c>
      <c r="Q13" s="702">
        <f t="shared" si="5"/>
        <v>0.2</v>
      </c>
      <c r="R13" s="162">
        <v>1</v>
      </c>
      <c r="S13" s="702">
        <f t="shared" si="6"/>
        <v>0.4</v>
      </c>
      <c r="T13" s="162">
        <v>0</v>
      </c>
      <c r="U13" s="702">
        <f t="shared" si="7"/>
        <v>0.2</v>
      </c>
      <c r="V13" s="162">
        <v>0</v>
      </c>
      <c r="W13" s="702">
        <f t="shared" si="8"/>
        <v>0.2</v>
      </c>
      <c r="X13" s="162">
        <v>0</v>
      </c>
      <c r="Y13" s="702">
        <f t="shared" si="9"/>
        <v>0.2</v>
      </c>
      <c r="Z13" s="162">
        <v>0</v>
      </c>
      <c r="AA13" s="702">
        <f t="shared" si="10"/>
        <v>0.2</v>
      </c>
      <c r="AB13" s="162">
        <v>0</v>
      </c>
      <c r="AC13" s="702">
        <f t="shared" si="11"/>
        <v>0</v>
      </c>
      <c r="AD13" s="162">
        <v>0</v>
      </c>
      <c r="AE13" s="702">
        <f t="shared" si="12"/>
        <v>0</v>
      </c>
      <c r="AF13" s="162">
        <v>0</v>
      </c>
      <c r="AG13" s="702">
        <f t="shared" si="13"/>
        <v>0</v>
      </c>
      <c r="AH13" s="162">
        <v>1</v>
      </c>
      <c r="AI13" s="702">
        <f t="shared" si="14"/>
        <v>0.2</v>
      </c>
      <c r="AJ13" s="162">
        <v>0</v>
      </c>
      <c r="AK13" s="702">
        <f t="shared" si="15"/>
        <v>0.2</v>
      </c>
    </row>
    <row r="14" spans="1:37" x14ac:dyDescent="0.25">
      <c r="A14" s="249" t="s">
        <v>1181</v>
      </c>
      <c r="B14" s="701">
        <v>1</v>
      </c>
      <c r="C14" s="701">
        <v>1</v>
      </c>
      <c r="D14" s="701">
        <v>1</v>
      </c>
      <c r="E14" s="701">
        <v>3</v>
      </c>
      <c r="F14" s="162">
        <v>0</v>
      </c>
      <c r="G14" s="702">
        <f t="shared" si="0"/>
        <v>1.2</v>
      </c>
      <c r="H14" s="162">
        <v>2</v>
      </c>
      <c r="I14" s="702">
        <f t="shared" si="1"/>
        <v>1.4</v>
      </c>
      <c r="J14" s="162">
        <v>0</v>
      </c>
      <c r="K14" s="702">
        <f t="shared" si="2"/>
        <v>1.2</v>
      </c>
      <c r="L14" s="162">
        <v>1</v>
      </c>
      <c r="M14" s="702">
        <f t="shared" si="3"/>
        <v>1.2</v>
      </c>
      <c r="N14" s="162">
        <v>3</v>
      </c>
      <c r="O14" s="702">
        <f t="shared" si="4"/>
        <v>1.2</v>
      </c>
      <c r="P14" s="162">
        <v>3</v>
      </c>
      <c r="Q14" s="702">
        <f t="shared" si="5"/>
        <v>1.8</v>
      </c>
      <c r="R14" s="162">
        <v>3</v>
      </c>
      <c r="S14" s="702">
        <f t="shared" si="6"/>
        <v>2</v>
      </c>
      <c r="T14" s="162">
        <v>1</v>
      </c>
      <c r="U14" s="702">
        <f t="shared" si="7"/>
        <v>2.2000000000000002</v>
      </c>
      <c r="V14" s="162">
        <v>1</v>
      </c>
      <c r="W14" s="702">
        <f t="shared" si="8"/>
        <v>2.2000000000000002</v>
      </c>
      <c r="X14" s="162">
        <v>1</v>
      </c>
      <c r="Y14" s="702">
        <f t="shared" si="9"/>
        <v>1.8</v>
      </c>
      <c r="Z14" s="162">
        <v>0</v>
      </c>
      <c r="AA14" s="702">
        <f t="shared" si="10"/>
        <v>1.2</v>
      </c>
      <c r="AB14" s="162">
        <v>0</v>
      </c>
      <c r="AC14" s="702">
        <f t="shared" si="11"/>
        <v>0.6</v>
      </c>
      <c r="AD14" s="162">
        <v>0</v>
      </c>
      <c r="AE14" s="702">
        <f t="shared" si="12"/>
        <v>0.4</v>
      </c>
      <c r="AF14" s="162">
        <v>1</v>
      </c>
      <c r="AG14" s="702">
        <f t="shared" si="13"/>
        <v>0.4</v>
      </c>
      <c r="AH14" s="162">
        <v>1</v>
      </c>
      <c r="AI14" s="702">
        <f t="shared" si="14"/>
        <v>0.4</v>
      </c>
      <c r="AJ14" s="162">
        <v>2</v>
      </c>
      <c r="AK14" s="702">
        <f t="shared" si="15"/>
        <v>0.8</v>
      </c>
    </row>
    <row r="15" spans="1:37" x14ac:dyDescent="0.25">
      <c r="A15" s="1199" t="s">
        <v>1588</v>
      </c>
      <c r="B15" s="701">
        <v>0</v>
      </c>
      <c r="C15" s="701">
        <v>0</v>
      </c>
      <c r="D15" s="701">
        <v>0</v>
      </c>
      <c r="E15" s="701">
        <v>0</v>
      </c>
      <c r="F15" s="162">
        <v>0</v>
      </c>
      <c r="G15" s="702">
        <f t="shared" si="0"/>
        <v>0</v>
      </c>
      <c r="H15" s="162">
        <v>0</v>
      </c>
      <c r="I15" s="702">
        <f t="shared" si="1"/>
        <v>0</v>
      </c>
      <c r="J15" s="162">
        <v>0</v>
      </c>
      <c r="K15" s="702">
        <f t="shared" si="2"/>
        <v>0</v>
      </c>
      <c r="L15" s="162">
        <v>0</v>
      </c>
      <c r="M15" s="702">
        <f t="shared" si="3"/>
        <v>0</v>
      </c>
      <c r="N15" s="162">
        <v>0</v>
      </c>
      <c r="O15" s="702">
        <f t="shared" si="4"/>
        <v>0</v>
      </c>
      <c r="P15" s="162">
        <v>0</v>
      </c>
      <c r="Q15" s="702">
        <f t="shared" si="5"/>
        <v>0</v>
      </c>
      <c r="R15" s="162">
        <v>0</v>
      </c>
      <c r="S15" s="702">
        <f t="shared" si="6"/>
        <v>0</v>
      </c>
      <c r="T15" s="162">
        <v>0</v>
      </c>
      <c r="U15" s="702">
        <f t="shared" si="7"/>
        <v>0</v>
      </c>
      <c r="V15" s="162">
        <v>0</v>
      </c>
      <c r="W15" s="702">
        <f t="shared" si="8"/>
        <v>0</v>
      </c>
      <c r="X15" s="162">
        <v>0</v>
      </c>
      <c r="Y15" s="702">
        <f t="shared" si="9"/>
        <v>0</v>
      </c>
      <c r="Z15" s="162">
        <v>0</v>
      </c>
      <c r="AA15" s="702">
        <f t="shared" si="10"/>
        <v>0</v>
      </c>
      <c r="AB15" s="162">
        <v>0</v>
      </c>
      <c r="AC15" s="702">
        <f t="shared" si="11"/>
        <v>0</v>
      </c>
      <c r="AD15" s="162">
        <v>1</v>
      </c>
      <c r="AE15" s="702">
        <f t="shared" si="12"/>
        <v>0.2</v>
      </c>
      <c r="AF15" s="162">
        <v>2</v>
      </c>
      <c r="AG15" s="702">
        <f t="shared" si="13"/>
        <v>0.6</v>
      </c>
      <c r="AH15" s="162">
        <v>1</v>
      </c>
      <c r="AI15" s="702">
        <f t="shared" si="14"/>
        <v>0.8</v>
      </c>
      <c r="AJ15" s="162">
        <v>0</v>
      </c>
      <c r="AK15" s="702">
        <f t="shared" si="15"/>
        <v>0.8</v>
      </c>
    </row>
    <row r="16" spans="1:37" x14ac:dyDescent="0.25">
      <c r="A16" s="249" t="s">
        <v>1182</v>
      </c>
      <c r="B16" s="701">
        <v>0</v>
      </c>
      <c r="C16" s="701">
        <v>0</v>
      </c>
      <c r="D16" s="701">
        <v>0</v>
      </c>
      <c r="E16" s="701">
        <v>0</v>
      </c>
      <c r="F16" s="162">
        <v>1</v>
      </c>
      <c r="G16" s="702">
        <f t="shared" si="0"/>
        <v>0.2</v>
      </c>
      <c r="H16" s="162">
        <v>0</v>
      </c>
      <c r="I16" s="702">
        <f t="shared" si="1"/>
        <v>0.2</v>
      </c>
      <c r="J16" s="162">
        <v>1</v>
      </c>
      <c r="K16" s="702">
        <f t="shared" si="2"/>
        <v>0.4</v>
      </c>
      <c r="L16" s="162">
        <v>0</v>
      </c>
      <c r="M16" s="702">
        <f t="shared" si="3"/>
        <v>0.4</v>
      </c>
      <c r="N16" s="162">
        <v>0</v>
      </c>
      <c r="O16" s="702">
        <f t="shared" si="4"/>
        <v>0.4</v>
      </c>
      <c r="P16" s="162">
        <v>2</v>
      </c>
      <c r="Q16" s="702">
        <f t="shared" si="5"/>
        <v>0.6</v>
      </c>
      <c r="R16" s="162">
        <v>0</v>
      </c>
      <c r="S16" s="702">
        <f t="shared" si="6"/>
        <v>0.6</v>
      </c>
      <c r="T16" s="162">
        <v>2</v>
      </c>
      <c r="U16" s="702">
        <f t="shared" si="7"/>
        <v>0.8</v>
      </c>
      <c r="V16" s="162">
        <v>1</v>
      </c>
      <c r="W16" s="702">
        <f t="shared" si="8"/>
        <v>1</v>
      </c>
      <c r="X16" s="162">
        <v>1</v>
      </c>
      <c r="Y16" s="702">
        <f t="shared" si="9"/>
        <v>1.2</v>
      </c>
      <c r="Z16" s="162">
        <v>0</v>
      </c>
      <c r="AA16" s="702">
        <f t="shared" si="10"/>
        <v>0.8</v>
      </c>
      <c r="AB16" s="162">
        <v>0</v>
      </c>
      <c r="AC16" s="702">
        <f t="shared" si="11"/>
        <v>0.8</v>
      </c>
      <c r="AD16" s="162">
        <v>0</v>
      </c>
      <c r="AE16" s="702">
        <f t="shared" si="12"/>
        <v>0.4</v>
      </c>
      <c r="AF16" s="162">
        <v>0</v>
      </c>
      <c r="AG16" s="702">
        <f t="shared" si="13"/>
        <v>0.2</v>
      </c>
      <c r="AH16" s="162">
        <v>2</v>
      </c>
      <c r="AI16" s="702">
        <f t="shared" si="14"/>
        <v>0.4</v>
      </c>
      <c r="AJ16" s="162">
        <v>0</v>
      </c>
      <c r="AK16" s="702">
        <f t="shared" si="15"/>
        <v>0.4</v>
      </c>
    </row>
    <row r="17" spans="1:37" x14ac:dyDescent="0.25">
      <c r="A17" s="161" t="s">
        <v>1132</v>
      </c>
      <c r="B17" s="701">
        <v>0</v>
      </c>
      <c r="C17" s="701">
        <v>3</v>
      </c>
      <c r="D17" s="701">
        <v>1</v>
      </c>
      <c r="E17" s="701">
        <v>0</v>
      </c>
      <c r="F17" s="162">
        <v>1</v>
      </c>
      <c r="G17" s="702">
        <f t="shared" si="0"/>
        <v>1</v>
      </c>
      <c r="H17" s="162">
        <v>0</v>
      </c>
      <c r="I17" s="702">
        <f t="shared" si="1"/>
        <v>1</v>
      </c>
      <c r="J17" s="162">
        <v>1</v>
      </c>
      <c r="K17" s="702">
        <f t="shared" si="2"/>
        <v>0.6</v>
      </c>
      <c r="L17" s="162">
        <v>1</v>
      </c>
      <c r="M17" s="702">
        <f t="shared" si="3"/>
        <v>0.6</v>
      </c>
      <c r="N17" s="162">
        <v>1</v>
      </c>
      <c r="O17" s="702">
        <f t="shared" si="4"/>
        <v>0.8</v>
      </c>
      <c r="P17" s="162">
        <v>0</v>
      </c>
      <c r="Q17" s="702">
        <f t="shared" si="5"/>
        <v>0.6</v>
      </c>
      <c r="R17" s="162">
        <v>0</v>
      </c>
      <c r="S17" s="702">
        <f t="shared" si="6"/>
        <v>0.6</v>
      </c>
      <c r="T17" s="162">
        <v>0</v>
      </c>
      <c r="U17" s="702">
        <f t="shared" si="7"/>
        <v>0.4</v>
      </c>
      <c r="V17" s="162">
        <v>2</v>
      </c>
      <c r="W17" s="702">
        <f t="shared" si="8"/>
        <v>0.6</v>
      </c>
      <c r="X17" s="162">
        <v>1</v>
      </c>
      <c r="Y17" s="702">
        <f t="shared" si="9"/>
        <v>0.6</v>
      </c>
      <c r="Z17" s="162">
        <v>0</v>
      </c>
      <c r="AA17" s="702">
        <f t="shared" si="10"/>
        <v>0.6</v>
      </c>
      <c r="AB17" s="162">
        <v>0</v>
      </c>
      <c r="AC17" s="702">
        <f t="shared" si="11"/>
        <v>0.6</v>
      </c>
      <c r="AD17" s="162">
        <v>1</v>
      </c>
      <c r="AE17" s="702">
        <f t="shared" si="12"/>
        <v>0.8</v>
      </c>
      <c r="AF17" s="162">
        <v>0</v>
      </c>
      <c r="AG17" s="702">
        <f t="shared" si="13"/>
        <v>0.4</v>
      </c>
      <c r="AH17" s="162">
        <v>0</v>
      </c>
      <c r="AI17" s="702">
        <f t="shared" si="14"/>
        <v>0.2</v>
      </c>
      <c r="AJ17" s="162">
        <v>0</v>
      </c>
      <c r="AK17" s="702">
        <f t="shared" si="15"/>
        <v>0.2</v>
      </c>
    </row>
    <row r="18" spans="1:37" x14ac:dyDescent="0.25">
      <c r="A18" s="161" t="s">
        <v>829</v>
      </c>
      <c r="B18" s="701">
        <v>0</v>
      </c>
      <c r="C18" s="701">
        <v>0</v>
      </c>
      <c r="D18" s="701">
        <v>0</v>
      </c>
      <c r="E18" s="701">
        <v>0</v>
      </c>
      <c r="F18" s="162">
        <v>1</v>
      </c>
      <c r="G18" s="702">
        <f t="shared" si="0"/>
        <v>0.2</v>
      </c>
      <c r="H18" s="162">
        <v>0</v>
      </c>
      <c r="I18" s="702">
        <f t="shared" si="1"/>
        <v>0.2</v>
      </c>
      <c r="J18" s="162">
        <v>0</v>
      </c>
      <c r="K18" s="702">
        <f t="shared" si="2"/>
        <v>0.2</v>
      </c>
      <c r="L18" s="162">
        <v>0</v>
      </c>
      <c r="M18" s="702">
        <f t="shared" si="3"/>
        <v>0.2</v>
      </c>
      <c r="N18" s="162">
        <v>0</v>
      </c>
      <c r="O18" s="702">
        <f t="shared" si="4"/>
        <v>0.2</v>
      </c>
      <c r="P18" s="162">
        <v>1</v>
      </c>
      <c r="Q18" s="702">
        <f t="shared" si="5"/>
        <v>0.2</v>
      </c>
      <c r="R18" s="162">
        <v>0</v>
      </c>
      <c r="S18" s="702">
        <f t="shared" si="6"/>
        <v>0.2</v>
      </c>
      <c r="T18" s="162">
        <v>0</v>
      </c>
      <c r="U18" s="702">
        <f t="shared" si="7"/>
        <v>0.2</v>
      </c>
      <c r="V18" s="162">
        <v>0</v>
      </c>
      <c r="W18" s="702">
        <f t="shared" si="8"/>
        <v>0.2</v>
      </c>
      <c r="X18" s="162">
        <v>0</v>
      </c>
      <c r="Y18" s="702">
        <f t="shared" si="9"/>
        <v>0.2</v>
      </c>
      <c r="Z18" s="162">
        <v>0</v>
      </c>
      <c r="AA18" s="702">
        <f t="shared" si="10"/>
        <v>0</v>
      </c>
      <c r="AB18" s="162">
        <v>0</v>
      </c>
      <c r="AC18" s="702">
        <f t="shared" si="11"/>
        <v>0</v>
      </c>
      <c r="AD18" s="162">
        <v>0</v>
      </c>
      <c r="AE18" s="702">
        <f t="shared" si="12"/>
        <v>0</v>
      </c>
      <c r="AF18" s="162">
        <v>0</v>
      </c>
      <c r="AG18" s="702">
        <f t="shared" si="13"/>
        <v>0</v>
      </c>
      <c r="AH18" s="162">
        <v>0</v>
      </c>
      <c r="AI18" s="702">
        <f t="shared" si="14"/>
        <v>0</v>
      </c>
      <c r="AJ18" s="162">
        <v>0</v>
      </c>
      <c r="AK18" s="702">
        <f t="shared" si="15"/>
        <v>0</v>
      </c>
    </row>
    <row r="19" spans="1:37" x14ac:dyDescent="0.25">
      <c r="A19" s="888" t="s">
        <v>1520</v>
      </c>
      <c r="B19" s="701">
        <v>0</v>
      </c>
      <c r="C19" s="701">
        <v>0</v>
      </c>
      <c r="D19" s="701">
        <v>0</v>
      </c>
      <c r="E19" s="701">
        <v>0</v>
      </c>
      <c r="F19" s="162">
        <v>0</v>
      </c>
      <c r="G19" s="702">
        <f t="shared" si="0"/>
        <v>0</v>
      </c>
      <c r="H19" s="162">
        <v>0</v>
      </c>
      <c r="I19" s="702">
        <f t="shared" si="1"/>
        <v>0</v>
      </c>
      <c r="J19" s="162">
        <v>0</v>
      </c>
      <c r="K19" s="702">
        <f t="shared" si="2"/>
        <v>0</v>
      </c>
      <c r="L19" s="162">
        <v>0</v>
      </c>
      <c r="M19" s="702">
        <f t="shared" si="3"/>
        <v>0</v>
      </c>
      <c r="N19" s="162">
        <v>0</v>
      </c>
      <c r="O19" s="702">
        <f t="shared" si="4"/>
        <v>0</v>
      </c>
      <c r="P19" s="162">
        <v>0</v>
      </c>
      <c r="Q19" s="702">
        <f t="shared" si="5"/>
        <v>0</v>
      </c>
      <c r="R19" s="162">
        <v>0</v>
      </c>
      <c r="S19" s="702">
        <f t="shared" si="6"/>
        <v>0</v>
      </c>
      <c r="T19" s="162">
        <v>0</v>
      </c>
      <c r="U19" s="702">
        <f t="shared" si="7"/>
        <v>0</v>
      </c>
      <c r="V19" s="162">
        <v>0</v>
      </c>
      <c r="W19" s="702">
        <f t="shared" si="8"/>
        <v>0</v>
      </c>
      <c r="X19" s="162">
        <v>0</v>
      </c>
      <c r="Y19" s="702">
        <f t="shared" si="9"/>
        <v>0</v>
      </c>
      <c r="Z19" s="162">
        <v>3</v>
      </c>
      <c r="AA19" s="702">
        <f t="shared" si="10"/>
        <v>0.6</v>
      </c>
      <c r="AB19" s="162">
        <v>0</v>
      </c>
      <c r="AC19" s="702">
        <f t="shared" si="11"/>
        <v>0.6</v>
      </c>
      <c r="AD19" s="162">
        <v>0</v>
      </c>
      <c r="AE19" s="702">
        <f t="shared" si="12"/>
        <v>0.6</v>
      </c>
      <c r="AF19" s="162">
        <v>2</v>
      </c>
      <c r="AG19" s="702">
        <f t="shared" si="13"/>
        <v>1</v>
      </c>
      <c r="AH19" s="162">
        <v>0</v>
      </c>
      <c r="AI19" s="702">
        <f t="shared" si="14"/>
        <v>1</v>
      </c>
      <c r="AJ19" s="162">
        <v>2</v>
      </c>
      <c r="AK19" s="702">
        <f t="shared" si="15"/>
        <v>0.8</v>
      </c>
    </row>
    <row r="20" spans="1:37" x14ac:dyDescent="0.25">
      <c r="A20" s="161" t="s">
        <v>1113</v>
      </c>
      <c r="B20" s="701">
        <v>0</v>
      </c>
      <c r="C20" s="701">
        <v>0</v>
      </c>
      <c r="D20" s="701">
        <v>0</v>
      </c>
      <c r="E20" s="701">
        <v>1</v>
      </c>
      <c r="F20" s="162">
        <v>0</v>
      </c>
      <c r="G20" s="702">
        <f t="shared" si="0"/>
        <v>0.2</v>
      </c>
      <c r="H20" s="162">
        <v>3</v>
      </c>
      <c r="I20" s="702">
        <f t="shared" si="1"/>
        <v>0.8</v>
      </c>
      <c r="J20" s="162">
        <v>0</v>
      </c>
      <c r="K20" s="702">
        <f t="shared" si="2"/>
        <v>0.8</v>
      </c>
      <c r="L20" s="162">
        <v>1</v>
      </c>
      <c r="M20" s="702">
        <f t="shared" si="3"/>
        <v>1</v>
      </c>
      <c r="N20" s="162">
        <v>1</v>
      </c>
      <c r="O20" s="702">
        <f t="shared" si="4"/>
        <v>1</v>
      </c>
      <c r="P20" s="162">
        <v>0</v>
      </c>
      <c r="Q20" s="702">
        <f t="shared" si="5"/>
        <v>1</v>
      </c>
      <c r="R20" s="162">
        <v>0</v>
      </c>
      <c r="S20" s="702">
        <f t="shared" si="6"/>
        <v>0.4</v>
      </c>
      <c r="T20" s="162">
        <v>0</v>
      </c>
      <c r="U20" s="702">
        <f t="shared" si="7"/>
        <v>0.4</v>
      </c>
      <c r="V20" s="162">
        <v>0</v>
      </c>
      <c r="W20" s="702">
        <f t="shared" si="8"/>
        <v>0.2</v>
      </c>
      <c r="X20" s="162">
        <v>0</v>
      </c>
      <c r="Y20" s="702">
        <f t="shared" si="9"/>
        <v>0</v>
      </c>
      <c r="Z20" s="162">
        <v>0</v>
      </c>
      <c r="AA20" s="702">
        <f t="shared" si="10"/>
        <v>0</v>
      </c>
      <c r="AB20" s="162">
        <v>0</v>
      </c>
      <c r="AC20" s="702">
        <f t="shared" si="11"/>
        <v>0</v>
      </c>
      <c r="AD20" s="162">
        <v>2</v>
      </c>
      <c r="AE20" s="702">
        <f t="shared" si="12"/>
        <v>0.4</v>
      </c>
      <c r="AF20" s="162">
        <v>0</v>
      </c>
      <c r="AG20" s="702">
        <f t="shared" si="13"/>
        <v>0.4</v>
      </c>
      <c r="AH20" s="162">
        <v>1</v>
      </c>
      <c r="AI20" s="702">
        <f t="shared" si="14"/>
        <v>0.6</v>
      </c>
      <c r="AJ20" s="162">
        <v>1</v>
      </c>
      <c r="AK20" s="702">
        <f t="shared" si="15"/>
        <v>0.8</v>
      </c>
    </row>
    <row r="21" spans="1:37" x14ac:dyDescent="0.25">
      <c r="A21" s="161" t="s">
        <v>1184</v>
      </c>
      <c r="B21" s="701">
        <v>0</v>
      </c>
      <c r="C21" s="701">
        <v>0</v>
      </c>
      <c r="D21" s="701">
        <v>0</v>
      </c>
      <c r="E21" s="701">
        <v>1</v>
      </c>
      <c r="F21" s="162">
        <v>1</v>
      </c>
      <c r="G21" s="702">
        <f t="shared" si="0"/>
        <v>0.4</v>
      </c>
      <c r="H21" s="162">
        <v>0</v>
      </c>
      <c r="I21" s="702">
        <f t="shared" si="1"/>
        <v>0.4</v>
      </c>
      <c r="J21" s="162">
        <v>1</v>
      </c>
      <c r="K21" s="702">
        <f t="shared" si="2"/>
        <v>0.6</v>
      </c>
      <c r="L21" s="162">
        <v>1</v>
      </c>
      <c r="M21" s="702">
        <f t="shared" si="3"/>
        <v>0.8</v>
      </c>
      <c r="N21" s="162">
        <v>0</v>
      </c>
      <c r="O21" s="702">
        <f t="shared" si="4"/>
        <v>0.6</v>
      </c>
      <c r="P21" s="162">
        <v>0</v>
      </c>
      <c r="Q21" s="702">
        <f t="shared" si="5"/>
        <v>0.4</v>
      </c>
      <c r="R21" s="162">
        <v>0</v>
      </c>
      <c r="S21" s="702">
        <f t="shared" si="6"/>
        <v>0.4</v>
      </c>
      <c r="T21" s="162">
        <v>0</v>
      </c>
      <c r="U21" s="702">
        <f t="shared" si="7"/>
        <v>0.2</v>
      </c>
      <c r="V21" s="162">
        <v>0</v>
      </c>
      <c r="W21" s="702">
        <f t="shared" si="8"/>
        <v>0</v>
      </c>
      <c r="X21" s="162">
        <v>1</v>
      </c>
      <c r="Y21" s="702">
        <f t="shared" si="9"/>
        <v>0.2</v>
      </c>
      <c r="Z21" s="162">
        <v>0</v>
      </c>
      <c r="AA21" s="702">
        <f t="shared" si="10"/>
        <v>0.2</v>
      </c>
      <c r="AB21" s="162">
        <v>1</v>
      </c>
      <c r="AC21" s="702">
        <f t="shared" si="11"/>
        <v>0.4</v>
      </c>
      <c r="AD21" s="162">
        <v>1</v>
      </c>
      <c r="AE21" s="702">
        <f t="shared" si="12"/>
        <v>0.6</v>
      </c>
      <c r="AF21" s="162">
        <v>2</v>
      </c>
      <c r="AG21" s="702">
        <f t="shared" si="13"/>
        <v>1</v>
      </c>
      <c r="AH21" s="162">
        <v>0</v>
      </c>
      <c r="AI21" s="702">
        <f t="shared" si="14"/>
        <v>0.8</v>
      </c>
      <c r="AJ21" s="162">
        <v>0</v>
      </c>
      <c r="AK21" s="702">
        <f t="shared" si="15"/>
        <v>0.8</v>
      </c>
    </row>
    <row r="22" spans="1:37" x14ac:dyDescent="0.25">
      <c r="A22" s="161" t="s">
        <v>609</v>
      </c>
      <c r="B22" s="701">
        <v>4</v>
      </c>
      <c r="C22" s="701">
        <v>0</v>
      </c>
      <c r="D22" s="701">
        <v>1</v>
      </c>
      <c r="E22" s="701">
        <v>0</v>
      </c>
      <c r="F22" s="162">
        <v>0</v>
      </c>
      <c r="G22" s="702">
        <f t="shared" si="0"/>
        <v>1</v>
      </c>
      <c r="H22" s="162">
        <v>0</v>
      </c>
      <c r="I22" s="702">
        <f t="shared" si="1"/>
        <v>0.2</v>
      </c>
      <c r="J22" s="162">
        <v>0</v>
      </c>
      <c r="K22" s="702">
        <f t="shared" si="2"/>
        <v>0.2</v>
      </c>
      <c r="L22" s="162">
        <v>2</v>
      </c>
      <c r="M22" s="702">
        <f t="shared" si="3"/>
        <v>0.4</v>
      </c>
      <c r="N22" s="162">
        <v>1</v>
      </c>
      <c r="O22" s="702">
        <f t="shared" si="4"/>
        <v>0.6</v>
      </c>
      <c r="P22" s="162">
        <v>1</v>
      </c>
      <c r="Q22" s="702">
        <f t="shared" si="5"/>
        <v>0.8</v>
      </c>
      <c r="R22" s="162">
        <v>0</v>
      </c>
      <c r="S22" s="702">
        <f t="shared" si="6"/>
        <v>0.8</v>
      </c>
      <c r="T22" s="162">
        <v>0</v>
      </c>
      <c r="U22" s="702">
        <f t="shared" si="7"/>
        <v>0.8</v>
      </c>
      <c r="V22" s="162">
        <v>0</v>
      </c>
      <c r="W22" s="702">
        <f t="shared" si="8"/>
        <v>0.4</v>
      </c>
      <c r="X22" s="162">
        <v>0</v>
      </c>
      <c r="Y22" s="702">
        <f t="shared" si="9"/>
        <v>0.2</v>
      </c>
      <c r="Z22" s="162">
        <v>0</v>
      </c>
      <c r="AA22" s="702">
        <f t="shared" si="10"/>
        <v>0</v>
      </c>
      <c r="AB22" s="162">
        <v>0</v>
      </c>
      <c r="AC22" s="702">
        <f t="shared" si="11"/>
        <v>0</v>
      </c>
      <c r="AD22" s="162">
        <v>0</v>
      </c>
      <c r="AE22" s="702">
        <f t="shared" si="12"/>
        <v>0</v>
      </c>
      <c r="AF22" s="162">
        <v>0</v>
      </c>
      <c r="AG22" s="702">
        <f t="shared" si="13"/>
        <v>0</v>
      </c>
      <c r="AH22" s="162">
        <v>0</v>
      </c>
      <c r="AI22" s="702">
        <f t="shared" si="14"/>
        <v>0</v>
      </c>
      <c r="AJ22" s="162">
        <v>0</v>
      </c>
      <c r="AK22" s="702">
        <f t="shared" si="15"/>
        <v>0</v>
      </c>
    </row>
    <row r="23" spans="1:37" x14ac:dyDescent="0.25">
      <c r="A23" s="249" t="s">
        <v>499</v>
      </c>
      <c r="B23" s="701">
        <v>0</v>
      </c>
      <c r="C23" s="701">
        <v>0</v>
      </c>
      <c r="D23" s="701">
        <v>1</v>
      </c>
      <c r="E23" s="701">
        <v>0</v>
      </c>
      <c r="F23" s="162">
        <v>1</v>
      </c>
      <c r="G23" s="702">
        <f t="shared" si="0"/>
        <v>0.4</v>
      </c>
      <c r="H23" s="162">
        <v>1</v>
      </c>
      <c r="I23" s="702">
        <f t="shared" si="1"/>
        <v>0.6</v>
      </c>
      <c r="J23" s="162">
        <v>1</v>
      </c>
      <c r="K23" s="702">
        <f t="shared" si="2"/>
        <v>0.8</v>
      </c>
      <c r="L23" s="162">
        <v>0</v>
      </c>
      <c r="M23" s="702">
        <f t="shared" si="3"/>
        <v>0.6</v>
      </c>
      <c r="N23" s="162">
        <v>0</v>
      </c>
      <c r="O23" s="702">
        <f t="shared" si="4"/>
        <v>0.6</v>
      </c>
      <c r="P23" s="162">
        <v>1</v>
      </c>
      <c r="Q23" s="702">
        <f t="shared" si="5"/>
        <v>0.6</v>
      </c>
      <c r="R23" s="162">
        <v>2</v>
      </c>
      <c r="S23" s="702">
        <f t="shared" si="6"/>
        <v>0.8</v>
      </c>
      <c r="T23" s="162">
        <v>3</v>
      </c>
      <c r="U23" s="702">
        <f t="shared" si="7"/>
        <v>1.2</v>
      </c>
      <c r="V23" s="162">
        <v>2</v>
      </c>
      <c r="W23" s="702">
        <f t="shared" si="8"/>
        <v>1.6</v>
      </c>
      <c r="X23" s="162">
        <v>2</v>
      </c>
      <c r="Y23" s="702">
        <f t="shared" si="9"/>
        <v>2</v>
      </c>
      <c r="Z23" s="162">
        <v>2</v>
      </c>
      <c r="AA23" s="702">
        <f t="shared" si="10"/>
        <v>2.2000000000000002</v>
      </c>
      <c r="AB23" s="162">
        <v>4</v>
      </c>
      <c r="AC23" s="702">
        <f t="shared" si="11"/>
        <v>2.6</v>
      </c>
      <c r="AD23" s="162">
        <v>3</v>
      </c>
      <c r="AE23" s="702">
        <f t="shared" si="12"/>
        <v>2.6</v>
      </c>
      <c r="AF23" s="162">
        <v>3</v>
      </c>
      <c r="AG23" s="702">
        <f t="shared" si="13"/>
        <v>2.8</v>
      </c>
      <c r="AH23" s="162">
        <v>5</v>
      </c>
      <c r="AI23" s="702">
        <f t="shared" si="14"/>
        <v>3.4</v>
      </c>
      <c r="AJ23" s="162">
        <v>3</v>
      </c>
      <c r="AK23" s="702">
        <f t="shared" si="15"/>
        <v>3.6</v>
      </c>
    </row>
    <row r="24" spans="1:37" x14ac:dyDescent="0.25">
      <c r="A24" s="161" t="s">
        <v>1129</v>
      </c>
      <c r="B24" s="701">
        <v>4</v>
      </c>
      <c r="C24" s="701">
        <v>2</v>
      </c>
      <c r="D24" s="701">
        <v>4</v>
      </c>
      <c r="E24" s="701">
        <v>5</v>
      </c>
      <c r="F24" s="162">
        <v>7</v>
      </c>
      <c r="G24" s="702">
        <f t="shared" si="0"/>
        <v>4.4000000000000004</v>
      </c>
      <c r="H24" s="162">
        <v>2</v>
      </c>
      <c r="I24" s="702">
        <f t="shared" si="1"/>
        <v>4</v>
      </c>
      <c r="J24" s="162">
        <v>6</v>
      </c>
      <c r="K24" s="702">
        <f t="shared" si="2"/>
        <v>4.8</v>
      </c>
      <c r="L24" s="162">
        <v>5</v>
      </c>
      <c r="M24" s="702">
        <f t="shared" si="3"/>
        <v>5</v>
      </c>
      <c r="N24" s="162">
        <v>5</v>
      </c>
      <c r="O24" s="702">
        <f t="shared" si="4"/>
        <v>5</v>
      </c>
      <c r="P24" s="162">
        <v>5</v>
      </c>
      <c r="Q24" s="702">
        <f t="shared" si="5"/>
        <v>4.5999999999999996</v>
      </c>
      <c r="R24" s="162">
        <v>0</v>
      </c>
      <c r="S24" s="702">
        <f t="shared" si="6"/>
        <v>4.2</v>
      </c>
      <c r="T24" s="162">
        <v>2</v>
      </c>
      <c r="U24" s="702">
        <f t="shared" si="7"/>
        <v>3.4</v>
      </c>
      <c r="V24" s="162">
        <v>1</v>
      </c>
      <c r="W24" s="702">
        <f t="shared" si="8"/>
        <v>2.6</v>
      </c>
      <c r="X24" s="162">
        <v>0</v>
      </c>
      <c r="Y24" s="702">
        <f t="shared" si="9"/>
        <v>1.6</v>
      </c>
      <c r="Z24" s="162">
        <v>1</v>
      </c>
      <c r="AA24" s="702">
        <f t="shared" si="10"/>
        <v>0.8</v>
      </c>
      <c r="AB24" s="162">
        <v>3</v>
      </c>
      <c r="AC24" s="702">
        <f t="shared" si="11"/>
        <v>1.4</v>
      </c>
      <c r="AD24" s="162">
        <v>0</v>
      </c>
      <c r="AE24" s="702">
        <f t="shared" si="12"/>
        <v>1</v>
      </c>
      <c r="AF24" s="162">
        <v>2</v>
      </c>
      <c r="AG24" s="702">
        <f t="shared" si="13"/>
        <v>1.2</v>
      </c>
      <c r="AH24" s="162">
        <v>2</v>
      </c>
      <c r="AI24" s="702">
        <f t="shared" si="14"/>
        <v>1.6</v>
      </c>
      <c r="AJ24" s="162">
        <v>0</v>
      </c>
      <c r="AK24" s="702">
        <f t="shared" si="15"/>
        <v>1.4</v>
      </c>
    </row>
    <row r="25" spans="1:37" x14ac:dyDescent="0.25">
      <c r="A25" s="1074" t="s">
        <v>1506</v>
      </c>
      <c r="B25" s="701">
        <v>0</v>
      </c>
      <c r="C25" s="701">
        <v>0</v>
      </c>
      <c r="D25" s="701">
        <v>0</v>
      </c>
      <c r="E25" s="701">
        <v>0</v>
      </c>
      <c r="F25" s="162">
        <v>0</v>
      </c>
      <c r="G25" s="702">
        <f>AVERAGE(B25:F25)</f>
        <v>0</v>
      </c>
      <c r="H25" s="162">
        <v>0</v>
      </c>
      <c r="I25" s="702">
        <f>(+H25+F25+E25+D25+C25)/5</f>
        <v>0</v>
      </c>
      <c r="J25" s="162">
        <v>0</v>
      </c>
      <c r="K25" s="702">
        <f>(+J25+H25+F25+E25+D25)/5</f>
        <v>0</v>
      </c>
      <c r="L25" s="162">
        <v>0</v>
      </c>
      <c r="M25" s="702">
        <f>(L25+J25+H25+F25+E25)/5</f>
        <v>0</v>
      </c>
      <c r="N25" s="162">
        <v>0</v>
      </c>
      <c r="O25" s="702">
        <f>(N25+L25+J25+H25+F25)/5</f>
        <v>0</v>
      </c>
      <c r="P25" s="162">
        <v>0</v>
      </c>
      <c r="Q25" s="702">
        <f>(P25+N25+L25+J25+H25)/5</f>
        <v>0</v>
      </c>
      <c r="R25" s="162">
        <v>0</v>
      </c>
      <c r="S25" s="702">
        <f>(R25+P25+N25+L25+J25)/5</f>
        <v>0</v>
      </c>
      <c r="T25" s="162">
        <v>0</v>
      </c>
      <c r="U25" s="702">
        <f>(T25+R25+P25+N25+L25)/5</f>
        <v>0</v>
      </c>
      <c r="V25" s="162">
        <v>0</v>
      </c>
      <c r="W25" s="702">
        <f>(V25+T25+R25+P25+N25)/5</f>
        <v>0</v>
      </c>
      <c r="X25" s="162">
        <v>0</v>
      </c>
      <c r="Y25" s="702">
        <f>(X25+V25+T25+R25+P25)/5</f>
        <v>0</v>
      </c>
      <c r="Z25" s="162">
        <v>1</v>
      </c>
      <c r="AA25" s="702">
        <f>(Z25+X25+V25+T25+R25)/5</f>
        <v>0.2</v>
      </c>
      <c r="AB25" s="162">
        <v>1</v>
      </c>
      <c r="AC25" s="702">
        <f>(AB25+Z25+X25+V25+T25)/5</f>
        <v>0.4</v>
      </c>
      <c r="AD25" s="162">
        <v>0</v>
      </c>
      <c r="AE25" s="702">
        <f>(AD25+AB25+Z25+X25+V25)/5</f>
        <v>0.4</v>
      </c>
      <c r="AF25" s="162">
        <v>0</v>
      </c>
      <c r="AG25" s="702">
        <f>(AF25+AD25+AB25+Z25+X25)/5</f>
        <v>0.4</v>
      </c>
      <c r="AH25" s="162">
        <v>0</v>
      </c>
      <c r="AI25" s="702">
        <f>(AH25+AF25+AD25+AB25+Z25)/5</f>
        <v>0.4</v>
      </c>
      <c r="AJ25" s="162">
        <v>0</v>
      </c>
      <c r="AK25" s="702">
        <f>(AJ25+AH25+AF25+AD25+AB25)/5</f>
        <v>0.2</v>
      </c>
    </row>
    <row r="26" spans="1:37" x14ac:dyDescent="0.25">
      <c r="A26" s="671" t="s">
        <v>1186</v>
      </c>
      <c r="B26" s="701">
        <v>0</v>
      </c>
      <c r="C26" s="701">
        <v>0</v>
      </c>
      <c r="D26" s="701">
        <v>0</v>
      </c>
      <c r="E26" s="701">
        <v>0</v>
      </c>
      <c r="F26" s="162">
        <v>0</v>
      </c>
      <c r="G26" s="702">
        <f>AVERAGE(B26:F26)</f>
        <v>0</v>
      </c>
      <c r="H26" s="162">
        <v>0</v>
      </c>
      <c r="I26" s="702">
        <f>(+H26+F26+E26+D26+C26)/5</f>
        <v>0</v>
      </c>
      <c r="J26" s="162">
        <v>0</v>
      </c>
      <c r="K26" s="702">
        <f>(+J26+H26+F26+E26+D26)/5</f>
        <v>0</v>
      </c>
      <c r="L26" s="162">
        <v>1</v>
      </c>
      <c r="M26" s="702">
        <f>(L26+J26+H26+F26+E26)/5</f>
        <v>0.2</v>
      </c>
      <c r="N26" s="162">
        <v>0</v>
      </c>
      <c r="O26" s="702">
        <f>(N26+L26+J26+H26+F26)/5</f>
        <v>0.2</v>
      </c>
      <c r="P26" s="162">
        <v>2</v>
      </c>
      <c r="Q26" s="702">
        <f>(P26+N26+L26+J26+H26)/5</f>
        <v>0.6</v>
      </c>
      <c r="R26" s="162">
        <v>1</v>
      </c>
      <c r="S26" s="702">
        <f>(R26+P26+N26+L26+J26)/5</f>
        <v>0.8</v>
      </c>
      <c r="T26" s="162">
        <v>0</v>
      </c>
      <c r="U26" s="702">
        <f>(T26+R26+P26+N26+L26)/5</f>
        <v>0.8</v>
      </c>
      <c r="V26" s="162">
        <v>0</v>
      </c>
      <c r="W26" s="702">
        <f>(V26+T26+R26+P26+N26)/5</f>
        <v>0.6</v>
      </c>
      <c r="X26" s="162">
        <v>2</v>
      </c>
      <c r="Y26" s="702">
        <f>(X26+V26+T26+R26+P26)/5</f>
        <v>1</v>
      </c>
      <c r="Z26" s="162">
        <v>0</v>
      </c>
      <c r="AA26" s="702">
        <f>(Z26+X26+V26+T26+R26)/5</f>
        <v>0.6</v>
      </c>
      <c r="AB26" s="162">
        <v>0</v>
      </c>
      <c r="AC26" s="702">
        <f>(AB26+Z26+X26+V26+T26)/5</f>
        <v>0.4</v>
      </c>
      <c r="AD26" s="162">
        <v>0</v>
      </c>
      <c r="AE26" s="702">
        <f>(AD26+AB26+Z26+X26+V26)/5</f>
        <v>0.4</v>
      </c>
      <c r="AF26" s="162">
        <v>3</v>
      </c>
      <c r="AG26" s="702">
        <f>(AF26+AD26+AB26+Z26+X26)/5</f>
        <v>1</v>
      </c>
      <c r="AH26" s="162">
        <v>1</v>
      </c>
      <c r="AI26" s="702">
        <f>(AH26+AF26+AD26+AB26+Z26)/5</f>
        <v>0.8</v>
      </c>
      <c r="AJ26" s="162">
        <v>3</v>
      </c>
      <c r="AK26" s="702">
        <f>(AJ26+AH26+AF26+AD26+AB26)/5</f>
        <v>1.4</v>
      </c>
    </row>
    <row r="27" spans="1:37" x14ac:dyDescent="0.25">
      <c r="A27" s="671" t="s">
        <v>677</v>
      </c>
      <c r="B27" s="701">
        <v>0</v>
      </c>
      <c r="C27" s="701">
        <v>0</v>
      </c>
      <c r="D27" s="701">
        <v>0</v>
      </c>
      <c r="E27" s="701">
        <v>0</v>
      </c>
      <c r="F27" s="162">
        <v>0</v>
      </c>
      <c r="G27" s="702">
        <f t="shared" si="0"/>
        <v>0</v>
      </c>
      <c r="H27" s="162">
        <v>0</v>
      </c>
      <c r="I27" s="702">
        <f t="shared" si="1"/>
        <v>0</v>
      </c>
      <c r="J27" s="162">
        <v>0</v>
      </c>
      <c r="K27" s="702">
        <f t="shared" si="2"/>
        <v>0</v>
      </c>
      <c r="L27" s="162">
        <v>0</v>
      </c>
      <c r="M27" s="702">
        <f t="shared" si="3"/>
        <v>0</v>
      </c>
      <c r="N27" s="162">
        <v>0</v>
      </c>
      <c r="O27" s="702">
        <f t="shared" si="4"/>
        <v>0</v>
      </c>
      <c r="P27" s="162">
        <v>0</v>
      </c>
      <c r="Q27" s="702">
        <f t="shared" si="5"/>
        <v>0</v>
      </c>
      <c r="R27" s="162">
        <v>0</v>
      </c>
      <c r="S27" s="702">
        <f t="shared" si="6"/>
        <v>0</v>
      </c>
      <c r="T27" s="162">
        <v>0</v>
      </c>
      <c r="U27" s="702">
        <f t="shared" si="7"/>
        <v>0</v>
      </c>
      <c r="V27" s="162">
        <v>0</v>
      </c>
      <c r="W27" s="702">
        <f t="shared" si="8"/>
        <v>0</v>
      </c>
      <c r="X27" s="162">
        <v>0</v>
      </c>
      <c r="Y27" s="702">
        <f t="shared" si="9"/>
        <v>0</v>
      </c>
      <c r="Z27" s="162">
        <v>0</v>
      </c>
      <c r="AA27" s="702">
        <f t="shared" si="10"/>
        <v>0</v>
      </c>
      <c r="AB27" s="162">
        <v>0</v>
      </c>
      <c r="AC27" s="702">
        <f t="shared" si="11"/>
        <v>0</v>
      </c>
      <c r="AD27" s="162">
        <v>0</v>
      </c>
      <c r="AE27" s="702">
        <f t="shared" ref="AE27:AE49" si="16">(AD27+AB27+Z27+X27+V27)/5</f>
        <v>0</v>
      </c>
      <c r="AF27" s="162">
        <v>0</v>
      </c>
      <c r="AG27" s="702">
        <f t="shared" ref="AG27:AG49" si="17">(AF27+AD27+AB27+Z27+X27)/5</f>
        <v>0</v>
      </c>
      <c r="AH27" s="162">
        <v>0</v>
      </c>
      <c r="AI27" s="702">
        <f t="shared" ref="AI27:AI49" si="18">(AH27+AF27+AD27+AB27+Z27)/5</f>
        <v>0</v>
      </c>
      <c r="AJ27" s="162">
        <v>0</v>
      </c>
      <c r="AK27" s="702">
        <f t="shared" ref="AK27:AK49" si="19">(AJ27+AH27+AF27+AD27+AB27)/5</f>
        <v>0</v>
      </c>
    </row>
    <row r="28" spans="1:37" x14ac:dyDescent="0.25">
      <c r="A28" s="2073" t="s">
        <v>1631</v>
      </c>
      <c r="B28" s="701">
        <v>0</v>
      </c>
      <c r="C28" s="701">
        <v>0</v>
      </c>
      <c r="D28" s="701">
        <v>0</v>
      </c>
      <c r="E28" s="701">
        <v>0</v>
      </c>
      <c r="F28" s="162">
        <v>0</v>
      </c>
      <c r="G28" s="702">
        <f>AVERAGE(B28:F28)</f>
        <v>0</v>
      </c>
      <c r="H28" s="162">
        <v>0</v>
      </c>
      <c r="I28" s="702">
        <f>(+H28+F28+E28+D28+C28)/5</f>
        <v>0</v>
      </c>
      <c r="J28" s="162">
        <v>0</v>
      </c>
      <c r="K28" s="702">
        <f>(+J28+H28+F28+E28+D28)/5</f>
        <v>0</v>
      </c>
      <c r="L28" s="162">
        <v>0</v>
      </c>
      <c r="M28" s="702">
        <f>(L28+J28+H28+F28+E28)/5</f>
        <v>0</v>
      </c>
      <c r="N28" s="162">
        <v>0</v>
      </c>
      <c r="O28" s="702">
        <f>(N28+L28+J28+H28+F28)/5</f>
        <v>0</v>
      </c>
      <c r="P28" s="162">
        <v>0</v>
      </c>
      <c r="Q28" s="702">
        <f>(P28+N28+L28+J28+H28)/5</f>
        <v>0</v>
      </c>
      <c r="R28" s="162">
        <v>0</v>
      </c>
      <c r="S28" s="702">
        <f>(R28+P28+N28+L28+J28)/5</f>
        <v>0</v>
      </c>
      <c r="T28" s="162">
        <v>0</v>
      </c>
      <c r="U28" s="702">
        <f>(T28+R28+P28+N28+L28)/5</f>
        <v>0</v>
      </c>
      <c r="V28" s="162">
        <v>0</v>
      </c>
      <c r="W28" s="702">
        <f>(V28+T28+R28+P28+N28)/5</f>
        <v>0</v>
      </c>
      <c r="X28" s="162">
        <v>0</v>
      </c>
      <c r="Y28" s="702">
        <f>(X28+V28+T28+R28+P28)/5</f>
        <v>0</v>
      </c>
      <c r="Z28" s="162">
        <v>0</v>
      </c>
      <c r="AA28" s="702">
        <f>(Z28+X28+V28+T28+R28)/5</f>
        <v>0</v>
      </c>
      <c r="AB28" s="162">
        <v>0</v>
      </c>
      <c r="AC28" s="702">
        <f>(AB28+Z28+X28+V28+T28)/5</f>
        <v>0</v>
      </c>
      <c r="AD28" s="162">
        <v>0</v>
      </c>
      <c r="AE28" s="702">
        <f>(AD28+AB28+Z28+X28+V28)/5</f>
        <v>0</v>
      </c>
      <c r="AF28" s="162">
        <v>0</v>
      </c>
      <c r="AG28" s="702">
        <f>(AF28+AD28+AB28+Z28+X28)/5</f>
        <v>0</v>
      </c>
      <c r="AH28" s="162">
        <v>0</v>
      </c>
      <c r="AI28" s="702">
        <f>(AH28+AF28+AD28+AB28+Z28)/5</f>
        <v>0</v>
      </c>
      <c r="AJ28" s="162">
        <v>2</v>
      </c>
      <c r="AK28" s="702">
        <f>(AJ28+AH28+AF28+AD28+AB28)/5</f>
        <v>0.4</v>
      </c>
    </row>
    <row r="29" spans="1:37" x14ac:dyDescent="0.25">
      <c r="A29" s="888" t="s">
        <v>1523</v>
      </c>
      <c r="B29" s="701">
        <v>0</v>
      </c>
      <c r="C29" s="701">
        <v>1</v>
      </c>
      <c r="D29" s="701">
        <v>1</v>
      </c>
      <c r="E29" s="701">
        <v>0</v>
      </c>
      <c r="F29" s="162">
        <v>0</v>
      </c>
      <c r="G29" s="702">
        <f t="shared" si="0"/>
        <v>0.4</v>
      </c>
      <c r="H29" s="162">
        <v>0</v>
      </c>
      <c r="I29" s="702">
        <f t="shared" si="1"/>
        <v>0.4</v>
      </c>
      <c r="J29" s="162">
        <v>1</v>
      </c>
      <c r="K29" s="702">
        <f t="shared" si="2"/>
        <v>0.4</v>
      </c>
      <c r="L29" s="162">
        <v>0</v>
      </c>
      <c r="M29" s="702">
        <f t="shared" si="3"/>
        <v>0.2</v>
      </c>
      <c r="N29" s="162">
        <v>1</v>
      </c>
      <c r="O29" s="702">
        <f t="shared" si="4"/>
        <v>0.4</v>
      </c>
      <c r="P29" s="162">
        <v>1</v>
      </c>
      <c r="Q29" s="702">
        <f t="shared" si="5"/>
        <v>0.6</v>
      </c>
      <c r="R29" s="162">
        <v>0</v>
      </c>
      <c r="S29" s="702">
        <f t="shared" si="6"/>
        <v>0.6</v>
      </c>
      <c r="T29" s="162">
        <v>1</v>
      </c>
      <c r="U29" s="702">
        <f t="shared" si="7"/>
        <v>0.6</v>
      </c>
      <c r="V29" s="162">
        <v>0</v>
      </c>
      <c r="W29" s="702">
        <f t="shared" si="8"/>
        <v>0.6</v>
      </c>
      <c r="X29" s="162">
        <v>1</v>
      </c>
      <c r="Y29" s="702">
        <f t="shared" si="9"/>
        <v>0.6</v>
      </c>
      <c r="Z29" s="162">
        <v>2</v>
      </c>
      <c r="AA29" s="702">
        <f t="shared" si="10"/>
        <v>0.8</v>
      </c>
      <c r="AB29" s="162">
        <v>1</v>
      </c>
      <c r="AC29" s="702">
        <f t="shared" si="11"/>
        <v>1</v>
      </c>
      <c r="AD29" s="162">
        <v>0</v>
      </c>
      <c r="AE29" s="702">
        <f t="shared" si="16"/>
        <v>0.8</v>
      </c>
      <c r="AF29" s="162">
        <v>0</v>
      </c>
      <c r="AG29" s="702">
        <f t="shared" si="17"/>
        <v>0.8</v>
      </c>
      <c r="AH29" s="162">
        <v>2</v>
      </c>
      <c r="AI29" s="702">
        <f t="shared" si="18"/>
        <v>1</v>
      </c>
      <c r="AJ29" s="162">
        <v>0</v>
      </c>
      <c r="AK29" s="702">
        <f t="shared" si="19"/>
        <v>0.6</v>
      </c>
    </row>
    <row r="30" spans="1:37" x14ac:dyDescent="0.25">
      <c r="A30" s="161" t="s">
        <v>1141</v>
      </c>
      <c r="B30" s="701">
        <v>5</v>
      </c>
      <c r="C30" s="701">
        <v>7</v>
      </c>
      <c r="D30" s="701">
        <v>4</v>
      </c>
      <c r="E30" s="701">
        <v>2</v>
      </c>
      <c r="F30" s="162">
        <v>5</v>
      </c>
      <c r="G30" s="702">
        <f t="shared" si="0"/>
        <v>4.5999999999999996</v>
      </c>
      <c r="H30" s="162">
        <v>2</v>
      </c>
      <c r="I30" s="702">
        <f t="shared" si="1"/>
        <v>4</v>
      </c>
      <c r="J30" s="162">
        <v>4</v>
      </c>
      <c r="K30" s="702">
        <f t="shared" si="2"/>
        <v>3.4</v>
      </c>
      <c r="L30" s="162">
        <v>2</v>
      </c>
      <c r="M30" s="702">
        <f t="shared" si="3"/>
        <v>3</v>
      </c>
      <c r="N30" s="162">
        <v>3</v>
      </c>
      <c r="O30" s="702">
        <f t="shared" si="4"/>
        <v>3.2</v>
      </c>
      <c r="P30" s="162">
        <v>3</v>
      </c>
      <c r="Q30" s="702">
        <f t="shared" si="5"/>
        <v>2.8</v>
      </c>
      <c r="R30" s="162">
        <v>4</v>
      </c>
      <c r="S30" s="702">
        <f t="shared" si="6"/>
        <v>3.2</v>
      </c>
      <c r="T30" s="162">
        <v>0</v>
      </c>
      <c r="U30" s="702">
        <f t="shared" si="7"/>
        <v>2.4</v>
      </c>
      <c r="V30" s="162">
        <v>2</v>
      </c>
      <c r="W30" s="702">
        <f t="shared" si="8"/>
        <v>2.4</v>
      </c>
      <c r="X30" s="162">
        <v>0</v>
      </c>
      <c r="Y30" s="702">
        <f t="shared" si="9"/>
        <v>1.8</v>
      </c>
      <c r="Z30" s="162">
        <v>1</v>
      </c>
      <c r="AA30" s="702">
        <f t="shared" si="10"/>
        <v>1.4</v>
      </c>
      <c r="AB30" s="162">
        <v>0</v>
      </c>
      <c r="AC30" s="702">
        <f t="shared" si="11"/>
        <v>0.6</v>
      </c>
      <c r="AD30" s="162">
        <v>2</v>
      </c>
      <c r="AE30" s="702">
        <f t="shared" si="16"/>
        <v>1</v>
      </c>
      <c r="AF30" s="162">
        <v>6</v>
      </c>
      <c r="AG30" s="702">
        <f t="shared" si="17"/>
        <v>1.8</v>
      </c>
      <c r="AH30" s="162">
        <v>4</v>
      </c>
      <c r="AI30" s="702">
        <f t="shared" si="18"/>
        <v>2.6</v>
      </c>
      <c r="AJ30" s="162">
        <v>5</v>
      </c>
      <c r="AK30" s="702">
        <f t="shared" si="19"/>
        <v>3.4</v>
      </c>
    </row>
    <row r="31" spans="1:37" x14ac:dyDescent="0.25">
      <c r="A31" s="888" t="s">
        <v>1507</v>
      </c>
      <c r="B31" s="701">
        <v>0</v>
      </c>
      <c r="C31" s="701">
        <v>0</v>
      </c>
      <c r="D31" s="701">
        <v>0</v>
      </c>
      <c r="E31" s="701">
        <v>0</v>
      </c>
      <c r="F31" s="162">
        <v>0</v>
      </c>
      <c r="G31" s="702">
        <f t="shared" si="0"/>
        <v>0</v>
      </c>
      <c r="H31" s="162">
        <v>0</v>
      </c>
      <c r="I31" s="702">
        <f t="shared" si="1"/>
        <v>0</v>
      </c>
      <c r="J31" s="162">
        <v>0</v>
      </c>
      <c r="K31" s="702">
        <f t="shared" si="2"/>
        <v>0</v>
      </c>
      <c r="L31" s="162">
        <v>0</v>
      </c>
      <c r="M31" s="702">
        <f t="shared" si="3"/>
        <v>0</v>
      </c>
      <c r="N31" s="162">
        <v>0</v>
      </c>
      <c r="O31" s="702">
        <f t="shared" si="4"/>
        <v>0</v>
      </c>
      <c r="P31" s="162">
        <v>0</v>
      </c>
      <c r="Q31" s="702">
        <f t="shared" si="5"/>
        <v>0</v>
      </c>
      <c r="R31" s="162">
        <v>0</v>
      </c>
      <c r="S31" s="702">
        <f t="shared" si="6"/>
        <v>0</v>
      </c>
      <c r="T31" s="162">
        <v>0</v>
      </c>
      <c r="U31" s="702">
        <f t="shared" si="7"/>
        <v>0</v>
      </c>
      <c r="V31" s="162">
        <v>0</v>
      </c>
      <c r="W31" s="702">
        <f t="shared" si="8"/>
        <v>0</v>
      </c>
      <c r="X31" s="162">
        <v>0</v>
      </c>
      <c r="Y31" s="702">
        <f t="shared" si="9"/>
        <v>0</v>
      </c>
      <c r="Z31" s="162">
        <v>1</v>
      </c>
      <c r="AA31" s="702">
        <f t="shared" si="10"/>
        <v>0.2</v>
      </c>
      <c r="AB31" s="162">
        <v>2</v>
      </c>
      <c r="AC31" s="702">
        <f t="shared" si="11"/>
        <v>0.6</v>
      </c>
      <c r="AD31" s="162">
        <v>0</v>
      </c>
      <c r="AE31" s="702">
        <f t="shared" si="16"/>
        <v>0.6</v>
      </c>
      <c r="AF31" s="162">
        <v>2</v>
      </c>
      <c r="AG31" s="702">
        <f t="shared" si="17"/>
        <v>1</v>
      </c>
      <c r="AH31" s="162">
        <v>2</v>
      </c>
      <c r="AI31" s="702">
        <f t="shared" si="18"/>
        <v>1.4</v>
      </c>
      <c r="AJ31" s="162">
        <v>1</v>
      </c>
      <c r="AK31" s="702">
        <f t="shared" si="19"/>
        <v>1.4</v>
      </c>
    </row>
    <row r="32" spans="1:37" x14ac:dyDescent="0.25">
      <c r="A32" s="161" t="s">
        <v>1125</v>
      </c>
      <c r="B32" s="701">
        <v>2</v>
      </c>
      <c r="C32" s="701">
        <v>3</v>
      </c>
      <c r="D32" s="701">
        <v>0</v>
      </c>
      <c r="E32" s="701">
        <v>6</v>
      </c>
      <c r="F32" s="162">
        <v>3</v>
      </c>
      <c r="G32" s="702">
        <f t="shared" si="0"/>
        <v>2.8</v>
      </c>
      <c r="H32" s="162">
        <v>3</v>
      </c>
      <c r="I32" s="702">
        <f t="shared" si="1"/>
        <v>3</v>
      </c>
      <c r="J32" s="162">
        <v>1</v>
      </c>
      <c r="K32" s="702">
        <f t="shared" si="2"/>
        <v>2.6</v>
      </c>
      <c r="L32" s="162">
        <v>2</v>
      </c>
      <c r="M32" s="702">
        <f t="shared" si="3"/>
        <v>3</v>
      </c>
      <c r="N32" s="162">
        <v>0</v>
      </c>
      <c r="O32" s="702">
        <f t="shared" si="4"/>
        <v>1.8</v>
      </c>
      <c r="P32" s="162">
        <v>4</v>
      </c>
      <c r="Q32" s="702">
        <f t="shared" si="5"/>
        <v>2</v>
      </c>
      <c r="R32" s="162">
        <v>0</v>
      </c>
      <c r="S32" s="702">
        <f t="shared" si="6"/>
        <v>1.4</v>
      </c>
      <c r="T32" s="162">
        <v>0</v>
      </c>
      <c r="U32" s="702">
        <f t="shared" si="7"/>
        <v>1.2</v>
      </c>
      <c r="V32" s="162">
        <v>0</v>
      </c>
      <c r="W32" s="702">
        <f t="shared" si="8"/>
        <v>0.8</v>
      </c>
      <c r="X32" s="162">
        <v>0</v>
      </c>
      <c r="Y32" s="702">
        <f t="shared" si="9"/>
        <v>0.8</v>
      </c>
      <c r="Z32" s="162">
        <v>0</v>
      </c>
      <c r="AA32" s="702">
        <f t="shared" si="10"/>
        <v>0</v>
      </c>
      <c r="AB32" s="162">
        <v>0</v>
      </c>
      <c r="AC32" s="702">
        <f t="shared" si="11"/>
        <v>0</v>
      </c>
      <c r="AD32" s="162">
        <v>1</v>
      </c>
      <c r="AE32" s="702">
        <f t="shared" si="16"/>
        <v>0.2</v>
      </c>
      <c r="AF32" s="162">
        <v>2</v>
      </c>
      <c r="AG32" s="702">
        <f t="shared" si="17"/>
        <v>0.6</v>
      </c>
      <c r="AH32" s="162">
        <v>0</v>
      </c>
      <c r="AI32" s="702">
        <f t="shared" si="18"/>
        <v>0.6</v>
      </c>
      <c r="AJ32" s="162">
        <v>1</v>
      </c>
      <c r="AK32" s="702">
        <f t="shared" si="19"/>
        <v>0.8</v>
      </c>
    </row>
    <row r="33" spans="1:37" x14ac:dyDescent="0.25">
      <c r="A33" s="1200" t="s">
        <v>1589</v>
      </c>
      <c r="B33" s="701">
        <v>0</v>
      </c>
      <c r="C33" s="701">
        <v>0</v>
      </c>
      <c r="D33" s="701">
        <v>0</v>
      </c>
      <c r="E33" s="701">
        <v>0</v>
      </c>
      <c r="F33" s="162">
        <v>0</v>
      </c>
      <c r="G33" s="702">
        <f t="shared" si="0"/>
        <v>0</v>
      </c>
      <c r="H33" s="162">
        <v>0</v>
      </c>
      <c r="I33" s="702">
        <f t="shared" si="1"/>
        <v>0</v>
      </c>
      <c r="J33" s="162">
        <v>0</v>
      </c>
      <c r="K33" s="702">
        <f t="shared" si="2"/>
        <v>0</v>
      </c>
      <c r="L33" s="162">
        <v>0</v>
      </c>
      <c r="M33" s="702">
        <f t="shared" si="3"/>
        <v>0</v>
      </c>
      <c r="N33" s="162">
        <v>0</v>
      </c>
      <c r="O33" s="702">
        <f t="shared" si="4"/>
        <v>0</v>
      </c>
      <c r="P33" s="162">
        <v>0</v>
      </c>
      <c r="Q33" s="702">
        <f t="shared" si="5"/>
        <v>0</v>
      </c>
      <c r="R33" s="162">
        <v>0</v>
      </c>
      <c r="S33" s="702">
        <f t="shared" si="6"/>
        <v>0</v>
      </c>
      <c r="T33" s="162">
        <v>0</v>
      </c>
      <c r="U33" s="702">
        <f t="shared" si="7"/>
        <v>0</v>
      </c>
      <c r="V33" s="162">
        <v>0</v>
      </c>
      <c r="W33" s="702">
        <f t="shared" si="8"/>
        <v>0</v>
      </c>
      <c r="X33" s="162">
        <v>0</v>
      </c>
      <c r="Y33" s="702">
        <f t="shared" si="9"/>
        <v>0</v>
      </c>
      <c r="Z33" s="162">
        <v>0</v>
      </c>
      <c r="AA33" s="702">
        <f t="shared" si="10"/>
        <v>0</v>
      </c>
      <c r="AB33" s="162">
        <v>0</v>
      </c>
      <c r="AC33" s="702">
        <f t="shared" si="11"/>
        <v>0</v>
      </c>
      <c r="AD33" s="162">
        <v>1</v>
      </c>
      <c r="AE33" s="702">
        <f t="shared" si="16"/>
        <v>0.2</v>
      </c>
      <c r="AF33" s="162">
        <v>0</v>
      </c>
      <c r="AG33" s="702">
        <f t="shared" si="17"/>
        <v>0.2</v>
      </c>
      <c r="AH33" s="162">
        <v>0</v>
      </c>
      <c r="AI33" s="702">
        <f t="shared" si="18"/>
        <v>0.2</v>
      </c>
      <c r="AJ33" s="162">
        <v>0</v>
      </c>
      <c r="AK33" s="702">
        <f t="shared" si="19"/>
        <v>0.2</v>
      </c>
    </row>
    <row r="34" spans="1:37" x14ac:dyDescent="0.25">
      <c r="A34" s="161" t="s">
        <v>1272</v>
      </c>
      <c r="B34" s="701">
        <v>0</v>
      </c>
      <c r="C34" s="701">
        <v>0</v>
      </c>
      <c r="D34" s="701">
        <v>0</v>
      </c>
      <c r="E34" s="701">
        <v>0</v>
      </c>
      <c r="F34" s="162">
        <v>0</v>
      </c>
      <c r="G34" s="702">
        <f t="shared" si="0"/>
        <v>0</v>
      </c>
      <c r="H34" s="162">
        <v>0</v>
      </c>
      <c r="I34" s="702">
        <f t="shared" si="1"/>
        <v>0</v>
      </c>
      <c r="J34" s="162">
        <v>0</v>
      </c>
      <c r="K34" s="702">
        <f t="shared" si="2"/>
        <v>0</v>
      </c>
      <c r="L34" s="162">
        <v>0</v>
      </c>
      <c r="M34" s="702">
        <f t="shared" si="3"/>
        <v>0</v>
      </c>
      <c r="N34" s="162">
        <v>0</v>
      </c>
      <c r="O34" s="702">
        <f t="shared" si="4"/>
        <v>0</v>
      </c>
      <c r="P34" s="162">
        <v>0</v>
      </c>
      <c r="Q34" s="702">
        <f t="shared" si="5"/>
        <v>0</v>
      </c>
      <c r="R34" s="162">
        <v>2</v>
      </c>
      <c r="S34" s="702">
        <f t="shared" si="6"/>
        <v>0.4</v>
      </c>
      <c r="T34" s="162">
        <v>0</v>
      </c>
      <c r="U34" s="702">
        <f t="shared" si="7"/>
        <v>0.4</v>
      </c>
      <c r="V34" s="162">
        <v>2</v>
      </c>
      <c r="W34" s="702">
        <f t="shared" si="8"/>
        <v>0.8</v>
      </c>
      <c r="X34" s="162">
        <v>1</v>
      </c>
      <c r="Y34" s="702">
        <f t="shared" si="9"/>
        <v>1</v>
      </c>
      <c r="Z34" s="162">
        <v>0</v>
      </c>
      <c r="AA34" s="702">
        <f t="shared" si="10"/>
        <v>1</v>
      </c>
      <c r="AB34" s="162">
        <v>0</v>
      </c>
      <c r="AC34" s="702">
        <f t="shared" si="11"/>
        <v>0.6</v>
      </c>
      <c r="AD34" s="162">
        <v>6</v>
      </c>
      <c r="AE34" s="702">
        <f t="shared" si="16"/>
        <v>1.8</v>
      </c>
      <c r="AF34" s="162">
        <v>2</v>
      </c>
      <c r="AG34" s="702">
        <f t="shared" si="17"/>
        <v>1.8</v>
      </c>
      <c r="AH34" s="162">
        <v>1</v>
      </c>
      <c r="AI34" s="702">
        <f t="shared" si="18"/>
        <v>1.8</v>
      </c>
      <c r="AJ34" s="162">
        <v>0</v>
      </c>
      <c r="AK34" s="702">
        <f t="shared" si="19"/>
        <v>1.8</v>
      </c>
    </row>
    <row r="35" spans="1:37" x14ac:dyDescent="0.25">
      <c r="A35" s="161" t="s">
        <v>1190</v>
      </c>
      <c r="B35" s="701">
        <v>0</v>
      </c>
      <c r="C35" s="701">
        <v>1</v>
      </c>
      <c r="D35" s="701">
        <v>0</v>
      </c>
      <c r="E35" s="701">
        <v>1</v>
      </c>
      <c r="F35" s="162">
        <v>0</v>
      </c>
      <c r="G35" s="702">
        <f t="shared" si="0"/>
        <v>0.4</v>
      </c>
      <c r="H35" s="162">
        <v>0</v>
      </c>
      <c r="I35" s="702">
        <f t="shared" si="1"/>
        <v>0.4</v>
      </c>
      <c r="J35" s="162">
        <v>0</v>
      </c>
      <c r="K35" s="702">
        <f t="shared" si="2"/>
        <v>0.2</v>
      </c>
      <c r="L35" s="162">
        <v>1</v>
      </c>
      <c r="M35" s="702">
        <f t="shared" si="3"/>
        <v>0.4</v>
      </c>
      <c r="N35" s="162">
        <v>0</v>
      </c>
      <c r="O35" s="702">
        <f t="shared" si="4"/>
        <v>0.2</v>
      </c>
      <c r="P35" s="162">
        <v>0</v>
      </c>
      <c r="Q35" s="702">
        <f t="shared" si="5"/>
        <v>0.2</v>
      </c>
      <c r="R35" s="162">
        <v>0</v>
      </c>
      <c r="S35" s="702">
        <f t="shared" si="6"/>
        <v>0.2</v>
      </c>
      <c r="T35" s="162">
        <v>0</v>
      </c>
      <c r="U35" s="702">
        <f t="shared" si="7"/>
        <v>0.2</v>
      </c>
      <c r="V35" s="162">
        <v>0</v>
      </c>
      <c r="W35" s="702">
        <f t="shared" si="8"/>
        <v>0</v>
      </c>
      <c r="X35" s="162">
        <v>0</v>
      </c>
      <c r="Y35" s="702">
        <f t="shared" si="9"/>
        <v>0</v>
      </c>
      <c r="Z35" s="162">
        <v>1</v>
      </c>
      <c r="AA35" s="702">
        <f t="shared" si="10"/>
        <v>0.2</v>
      </c>
      <c r="AB35" s="162">
        <v>0</v>
      </c>
      <c r="AC35" s="702">
        <f t="shared" si="11"/>
        <v>0.2</v>
      </c>
      <c r="AD35" s="162">
        <v>1</v>
      </c>
      <c r="AE35" s="702">
        <f t="shared" si="16"/>
        <v>0.4</v>
      </c>
      <c r="AF35" s="162">
        <v>1</v>
      </c>
      <c r="AG35" s="702">
        <f t="shared" si="17"/>
        <v>0.6</v>
      </c>
      <c r="AH35" s="162">
        <v>1</v>
      </c>
      <c r="AI35" s="702">
        <f t="shared" si="18"/>
        <v>0.8</v>
      </c>
      <c r="AJ35" s="162">
        <v>2</v>
      </c>
      <c r="AK35" s="702">
        <f t="shared" si="19"/>
        <v>1</v>
      </c>
    </row>
    <row r="36" spans="1:37" x14ac:dyDescent="0.25">
      <c r="A36" s="161" t="s">
        <v>1130</v>
      </c>
      <c r="B36" s="701">
        <v>3</v>
      </c>
      <c r="C36" s="701">
        <v>2</v>
      </c>
      <c r="D36" s="701">
        <v>4</v>
      </c>
      <c r="E36" s="701">
        <v>2</v>
      </c>
      <c r="F36" s="162">
        <v>2</v>
      </c>
      <c r="G36" s="702">
        <f t="shared" si="0"/>
        <v>2.6</v>
      </c>
      <c r="H36" s="162">
        <v>0</v>
      </c>
      <c r="I36" s="702">
        <f t="shared" si="1"/>
        <v>2</v>
      </c>
      <c r="J36" s="162">
        <v>3</v>
      </c>
      <c r="K36" s="702">
        <f t="shared" si="2"/>
        <v>2.2000000000000002</v>
      </c>
      <c r="L36" s="162">
        <v>0</v>
      </c>
      <c r="M36" s="702">
        <f t="shared" si="3"/>
        <v>1.4</v>
      </c>
      <c r="N36" s="162">
        <v>1</v>
      </c>
      <c r="O36" s="702">
        <f t="shared" si="4"/>
        <v>1.2</v>
      </c>
      <c r="P36" s="162">
        <v>4</v>
      </c>
      <c r="Q36" s="702">
        <f t="shared" si="5"/>
        <v>1.6</v>
      </c>
      <c r="R36" s="162">
        <v>1</v>
      </c>
      <c r="S36" s="702">
        <f t="shared" si="6"/>
        <v>1.8</v>
      </c>
      <c r="T36" s="162">
        <v>0</v>
      </c>
      <c r="U36" s="702">
        <f t="shared" si="7"/>
        <v>1.2</v>
      </c>
      <c r="V36" s="162">
        <v>2</v>
      </c>
      <c r="W36" s="702">
        <f t="shared" si="8"/>
        <v>1.6</v>
      </c>
      <c r="X36" s="162">
        <v>0</v>
      </c>
      <c r="Y36" s="702">
        <f t="shared" si="9"/>
        <v>1.4</v>
      </c>
      <c r="Z36" s="162">
        <v>0</v>
      </c>
      <c r="AA36" s="702">
        <f t="shared" si="10"/>
        <v>0.6</v>
      </c>
      <c r="AB36" s="162">
        <v>0</v>
      </c>
      <c r="AC36" s="702">
        <f t="shared" si="11"/>
        <v>0.4</v>
      </c>
      <c r="AD36" s="162">
        <v>0</v>
      </c>
      <c r="AE36" s="702">
        <f t="shared" si="16"/>
        <v>0.4</v>
      </c>
      <c r="AF36" s="162">
        <v>1</v>
      </c>
      <c r="AG36" s="702">
        <f t="shared" si="17"/>
        <v>0.2</v>
      </c>
      <c r="AH36" s="162">
        <v>4</v>
      </c>
      <c r="AI36" s="702">
        <f t="shared" si="18"/>
        <v>1</v>
      </c>
      <c r="AJ36" s="162">
        <v>1</v>
      </c>
      <c r="AK36" s="702">
        <f t="shared" si="19"/>
        <v>1.2</v>
      </c>
    </row>
    <row r="37" spans="1:37" x14ac:dyDescent="0.25">
      <c r="A37" s="161" t="s">
        <v>1131</v>
      </c>
      <c r="B37" s="701">
        <v>0</v>
      </c>
      <c r="C37" s="701">
        <v>0</v>
      </c>
      <c r="D37" s="701">
        <v>0</v>
      </c>
      <c r="E37" s="701">
        <v>0</v>
      </c>
      <c r="F37" s="162">
        <v>0</v>
      </c>
      <c r="G37" s="702">
        <f t="shared" si="0"/>
        <v>0</v>
      </c>
      <c r="H37" s="162">
        <v>1</v>
      </c>
      <c r="I37" s="702">
        <f t="shared" si="1"/>
        <v>0.2</v>
      </c>
      <c r="J37" s="162">
        <v>0</v>
      </c>
      <c r="K37" s="702">
        <f t="shared" si="2"/>
        <v>0.2</v>
      </c>
      <c r="L37" s="162">
        <v>0</v>
      </c>
      <c r="M37" s="702">
        <f t="shared" si="3"/>
        <v>0.2</v>
      </c>
      <c r="N37" s="162">
        <v>0</v>
      </c>
      <c r="O37" s="702">
        <f t="shared" si="4"/>
        <v>0.2</v>
      </c>
      <c r="P37" s="162">
        <v>0</v>
      </c>
      <c r="Q37" s="702">
        <f t="shared" si="5"/>
        <v>0.2</v>
      </c>
      <c r="R37" s="162">
        <v>4</v>
      </c>
      <c r="S37" s="702">
        <f t="shared" si="6"/>
        <v>0.8</v>
      </c>
      <c r="T37" s="162">
        <v>3</v>
      </c>
      <c r="U37" s="702">
        <f t="shared" si="7"/>
        <v>1.4</v>
      </c>
      <c r="V37" s="162">
        <v>3</v>
      </c>
      <c r="W37" s="702">
        <f t="shared" si="8"/>
        <v>2</v>
      </c>
      <c r="X37" s="162">
        <v>2</v>
      </c>
      <c r="Y37" s="702">
        <f t="shared" si="9"/>
        <v>2.4</v>
      </c>
      <c r="Z37" s="162">
        <v>1</v>
      </c>
      <c r="AA37" s="702">
        <f t="shared" si="10"/>
        <v>2.6</v>
      </c>
      <c r="AB37" s="162">
        <v>1</v>
      </c>
      <c r="AC37" s="702">
        <f t="shared" si="11"/>
        <v>2</v>
      </c>
      <c r="AD37" s="162">
        <v>1</v>
      </c>
      <c r="AE37" s="702">
        <f t="shared" si="16"/>
        <v>1.6</v>
      </c>
      <c r="AF37" s="1374">
        <v>3</v>
      </c>
      <c r="AG37" s="702">
        <f t="shared" si="17"/>
        <v>1.6</v>
      </c>
      <c r="AH37" s="1374">
        <v>0</v>
      </c>
      <c r="AI37" s="702">
        <f t="shared" si="18"/>
        <v>1.2</v>
      </c>
      <c r="AJ37" s="1374">
        <v>1</v>
      </c>
      <c r="AK37" s="702">
        <f t="shared" si="19"/>
        <v>1.2</v>
      </c>
    </row>
    <row r="38" spans="1:37" x14ac:dyDescent="0.25">
      <c r="A38" s="161" t="s">
        <v>1101</v>
      </c>
      <c r="B38" s="701">
        <v>2</v>
      </c>
      <c r="C38" s="701">
        <v>6</v>
      </c>
      <c r="D38" s="701">
        <v>5</v>
      </c>
      <c r="E38" s="701">
        <v>2</v>
      </c>
      <c r="F38" s="162">
        <v>3</v>
      </c>
      <c r="G38" s="702">
        <f t="shared" si="0"/>
        <v>3.6</v>
      </c>
      <c r="H38" s="162">
        <v>4</v>
      </c>
      <c r="I38" s="702">
        <f t="shared" si="1"/>
        <v>4</v>
      </c>
      <c r="J38" s="162">
        <v>2</v>
      </c>
      <c r="K38" s="702">
        <f t="shared" si="2"/>
        <v>3.2</v>
      </c>
      <c r="L38" s="162">
        <v>0</v>
      </c>
      <c r="M38" s="702">
        <f t="shared" si="3"/>
        <v>2.2000000000000002</v>
      </c>
      <c r="N38" s="162">
        <v>2</v>
      </c>
      <c r="O38" s="702">
        <f t="shared" si="4"/>
        <v>2.2000000000000002</v>
      </c>
      <c r="P38" s="162">
        <v>8</v>
      </c>
      <c r="Q38" s="702">
        <f t="shared" si="5"/>
        <v>3.2</v>
      </c>
      <c r="R38" s="162">
        <v>1</v>
      </c>
      <c r="S38" s="702">
        <f t="shared" si="6"/>
        <v>2.6</v>
      </c>
      <c r="T38" s="162">
        <v>0</v>
      </c>
      <c r="U38" s="702">
        <f t="shared" si="7"/>
        <v>2.2000000000000002</v>
      </c>
      <c r="V38" s="162">
        <v>2</v>
      </c>
      <c r="W38" s="702">
        <f t="shared" si="8"/>
        <v>2.6</v>
      </c>
      <c r="X38" s="162">
        <v>2</v>
      </c>
      <c r="Y38" s="702">
        <f t="shared" si="9"/>
        <v>2.6</v>
      </c>
      <c r="Z38" s="162">
        <v>8</v>
      </c>
      <c r="AA38" s="702">
        <f t="shared" si="10"/>
        <v>2.6</v>
      </c>
      <c r="AB38" s="162">
        <v>6</v>
      </c>
      <c r="AC38" s="702">
        <f t="shared" si="11"/>
        <v>3.6</v>
      </c>
      <c r="AD38" s="162">
        <v>4</v>
      </c>
      <c r="AE38" s="702">
        <f t="shared" si="16"/>
        <v>4.4000000000000004</v>
      </c>
      <c r="AF38" s="162">
        <v>13</v>
      </c>
      <c r="AG38" s="702">
        <f t="shared" si="17"/>
        <v>6.6</v>
      </c>
      <c r="AH38" s="162">
        <v>7</v>
      </c>
      <c r="AI38" s="702">
        <f t="shared" si="18"/>
        <v>7.6</v>
      </c>
      <c r="AJ38" s="162">
        <v>11</v>
      </c>
      <c r="AK38" s="702">
        <f t="shared" si="19"/>
        <v>8.1999999999999993</v>
      </c>
    </row>
    <row r="39" spans="1:37" x14ac:dyDescent="0.25">
      <c r="A39" s="888" t="s">
        <v>712</v>
      </c>
      <c r="B39" s="701">
        <v>0</v>
      </c>
      <c r="C39" s="701">
        <v>0</v>
      </c>
      <c r="D39" s="701">
        <v>0</v>
      </c>
      <c r="E39" s="701">
        <v>0</v>
      </c>
      <c r="F39" s="162">
        <v>0</v>
      </c>
      <c r="G39" s="702">
        <f t="shared" si="0"/>
        <v>0</v>
      </c>
      <c r="H39" s="162">
        <v>0</v>
      </c>
      <c r="I39" s="702">
        <f t="shared" si="1"/>
        <v>0</v>
      </c>
      <c r="J39" s="162">
        <v>0</v>
      </c>
      <c r="K39" s="702">
        <f t="shared" si="2"/>
        <v>0</v>
      </c>
      <c r="L39" s="162">
        <v>0</v>
      </c>
      <c r="M39" s="702">
        <f t="shared" si="3"/>
        <v>0</v>
      </c>
      <c r="N39" s="162">
        <v>0</v>
      </c>
      <c r="O39" s="702">
        <f t="shared" si="4"/>
        <v>0</v>
      </c>
      <c r="P39" s="162">
        <v>0</v>
      </c>
      <c r="Q39" s="702">
        <f t="shared" si="5"/>
        <v>0</v>
      </c>
      <c r="R39" s="162">
        <v>0</v>
      </c>
      <c r="S39" s="702">
        <f t="shared" si="6"/>
        <v>0</v>
      </c>
      <c r="T39" s="162">
        <v>0</v>
      </c>
      <c r="U39" s="702">
        <f t="shared" si="7"/>
        <v>0</v>
      </c>
      <c r="V39" s="162">
        <v>1</v>
      </c>
      <c r="W39" s="702">
        <f t="shared" si="8"/>
        <v>0.2</v>
      </c>
      <c r="X39" s="162">
        <v>0</v>
      </c>
      <c r="Y39" s="702">
        <f t="shared" si="9"/>
        <v>0.2</v>
      </c>
      <c r="Z39" s="162">
        <v>0</v>
      </c>
      <c r="AA39" s="702">
        <f t="shared" si="10"/>
        <v>0.2</v>
      </c>
      <c r="AB39" s="162">
        <v>0</v>
      </c>
      <c r="AC39" s="702">
        <f t="shared" si="11"/>
        <v>0.2</v>
      </c>
      <c r="AD39" s="162">
        <v>0</v>
      </c>
      <c r="AE39" s="702">
        <f t="shared" si="16"/>
        <v>0.2</v>
      </c>
      <c r="AF39" s="162">
        <v>0</v>
      </c>
      <c r="AG39" s="702">
        <f t="shared" si="17"/>
        <v>0</v>
      </c>
      <c r="AH39" s="162">
        <v>0</v>
      </c>
      <c r="AI39" s="702">
        <f t="shared" si="18"/>
        <v>0</v>
      </c>
      <c r="AJ39" s="162">
        <v>1</v>
      </c>
      <c r="AK39" s="702">
        <f t="shared" si="19"/>
        <v>0.2</v>
      </c>
    </row>
    <row r="40" spans="1:37" x14ac:dyDescent="0.25">
      <c r="A40" s="1633" t="s">
        <v>1665</v>
      </c>
      <c r="B40" s="1634"/>
      <c r="C40" s="1634"/>
      <c r="D40" s="1634"/>
      <c r="E40" s="1634"/>
      <c r="F40" s="1632"/>
      <c r="G40" s="1635"/>
      <c r="H40" s="1632"/>
      <c r="I40" s="1635"/>
      <c r="J40" s="1632"/>
      <c r="K40" s="1635"/>
      <c r="L40" s="1632"/>
      <c r="M40" s="1635"/>
      <c r="N40" s="1632"/>
      <c r="O40" s="1635"/>
      <c r="P40" s="1632"/>
      <c r="Q40" s="1635"/>
      <c r="R40" s="1632"/>
      <c r="S40" s="1635"/>
      <c r="T40" s="1632"/>
      <c r="U40" s="1635"/>
      <c r="V40" s="1632"/>
      <c r="W40" s="1635"/>
      <c r="X40" s="1632">
        <v>0</v>
      </c>
      <c r="Y40" s="702">
        <f t="shared" si="9"/>
        <v>0</v>
      </c>
      <c r="Z40" s="1632">
        <v>0</v>
      </c>
      <c r="AA40" s="702">
        <f t="shared" si="10"/>
        <v>0</v>
      </c>
      <c r="AB40" s="1632">
        <v>0</v>
      </c>
      <c r="AC40" s="702">
        <f t="shared" si="11"/>
        <v>0</v>
      </c>
      <c r="AD40" s="1632">
        <v>0</v>
      </c>
      <c r="AE40" s="702">
        <f t="shared" si="16"/>
        <v>0</v>
      </c>
      <c r="AF40" s="1632">
        <v>0</v>
      </c>
      <c r="AG40" s="702">
        <f t="shared" si="17"/>
        <v>0</v>
      </c>
      <c r="AH40" s="1632">
        <v>5</v>
      </c>
      <c r="AI40" s="702">
        <f t="shared" si="18"/>
        <v>1</v>
      </c>
      <c r="AJ40" s="1632">
        <v>4</v>
      </c>
      <c r="AK40" s="702">
        <f t="shared" si="19"/>
        <v>1.8</v>
      </c>
    </row>
    <row r="41" spans="1:37" x14ac:dyDescent="0.25">
      <c r="A41" s="161" t="s">
        <v>1106</v>
      </c>
      <c r="B41" s="701">
        <v>1</v>
      </c>
      <c r="C41" s="701">
        <v>1</v>
      </c>
      <c r="D41" s="701">
        <v>0</v>
      </c>
      <c r="E41" s="701">
        <v>2</v>
      </c>
      <c r="F41" s="162">
        <v>1</v>
      </c>
      <c r="G41" s="702">
        <f t="shared" si="0"/>
        <v>1</v>
      </c>
      <c r="H41" s="162">
        <v>0</v>
      </c>
      <c r="I41" s="702">
        <f t="shared" si="1"/>
        <v>0.8</v>
      </c>
      <c r="J41" s="162">
        <v>0</v>
      </c>
      <c r="K41" s="702">
        <f t="shared" si="2"/>
        <v>0.6</v>
      </c>
      <c r="L41" s="162">
        <v>0</v>
      </c>
      <c r="M41" s="702">
        <f t="shared" si="3"/>
        <v>0.6</v>
      </c>
      <c r="N41" s="162">
        <v>2</v>
      </c>
      <c r="O41" s="702">
        <f t="shared" si="4"/>
        <v>0.6</v>
      </c>
      <c r="P41" s="162">
        <v>1</v>
      </c>
      <c r="Q41" s="702">
        <f t="shared" si="5"/>
        <v>0.6</v>
      </c>
      <c r="R41" s="162">
        <v>0</v>
      </c>
      <c r="S41" s="702">
        <f t="shared" si="6"/>
        <v>0.6</v>
      </c>
      <c r="T41" s="162">
        <v>0</v>
      </c>
      <c r="U41" s="702">
        <f t="shared" si="7"/>
        <v>0.6</v>
      </c>
      <c r="V41" s="162">
        <v>1</v>
      </c>
      <c r="W41" s="702">
        <f t="shared" si="8"/>
        <v>0.8</v>
      </c>
      <c r="X41" s="162">
        <v>1</v>
      </c>
      <c r="Y41" s="702">
        <f t="shared" si="9"/>
        <v>0.6</v>
      </c>
      <c r="Z41" s="162">
        <v>1</v>
      </c>
      <c r="AA41" s="702">
        <f t="shared" si="10"/>
        <v>0.6</v>
      </c>
      <c r="AB41" s="162">
        <v>1</v>
      </c>
      <c r="AC41" s="702">
        <f t="shared" si="11"/>
        <v>0.8</v>
      </c>
      <c r="AD41" s="162">
        <v>0</v>
      </c>
      <c r="AE41" s="702">
        <f t="shared" si="16"/>
        <v>0.8</v>
      </c>
      <c r="AF41" s="162">
        <v>1</v>
      </c>
      <c r="AG41" s="702">
        <f t="shared" si="17"/>
        <v>0.8</v>
      </c>
      <c r="AH41" s="162">
        <v>0</v>
      </c>
      <c r="AI41" s="702">
        <f t="shared" si="18"/>
        <v>0.6</v>
      </c>
      <c r="AJ41" s="162">
        <v>1</v>
      </c>
      <c r="AK41" s="702">
        <f t="shared" si="19"/>
        <v>0.6</v>
      </c>
    </row>
    <row r="42" spans="1:37" x14ac:dyDescent="0.25">
      <c r="A42" s="161" t="s">
        <v>1133</v>
      </c>
      <c r="B42" s="701">
        <v>1</v>
      </c>
      <c r="C42" s="701">
        <v>4</v>
      </c>
      <c r="D42" s="701">
        <v>2</v>
      </c>
      <c r="E42" s="701">
        <v>4</v>
      </c>
      <c r="F42" s="162">
        <v>5</v>
      </c>
      <c r="G42" s="702">
        <f t="shared" si="0"/>
        <v>3.2</v>
      </c>
      <c r="H42" s="162">
        <v>0</v>
      </c>
      <c r="I42" s="702">
        <f t="shared" si="1"/>
        <v>3</v>
      </c>
      <c r="J42" s="162">
        <v>4</v>
      </c>
      <c r="K42" s="702">
        <f t="shared" si="2"/>
        <v>3</v>
      </c>
      <c r="L42" s="162">
        <v>4</v>
      </c>
      <c r="M42" s="702">
        <f t="shared" si="3"/>
        <v>3.4</v>
      </c>
      <c r="N42" s="162">
        <v>5</v>
      </c>
      <c r="O42" s="702">
        <f t="shared" si="4"/>
        <v>3.6</v>
      </c>
      <c r="P42" s="162">
        <v>3</v>
      </c>
      <c r="Q42" s="702">
        <f t="shared" si="5"/>
        <v>3.2</v>
      </c>
      <c r="R42" s="162">
        <v>7</v>
      </c>
      <c r="S42" s="702">
        <f t="shared" si="6"/>
        <v>4.5999999999999996</v>
      </c>
      <c r="T42" s="162">
        <v>7</v>
      </c>
      <c r="U42" s="702">
        <f t="shared" si="7"/>
        <v>5.2</v>
      </c>
      <c r="V42" s="162">
        <v>1</v>
      </c>
      <c r="W42" s="702">
        <f t="shared" si="8"/>
        <v>4.5999999999999996</v>
      </c>
      <c r="X42" s="162">
        <v>4</v>
      </c>
      <c r="Y42" s="702">
        <f t="shared" si="9"/>
        <v>4.4000000000000004</v>
      </c>
      <c r="Z42" s="162">
        <v>1</v>
      </c>
      <c r="AA42" s="702">
        <f t="shared" si="10"/>
        <v>4</v>
      </c>
      <c r="AB42" s="162">
        <v>0</v>
      </c>
      <c r="AC42" s="702">
        <f t="shared" si="11"/>
        <v>2.6</v>
      </c>
      <c r="AD42" s="162">
        <v>2</v>
      </c>
      <c r="AE42" s="702">
        <f t="shared" si="16"/>
        <v>1.6</v>
      </c>
      <c r="AF42" s="162">
        <v>2</v>
      </c>
      <c r="AG42" s="702">
        <f t="shared" si="17"/>
        <v>1.8</v>
      </c>
      <c r="AH42" s="162">
        <v>1</v>
      </c>
      <c r="AI42" s="702">
        <f t="shared" si="18"/>
        <v>1.2</v>
      </c>
      <c r="AJ42" s="162">
        <v>0</v>
      </c>
      <c r="AK42" s="702">
        <f t="shared" si="19"/>
        <v>1</v>
      </c>
    </row>
    <row r="43" spans="1:37" x14ac:dyDescent="0.25">
      <c r="A43" s="161" t="s">
        <v>1127</v>
      </c>
      <c r="B43" s="701">
        <v>0</v>
      </c>
      <c r="C43" s="701">
        <v>0</v>
      </c>
      <c r="D43" s="701">
        <v>0</v>
      </c>
      <c r="E43" s="701">
        <v>0</v>
      </c>
      <c r="F43" s="162">
        <v>0</v>
      </c>
      <c r="G43" s="702">
        <f t="shared" si="0"/>
        <v>0</v>
      </c>
      <c r="H43" s="162">
        <v>0</v>
      </c>
      <c r="I43" s="702">
        <f t="shared" si="1"/>
        <v>0</v>
      </c>
      <c r="J43" s="162">
        <v>0</v>
      </c>
      <c r="K43" s="702">
        <f t="shared" si="2"/>
        <v>0</v>
      </c>
      <c r="L43" s="162">
        <v>0</v>
      </c>
      <c r="M43" s="702">
        <f t="shared" si="3"/>
        <v>0</v>
      </c>
      <c r="N43" s="162">
        <v>1</v>
      </c>
      <c r="O43" s="702">
        <f t="shared" si="4"/>
        <v>0.2</v>
      </c>
      <c r="P43" s="162">
        <v>0</v>
      </c>
      <c r="Q43" s="702">
        <f t="shared" si="5"/>
        <v>0.2</v>
      </c>
      <c r="R43" s="162">
        <v>0</v>
      </c>
      <c r="S43" s="702">
        <f t="shared" si="6"/>
        <v>0.2</v>
      </c>
      <c r="T43" s="162">
        <v>0</v>
      </c>
      <c r="U43" s="702">
        <f t="shared" si="7"/>
        <v>0.2</v>
      </c>
      <c r="V43" s="162">
        <v>0</v>
      </c>
      <c r="W43" s="702">
        <f t="shared" si="8"/>
        <v>0.2</v>
      </c>
      <c r="X43" s="162">
        <v>0</v>
      </c>
      <c r="Y43" s="702">
        <f t="shared" si="9"/>
        <v>0</v>
      </c>
      <c r="Z43" s="162">
        <v>0</v>
      </c>
      <c r="AA43" s="702">
        <f t="shared" si="10"/>
        <v>0</v>
      </c>
      <c r="AB43" s="162">
        <v>0</v>
      </c>
      <c r="AC43" s="702">
        <f t="shared" si="11"/>
        <v>0</v>
      </c>
      <c r="AD43" s="162">
        <v>1</v>
      </c>
      <c r="AE43" s="702">
        <f t="shared" si="16"/>
        <v>0.2</v>
      </c>
      <c r="AF43" s="162">
        <v>0</v>
      </c>
      <c r="AG43" s="702">
        <f t="shared" si="17"/>
        <v>0.2</v>
      </c>
      <c r="AH43" s="162">
        <v>0</v>
      </c>
      <c r="AI43" s="702">
        <f t="shared" si="18"/>
        <v>0.2</v>
      </c>
      <c r="AJ43" s="162">
        <v>0</v>
      </c>
      <c r="AK43" s="702">
        <f t="shared" si="19"/>
        <v>0.2</v>
      </c>
    </row>
    <row r="44" spans="1:37" x14ac:dyDescent="0.25">
      <c r="A44" s="1614" t="s">
        <v>1510</v>
      </c>
      <c r="B44" s="1634"/>
      <c r="C44" s="1634"/>
      <c r="D44" s="1634"/>
      <c r="E44" s="1634"/>
      <c r="F44" s="1632"/>
      <c r="G44" s="1635"/>
      <c r="H44" s="1632"/>
      <c r="I44" s="1635"/>
      <c r="J44" s="1632"/>
      <c r="K44" s="1635"/>
      <c r="L44" s="1632"/>
      <c r="M44" s="1635"/>
      <c r="N44" s="1632"/>
      <c r="O44" s="1635"/>
      <c r="P44" s="1632"/>
      <c r="Q44" s="1635"/>
      <c r="R44" s="1632"/>
      <c r="S44" s="1635"/>
      <c r="T44" s="1632"/>
      <c r="U44" s="1635"/>
      <c r="V44" s="1632"/>
      <c r="W44" s="1635"/>
      <c r="X44" s="162">
        <v>0</v>
      </c>
      <c r="Y44" s="702">
        <f>(X44+V44+T44+R44+P44)/5</f>
        <v>0</v>
      </c>
      <c r="Z44" s="162">
        <v>0</v>
      </c>
      <c r="AA44" s="702">
        <f t="shared" si="10"/>
        <v>0</v>
      </c>
      <c r="AB44" s="1632">
        <v>0</v>
      </c>
      <c r="AC44" s="702">
        <f t="shared" si="11"/>
        <v>0</v>
      </c>
      <c r="AD44" s="1632">
        <v>0</v>
      </c>
      <c r="AE44" s="702">
        <f t="shared" si="16"/>
        <v>0</v>
      </c>
      <c r="AF44" s="1632">
        <v>0</v>
      </c>
      <c r="AG44" s="702">
        <f t="shared" si="17"/>
        <v>0</v>
      </c>
      <c r="AH44" s="1632">
        <v>1</v>
      </c>
      <c r="AI44" s="702">
        <f t="shared" si="18"/>
        <v>0.2</v>
      </c>
      <c r="AJ44" s="1632">
        <v>3</v>
      </c>
      <c r="AK44" s="702">
        <f t="shared" si="19"/>
        <v>0.8</v>
      </c>
    </row>
    <row r="45" spans="1:37" x14ac:dyDescent="0.25">
      <c r="A45" s="249" t="s">
        <v>1128</v>
      </c>
      <c r="B45" s="701">
        <v>2</v>
      </c>
      <c r="C45" s="701">
        <v>0</v>
      </c>
      <c r="D45" s="701">
        <v>1</v>
      </c>
      <c r="E45" s="701">
        <v>1</v>
      </c>
      <c r="F45" s="162">
        <v>1</v>
      </c>
      <c r="G45" s="702">
        <f t="shared" si="0"/>
        <v>1</v>
      </c>
      <c r="H45" s="162">
        <v>1</v>
      </c>
      <c r="I45" s="702">
        <f t="shared" si="1"/>
        <v>0.8</v>
      </c>
      <c r="J45" s="162">
        <v>3</v>
      </c>
      <c r="K45" s="702">
        <f t="shared" si="2"/>
        <v>1.4</v>
      </c>
      <c r="L45" s="162">
        <v>2</v>
      </c>
      <c r="M45" s="702">
        <f t="shared" si="3"/>
        <v>1.6</v>
      </c>
      <c r="N45" s="162">
        <v>1</v>
      </c>
      <c r="O45" s="702">
        <f t="shared" si="4"/>
        <v>1.6</v>
      </c>
      <c r="P45" s="162">
        <v>2</v>
      </c>
      <c r="Q45" s="702">
        <f t="shared" si="5"/>
        <v>1.8</v>
      </c>
      <c r="R45" s="162">
        <v>1</v>
      </c>
      <c r="S45" s="702">
        <f t="shared" si="6"/>
        <v>1.8</v>
      </c>
      <c r="T45" s="162">
        <v>1</v>
      </c>
      <c r="U45" s="702">
        <f t="shared" si="7"/>
        <v>1.4</v>
      </c>
      <c r="V45" s="162">
        <v>1</v>
      </c>
      <c r="W45" s="702">
        <f t="shared" si="8"/>
        <v>1.2</v>
      </c>
      <c r="X45" s="162">
        <v>0</v>
      </c>
      <c r="Y45" s="702">
        <f t="shared" si="9"/>
        <v>1</v>
      </c>
      <c r="Z45" s="162">
        <v>1</v>
      </c>
      <c r="AA45" s="702">
        <f t="shared" si="10"/>
        <v>0.8</v>
      </c>
      <c r="AB45" s="162">
        <v>0</v>
      </c>
      <c r="AC45" s="702">
        <f t="shared" si="11"/>
        <v>0.6</v>
      </c>
      <c r="AD45" s="162">
        <v>2</v>
      </c>
      <c r="AE45" s="702">
        <f t="shared" si="16"/>
        <v>0.8</v>
      </c>
      <c r="AF45" s="162">
        <v>1</v>
      </c>
      <c r="AG45" s="702">
        <f t="shared" si="17"/>
        <v>0.8</v>
      </c>
      <c r="AH45" s="162">
        <v>1</v>
      </c>
      <c r="AI45" s="702">
        <f t="shared" si="18"/>
        <v>1</v>
      </c>
      <c r="AJ45" s="162">
        <v>3</v>
      </c>
      <c r="AK45" s="702">
        <f t="shared" si="19"/>
        <v>1.4</v>
      </c>
    </row>
    <row r="46" spans="1:37" x14ac:dyDescent="0.25">
      <c r="A46" s="249" t="s">
        <v>1191</v>
      </c>
      <c r="B46" s="701">
        <v>0</v>
      </c>
      <c r="C46" s="701">
        <v>1</v>
      </c>
      <c r="D46" s="701">
        <v>0</v>
      </c>
      <c r="E46" s="701">
        <v>1</v>
      </c>
      <c r="F46" s="162">
        <v>0</v>
      </c>
      <c r="G46" s="702">
        <f t="shared" si="0"/>
        <v>0.4</v>
      </c>
      <c r="H46" s="162">
        <v>1</v>
      </c>
      <c r="I46" s="702">
        <f t="shared" si="1"/>
        <v>0.6</v>
      </c>
      <c r="J46" s="162">
        <v>2</v>
      </c>
      <c r="K46" s="702">
        <f t="shared" si="2"/>
        <v>0.8</v>
      </c>
      <c r="L46" s="162">
        <v>1</v>
      </c>
      <c r="M46" s="702">
        <f t="shared" si="3"/>
        <v>1</v>
      </c>
      <c r="N46" s="162">
        <v>2</v>
      </c>
      <c r="O46" s="702">
        <f t="shared" si="4"/>
        <v>1.2</v>
      </c>
      <c r="P46" s="162">
        <v>1</v>
      </c>
      <c r="Q46" s="702">
        <f t="shared" si="5"/>
        <v>1.4</v>
      </c>
      <c r="R46" s="162">
        <v>2</v>
      </c>
      <c r="S46" s="702">
        <f t="shared" si="6"/>
        <v>1.6</v>
      </c>
      <c r="T46" s="162">
        <v>1</v>
      </c>
      <c r="U46" s="702">
        <f t="shared" si="7"/>
        <v>1.4</v>
      </c>
      <c r="V46" s="162">
        <v>2</v>
      </c>
      <c r="W46" s="702">
        <f t="shared" si="8"/>
        <v>1.6</v>
      </c>
      <c r="X46" s="162">
        <v>0</v>
      </c>
      <c r="Y46" s="702">
        <f t="shared" si="9"/>
        <v>1.2</v>
      </c>
      <c r="Z46" s="162">
        <v>1</v>
      </c>
      <c r="AA46" s="702">
        <f t="shared" si="10"/>
        <v>1.2</v>
      </c>
      <c r="AB46" s="162">
        <v>0</v>
      </c>
      <c r="AC46" s="702">
        <f t="shared" si="11"/>
        <v>0.8</v>
      </c>
      <c r="AD46" s="162">
        <v>0</v>
      </c>
      <c r="AE46" s="702">
        <f t="shared" si="16"/>
        <v>0.6</v>
      </c>
      <c r="AF46" s="162">
        <v>0</v>
      </c>
      <c r="AG46" s="702">
        <f t="shared" si="17"/>
        <v>0.2</v>
      </c>
      <c r="AH46" s="162">
        <v>0</v>
      </c>
      <c r="AI46" s="702">
        <f t="shared" si="18"/>
        <v>0.2</v>
      </c>
      <c r="AJ46" s="162">
        <v>0</v>
      </c>
      <c r="AK46" s="702">
        <f t="shared" si="19"/>
        <v>0</v>
      </c>
    </row>
    <row r="47" spans="1:37" x14ac:dyDescent="0.25">
      <c r="A47" s="249" t="s">
        <v>1192</v>
      </c>
      <c r="B47" s="162">
        <f>SUM(B5:B46)</f>
        <v>53</v>
      </c>
      <c r="C47" s="162">
        <f>SUM(C5:C46)</f>
        <v>58</v>
      </c>
      <c r="D47" s="162">
        <f>SUM(D5:D46)</f>
        <v>55</v>
      </c>
      <c r="E47" s="162">
        <f>SUM(E5:E46)</f>
        <v>69</v>
      </c>
      <c r="F47" s="162">
        <f>SUM(F5:F46)</f>
        <v>74</v>
      </c>
      <c r="G47" s="702">
        <f t="shared" si="0"/>
        <v>61.8</v>
      </c>
      <c r="H47" s="162">
        <f>SUM(H5:H46)</f>
        <v>33</v>
      </c>
      <c r="I47" s="702">
        <f t="shared" si="1"/>
        <v>57.8</v>
      </c>
      <c r="J47" s="162">
        <f>SUM(J5:J46)</f>
        <v>49</v>
      </c>
      <c r="K47" s="702">
        <f t="shared" si="2"/>
        <v>56</v>
      </c>
      <c r="L47" s="162">
        <f>SUM(L5:L46)</f>
        <v>41</v>
      </c>
      <c r="M47" s="702">
        <f t="shared" si="3"/>
        <v>53.2</v>
      </c>
      <c r="N47" s="162">
        <f>SUM(N5:N46)</f>
        <v>50</v>
      </c>
      <c r="O47" s="702">
        <f t="shared" si="4"/>
        <v>49.4</v>
      </c>
      <c r="P47" s="162">
        <f>SUM(P5:P46)</f>
        <v>62</v>
      </c>
      <c r="Q47" s="702">
        <f t="shared" si="5"/>
        <v>47</v>
      </c>
      <c r="R47" s="162">
        <f>SUM(R5:R46)</f>
        <v>42</v>
      </c>
      <c r="S47" s="702">
        <f t="shared" si="6"/>
        <v>48.8</v>
      </c>
      <c r="T47" s="162">
        <f>SUM(T5:T46)</f>
        <v>35</v>
      </c>
      <c r="U47" s="702">
        <f t="shared" si="7"/>
        <v>46</v>
      </c>
      <c r="V47" s="162">
        <f>SUM(V5:V46)</f>
        <v>38</v>
      </c>
      <c r="W47" s="702">
        <f t="shared" si="8"/>
        <v>45.4</v>
      </c>
      <c r="X47" s="162">
        <f>SUM(X5:X46)</f>
        <v>32</v>
      </c>
      <c r="Y47" s="702">
        <f t="shared" si="9"/>
        <v>41.8</v>
      </c>
      <c r="Z47" s="162">
        <f>SUM(Z5:Z46)</f>
        <v>33</v>
      </c>
      <c r="AA47" s="702">
        <f t="shared" si="10"/>
        <v>36</v>
      </c>
      <c r="AB47" s="162">
        <f>SUM(AB5:AB46)</f>
        <v>35</v>
      </c>
      <c r="AC47" s="702">
        <f t="shared" si="11"/>
        <v>34.6</v>
      </c>
      <c r="AD47" s="162">
        <f>SUM(AD5:AD46)</f>
        <v>38</v>
      </c>
      <c r="AE47" s="702">
        <f t="shared" si="16"/>
        <v>35.200000000000003</v>
      </c>
      <c r="AF47" s="162">
        <f>SUM(AF5:AF46)</f>
        <v>67</v>
      </c>
      <c r="AG47" s="702">
        <f t="shared" si="17"/>
        <v>41</v>
      </c>
      <c r="AH47" s="162">
        <f>SUM(AH5:AH46)</f>
        <v>57</v>
      </c>
      <c r="AI47" s="702">
        <f t="shared" si="18"/>
        <v>46</v>
      </c>
      <c r="AJ47" s="162">
        <f>SUM(AJ5:AJ46)</f>
        <v>60</v>
      </c>
      <c r="AK47" s="702">
        <f t="shared" si="19"/>
        <v>51.4</v>
      </c>
    </row>
    <row r="48" spans="1:37" x14ac:dyDescent="0.25">
      <c r="A48" s="249" t="s">
        <v>1193</v>
      </c>
      <c r="B48" s="162">
        <v>357</v>
      </c>
      <c r="C48" s="162">
        <v>364</v>
      </c>
      <c r="D48" s="162">
        <v>354</v>
      </c>
      <c r="E48" s="162">
        <v>315</v>
      </c>
      <c r="F48" s="162">
        <v>314</v>
      </c>
      <c r="G48" s="702">
        <f t="shared" si="0"/>
        <v>340.8</v>
      </c>
      <c r="H48" s="162">
        <v>364</v>
      </c>
      <c r="I48" s="702">
        <f t="shared" si="1"/>
        <v>342.2</v>
      </c>
      <c r="J48" s="162">
        <f>334+7</f>
        <v>341</v>
      </c>
      <c r="K48" s="702">
        <f t="shared" si="2"/>
        <v>337.6</v>
      </c>
      <c r="L48" s="162">
        <v>389</v>
      </c>
      <c r="M48" s="702">
        <f t="shared" si="3"/>
        <v>344.6</v>
      </c>
      <c r="N48" s="162">
        <f>492-50-26</f>
        <v>416</v>
      </c>
      <c r="O48" s="702">
        <f t="shared" si="4"/>
        <v>364.8</v>
      </c>
      <c r="P48" s="162">
        <f>477-62-41</f>
        <v>374</v>
      </c>
      <c r="Q48" s="702">
        <f t="shared" si="5"/>
        <v>376.8</v>
      </c>
      <c r="R48" s="162">
        <f>485-R47-R49</f>
        <v>435</v>
      </c>
      <c r="S48" s="702">
        <f t="shared" si="6"/>
        <v>391</v>
      </c>
      <c r="T48" s="162">
        <f>416-T47-T49</f>
        <v>367</v>
      </c>
      <c r="U48" s="702">
        <f t="shared" si="7"/>
        <v>396.2</v>
      </c>
      <c r="V48" s="162">
        <f>475-V47-V49</f>
        <v>418</v>
      </c>
      <c r="W48" s="702">
        <f t="shared" si="8"/>
        <v>402</v>
      </c>
      <c r="X48" s="162">
        <v>418</v>
      </c>
      <c r="Y48" s="702">
        <f t="shared" si="9"/>
        <v>402.4</v>
      </c>
      <c r="Z48" s="162">
        <v>403</v>
      </c>
      <c r="AA48" s="702">
        <f t="shared" si="10"/>
        <v>408.2</v>
      </c>
      <c r="AB48" s="162">
        <v>419</v>
      </c>
      <c r="AC48" s="702">
        <f t="shared" si="11"/>
        <v>405</v>
      </c>
      <c r="AD48" s="162">
        <f>497-AD47-AD49</f>
        <v>446</v>
      </c>
      <c r="AE48" s="702">
        <f t="shared" si="16"/>
        <v>420.8</v>
      </c>
      <c r="AF48" s="162">
        <f>582-AF47-AF49</f>
        <v>493</v>
      </c>
      <c r="AG48" s="702">
        <f t="shared" si="17"/>
        <v>435.8</v>
      </c>
      <c r="AH48" s="162">
        <v>411</v>
      </c>
      <c r="AI48" s="702">
        <f t="shared" si="18"/>
        <v>434.4</v>
      </c>
      <c r="AJ48" s="162">
        <v>383</v>
      </c>
      <c r="AK48" s="702">
        <f t="shared" si="19"/>
        <v>430.4</v>
      </c>
    </row>
    <row r="49" spans="1:37" x14ac:dyDescent="0.25">
      <c r="A49" s="249" t="s">
        <v>1194</v>
      </c>
      <c r="B49" s="162">
        <v>22</v>
      </c>
      <c r="C49" s="162">
        <v>40</v>
      </c>
      <c r="D49" s="162">
        <v>31</v>
      </c>
      <c r="E49" s="162">
        <v>31</v>
      </c>
      <c r="F49" s="162">
        <v>17</v>
      </c>
      <c r="G49" s="702">
        <f t="shared" si="0"/>
        <v>28.2</v>
      </c>
      <c r="H49" s="162">
        <v>25</v>
      </c>
      <c r="I49" s="702">
        <f t="shared" si="1"/>
        <v>28.8</v>
      </c>
      <c r="J49" s="162">
        <f>32+4</f>
        <v>36</v>
      </c>
      <c r="K49" s="702">
        <f t="shared" si="2"/>
        <v>28</v>
      </c>
      <c r="L49" s="162">
        <v>43</v>
      </c>
      <c r="M49" s="702">
        <f t="shared" si="3"/>
        <v>30.4</v>
      </c>
      <c r="N49" s="162">
        <v>26</v>
      </c>
      <c r="O49" s="702">
        <f t="shared" si="4"/>
        <v>29.4</v>
      </c>
      <c r="P49" s="162">
        <v>41</v>
      </c>
      <c r="Q49" s="702">
        <f t="shared" si="5"/>
        <v>34.200000000000003</v>
      </c>
      <c r="R49" s="162">
        <v>8</v>
      </c>
      <c r="S49" s="702">
        <f t="shared" si="6"/>
        <v>30.8</v>
      </c>
      <c r="T49" s="162">
        <v>14</v>
      </c>
      <c r="U49" s="702">
        <f t="shared" si="7"/>
        <v>26.4</v>
      </c>
      <c r="V49" s="162">
        <v>19</v>
      </c>
      <c r="W49" s="702">
        <f t="shared" si="8"/>
        <v>21.6</v>
      </c>
      <c r="X49" s="162">
        <v>31</v>
      </c>
      <c r="Y49" s="702">
        <f t="shared" si="9"/>
        <v>22.6</v>
      </c>
      <c r="Z49" s="162">
        <v>11</v>
      </c>
      <c r="AA49" s="702">
        <f t="shared" si="10"/>
        <v>16.600000000000001</v>
      </c>
      <c r="AB49" s="162">
        <v>18</v>
      </c>
      <c r="AC49" s="702">
        <f t="shared" si="11"/>
        <v>18.600000000000001</v>
      </c>
      <c r="AD49" s="162">
        <v>13</v>
      </c>
      <c r="AE49" s="702">
        <f t="shared" si="16"/>
        <v>18.399999999999999</v>
      </c>
      <c r="AF49" s="162">
        <v>22</v>
      </c>
      <c r="AG49" s="702">
        <f t="shared" si="17"/>
        <v>19</v>
      </c>
      <c r="AH49" s="162">
        <v>26</v>
      </c>
      <c r="AI49" s="702">
        <f t="shared" si="18"/>
        <v>18</v>
      </c>
      <c r="AJ49" s="162">
        <v>17</v>
      </c>
      <c r="AK49" s="702">
        <f t="shared" si="19"/>
        <v>19.2</v>
      </c>
    </row>
    <row r="50" spans="1:37" x14ac:dyDescent="0.25">
      <c r="A50" s="378"/>
      <c r="B50" s="379"/>
      <c r="C50" s="379"/>
      <c r="D50" s="379"/>
      <c r="E50" s="379"/>
      <c r="F50" s="379"/>
      <c r="G50" s="703"/>
      <c r="H50" s="379"/>
      <c r="I50" s="703"/>
      <c r="J50" s="379"/>
      <c r="K50" s="703"/>
      <c r="L50" s="379"/>
      <c r="M50" s="703"/>
      <c r="N50" s="379"/>
      <c r="O50" s="703"/>
      <c r="P50" s="379"/>
      <c r="Q50" s="703"/>
      <c r="R50" s="379"/>
      <c r="S50" s="703"/>
      <c r="T50" s="379"/>
      <c r="U50" s="703"/>
      <c r="V50" s="379"/>
      <c r="W50" s="703"/>
      <c r="X50" s="379"/>
      <c r="Y50" s="703"/>
      <c r="Z50" s="379"/>
      <c r="AA50" s="703"/>
      <c r="AB50" s="379"/>
      <c r="AC50" s="703"/>
      <c r="AD50" s="379"/>
      <c r="AE50" s="703"/>
      <c r="AF50" s="379"/>
      <c r="AG50" s="703"/>
      <c r="AH50" s="379"/>
      <c r="AI50" s="703"/>
      <c r="AJ50" s="379"/>
      <c r="AK50" s="703"/>
    </row>
    <row r="51" spans="1:37" x14ac:dyDescent="0.25">
      <c r="A51" s="250" t="s">
        <v>1003</v>
      </c>
      <c r="B51" s="318">
        <f>SUM(B47:B49)</f>
        <v>432</v>
      </c>
      <c r="C51" s="318">
        <f>SUM(C47:C49)</f>
        <v>462</v>
      </c>
      <c r="D51" s="318">
        <f>SUM(D47:D49)</f>
        <v>440</v>
      </c>
      <c r="E51" s="318">
        <f>SUM(E47:E49)</f>
        <v>415</v>
      </c>
      <c r="F51" s="318">
        <f>SUM(F47:F49)</f>
        <v>405</v>
      </c>
      <c r="G51" s="702">
        <f>AVERAGE(B51:F51)</f>
        <v>430.8</v>
      </c>
      <c r="H51" s="318">
        <f>SUM(H47:H49)</f>
        <v>422</v>
      </c>
      <c r="I51" s="702">
        <f>(+H51+F51+E51+D51+C51)/5</f>
        <v>428.8</v>
      </c>
      <c r="J51" s="318">
        <f>SUM(J47:J49)</f>
        <v>426</v>
      </c>
      <c r="K51" s="702">
        <f>(+J51+H51+F51+E51+D51)/5</f>
        <v>421.6</v>
      </c>
      <c r="L51" s="318">
        <f>SUM(L47:L49)</f>
        <v>473</v>
      </c>
      <c r="M51" s="702">
        <f>(L51+J51+H51+F51+E51)/5</f>
        <v>428.2</v>
      </c>
      <c r="N51" s="318">
        <f>SUM(N47:N49)</f>
        <v>492</v>
      </c>
      <c r="O51" s="702">
        <f>(N51+L51+J51+H51+F51)/5</f>
        <v>443.6</v>
      </c>
      <c r="P51" s="318">
        <f>SUM(P47:P49)</f>
        <v>477</v>
      </c>
      <c r="Q51" s="702">
        <f>(P51+N51+L51+J51+H51)/5</f>
        <v>458</v>
      </c>
      <c r="R51" s="318">
        <f>SUM(R47:R49)</f>
        <v>485</v>
      </c>
      <c r="S51" s="702">
        <f>(R51+P51+N51+L51+J51)/5</f>
        <v>470.6</v>
      </c>
      <c r="T51" s="318">
        <f>SUM(T47:T49)</f>
        <v>416</v>
      </c>
      <c r="U51" s="702">
        <f>(T51+R51+P51+N51+L51)/5</f>
        <v>468.6</v>
      </c>
      <c r="V51" s="318">
        <f>SUM(V47:V49)</f>
        <v>475</v>
      </c>
      <c r="W51" s="702">
        <f>(V51+T51+R51+P51+N51)/5</f>
        <v>469</v>
      </c>
      <c r="X51" s="318">
        <f>SUM(X47:X49)</f>
        <v>481</v>
      </c>
      <c r="Y51" s="702">
        <f>(X51+V51+T51+R51+P51)/5</f>
        <v>466.8</v>
      </c>
      <c r="Z51" s="318">
        <f>SUM(Z47:Z49)</f>
        <v>447</v>
      </c>
      <c r="AA51" s="702">
        <f>(Z51+X51+V51+T51+R51)/5</f>
        <v>460.8</v>
      </c>
      <c r="AB51" s="318">
        <f>SUM(AB47:AB49)</f>
        <v>472</v>
      </c>
      <c r="AC51" s="702">
        <f>(AB51+Z51+X51+V51+T51)/5</f>
        <v>458.2</v>
      </c>
      <c r="AD51" s="318">
        <f>SUM(AD47:AD49)</f>
        <v>497</v>
      </c>
      <c r="AE51" s="702">
        <f>(AD51+AB51+Z51+X51+V51)/5</f>
        <v>474.4</v>
      </c>
      <c r="AF51" s="318">
        <f>SUM(AF47:AF49)</f>
        <v>582</v>
      </c>
      <c r="AG51" s="702">
        <f>(AF51+AD51+AB51+Z51+X51)/5</f>
        <v>495.8</v>
      </c>
      <c r="AH51" s="318">
        <f>SUM(AH47:AH49)</f>
        <v>494</v>
      </c>
      <c r="AI51" s="702">
        <f>(AH51+AF51+AD51+AB51+Z51)/5</f>
        <v>498.4</v>
      </c>
      <c r="AJ51" s="318">
        <f>SUM(AJ47:AJ49)</f>
        <v>460</v>
      </c>
      <c r="AK51" s="702">
        <f>(AJ51+AH51+AF51+AD51+AB51)/5</f>
        <v>501</v>
      </c>
    </row>
    <row r="52" spans="1:37" ht="87.6" customHeight="1" x14ac:dyDescent="0.25">
      <c r="A52" s="2222" t="s">
        <v>483</v>
      </c>
      <c r="B52" s="2222"/>
      <c r="C52" s="2222"/>
      <c r="D52" s="2222"/>
      <c r="E52" s="2222"/>
      <c r="F52" s="2222"/>
      <c r="G52" s="2222"/>
      <c r="H52" s="2222"/>
      <c r="I52" s="2222"/>
      <c r="J52" s="2222"/>
      <c r="K52" s="2222"/>
      <c r="L52" s="2222"/>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row>
  </sheetData>
  <mergeCells count="3">
    <mergeCell ref="A1:AK1"/>
    <mergeCell ref="A2:AK2"/>
    <mergeCell ref="A52:AK52"/>
  </mergeCells>
  <phoneticPr fontId="16" type="noConversion"/>
  <printOptions horizontalCentered="1" verticalCentered="1"/>
  <pageMargins left="0.28000000000000003" right="0.21" top="1" bottom="1" header="0.5" footer="0.5"/>
  <pageSetup paperSize="5" scale="77" orientation="landscape" r:id="rId1"/>
  <headerFooter alignWithMargins="0">
    <oddFooter>&amp;LSource: Office of Institutional Research</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4"/>
  <sheetViews>
    <sheetView topLeftCell="R1" workbookViewId="0"/>
  </sheetViews>
  <sheetFormatPr defaultColWidth="6.6640625" defaultRowHeight="13.2" x14ac:dyDescent="0.25"/>
  <cols>
    <col min="1" max="1" width="33" style="1201" hidden="1" customWidth="1"/>
    <col min="2" max="8" width="0" style="1201" hidden="1" customWidth="1"/>
    <col min="9" max="16" width="7" style="1201" hidden="1" customWidth="1"/>
    <col min="17" max="17" width="0" style="1201" hidden="1" customWidth="1"/>
    <col min="18" max="256" width="6.6640625" style="1201"/>
    <col min="257" max="257" width="33" style="1201" customWidth="1"/>
    <col min="258" max="264" width="6.6640625" style="1201"/>
    <col min="265" max="271" width="7" style="1201" bestFit="1" customWidth="1"/>
    <col min="272" max="512" width="6.6640625" style="1201"/>
    <col min="513" max="513" width="33" style="1201" customWidth="1"/>
    <col min="514" max="520" width="6.6640625" style="1201"/>
    <col min="521" max="527" width="7" style="1201" bestFit="1" customWidth="1"/>
    <col min="528" max="768" width="6.6640625" style="1201"/>
    <col min="769" max="769" width="33" style="1201" customWidth="1"/>
    <col min="770" max="776" width="6.6640625" style="1201"/>
    <col min="777" max="783" width="7" style="1201" bestFit="1" customWidth="1"/>
    <col min="784" max="1024" width="6.6640625" style="1201"/>
    <col min="1025" max="1025" width="33" style="1201" customWidth="1"/>
    <col min="1026" max="1032" width="6.6640625" style="1201"/>
    <col min="1033" max="1039" width="7" style="1201" bestFit="1" customWidth="1"/>
    <col min="1040" max="1280" width="6.6640625" style="1201"/>
    <col min="1281" max="1281" width="33" style="1201" customWidth="1"/>
    <col min="1282" max="1288" width="6.6640625" style="1201"/>
    <col min="1289" max="1295" width="7" style="1201" bestFit="1" customWidth="1"/>
    <col min="1296" max="1536" width="6.6640625" style="1201"/>
    <col min="1537" max="1537" width="33" style="1201" customWidth="1"/>
    <col min="1538" max="1544" width="6.6640625" style="1201"/>
    <col min="1545" max="1551" width="7" style="1201" bestFit="1" customWidth="1"/>
    <col min="1552" max="1792" width="6.6640625" style="1201"/>
    <col min="1793" max="1793" width="33" style="1201" customWidth="1"/>
    <col min="1794" max="1800" width="6.6640625" style="1201"/>
    <col min="1801" max="1807" width="7" style="1201" bestFit="1" customWidth="1"/>
    <col min="1808" max="2048" width="6.6640625" style="1201"/>
    <col min="2049" max="2049" width="33" style="1201" customWidth="1"/>
    <col min="2050" max="2056" width="6.6640625" style="1201"/>
    <col min="2057" max="2063" width="7" style="1201" bestFit="1" customWidth="1"/>
    <col min="2064" max="2304" width="6.6640625" style="1201"/>
    <col min="2305" max="2305" width="33" style="1201" customWidth="1"/>
    <col min="2306" max="2312" width="6.6640625" style="1201"/>
    <col min="2313" max="2319" width="7" style="1201" bestFit="1" customWidth="1"/>
    <col min="2320" max="2560" width="6.6640625" style="1201"/>
    <col min="2561" max="2561" width="33" style="1201" customWidth="1"/>
    <col min="2562" max="2568" width="6.6640625" style="1201"/>
    <col min="2569" max="2575" width="7" style="1201" bestFit="1" customWidth="1"/>
    <col min="2576" max="2816" width="6.6640625" style="1201"/>
    <col min="2817" max="2817" width="33" style="1201" customWidth="1"/>
    <col min="2818" max="2824" width="6.6640625" style="1201"/>
    <col min="2825" max="2831" width="7" style="1201" bestFit="1" customWidth="1"/>
    <col min="2832" max="3072" width="6.6640625" style="1201"/>
    <col min="3073" max="3073" width="33" style="1201" customWidth="1"/>
    <col min="3074" max="3080" width="6.6640625" style="1201"/>
    <col min="3081" max="3087" width="7" style="1201" bestFit="1" customWidth="1"/>
    <col min="3088" max="3328" width="6.6640625" style="1201"/>
    <col min="3329" max="3329" width="33" style="1201" customWidth="1"/>
    <col min="3330" max="3336" width="6.6640625" style="1201"/>
    <col min="3337" max="3343" width="7" style="1201" bestFit="1" customWidth="1"/>
    <col min="3344" max="3584" width="6.6640625" style="1201"/>
    <col min="3585" max="3585" width="33" style="1201" customWidth="1"/>
    <col min="3586" max="3592" width="6.6640625" style="1201"/>
    <col min="3593" max="3599" width="7" style="1201" bestFit="1" customWidth="1"/>
    <col min="3600" max="3840" width="6.6640625" style="1201"/>
    <col min="3841" max="3841" width="33" style="1201" customWidth="1"/>
    <col min="3842" max="3848" width="6.6640625" style="1201"/>
    <col min="3849" max="3855" width="7" style="1201" bestFit="1" customWidth="1"/>
    <col min="3856" max="4096" width="6.6640625" style="1201"/>
    <col min="4097" max="4097" width="33" style="1201" customWidth="1"/>
    <col min="4098" max="4104" width="6.6640625" style="1201"/>
    <col min="4105" max="4111" width="7" style="1201" bestFit="1" customWidth="1"/>
    <col min="4112" max="4352" width="6.6640625" style="1201"/>
    <col min="4353" max="4353" width="33" style="1201" customWidth="1"/>
    <col min="4354" max="4360" width="6.6640625" style="1201"/>
    <col min="4361" max="4367" width="7" style="1201" bestFit="1" customWidth="1"/>
    <col min="4368" max="4608" width="6.6640625" style="1201"/>
    <col min="4609" max="4609" width="33" style="1201" customWidth="1"/>
    <col min="4610" max="4616" width="6.6640625" style="1201"/>
    <col min="4617" max="4623" width="7" style="1201" bestFit="1" customWidth="1"/>
    <col min="4624" max="4864" width="6.6640625" style="1201"/>
    <col min="4865" max="4865" width="33" style="1201" customWidth="1"/>
    <col min="4866" max="4872" width="6.6640625" style="1201"/>
    <col min="4873" max="4879" width="7" style="1201" bestFit="1" customWidth="1"/>
    <col min="4880" max="5120" width="6.6640625" style="1201"/>
    <col min="5121" max="5121" width="33" style="1201" customWidth="1"/>
    <col min="5122" max="5128" width="6.6640625" style="1201"/>
    <col min="5129" max="5135" width="7" style="1201" bestFit="1" customWidth="1"/>
    <col min="5136" max="5376" width="6.6640625" style="1201"/>
    <col min="5377" max="5377" width="33" style="1201" customWidth="1"/>
    <col min="5378" max="5384" width="6.6640625" style="1201"/>
    <col min="5385" max="5391" width="7" style="1201" bestFit="1" customWidth="1"/>
    <col min="5392" max="5632" width="6.6640625" style="1201"/>
    <col min="5633" max="5633" width="33" style="1201" customWidth="1"/>
    <col min="5634" max="5640" width="6.6640625" style="1201"/>
    <col min="5641" max="5647" width="7" style="1201" bestFit="1" customWidth="1"/>
    <col min="5648" max="5888" width="6.6640625" style="1201"/>
    <col min="5889" max="5889" width="33" style="1201" customWidth="1"/>
    <col min="5890" max="5896" width="6.6640625" style="1201"/>
    <col min="5897" max="5903" width="7" style="1201" bestFit="1" customWidth="1"/>
    <col min="5904" max="6144" width="6.6640625" style="1201"/>
    <col min="6145" max="6145" width="33" style="1201" customWidth="1"/>
    <col min="6146" max="6152" width="6.6640625" style="1201"/>
    <col min="6153" max="6159" width="7" style="1201" bestFit="1" customWidth="1"/>
    <col min="6160" max="6400" width="6.6640625" style="1201"/>
    <col min="6401" max="6401" width="33" style="1201" customWidth="1"/>
    <col min="6402" max="6408" width="6.6640625" style="1201"/>
    <col min="6409" max="6415" width="7" style="1201" bestFit="1" customWidth="1"/>
    <col min="6416" max="6656" width="6.6640625" style="1201"/>
    <col min="6657" max="6657" width="33" style="1201" customWidth="1"/>
    <col min="6658" max="6664" width="6.6640625" style="1201"/>
    <col min="6665" max="6671" width="7" style="1201" bestFit="1" customWidth="1"/>
    <col min="6672" max="6912" width="6.6640625" style="1201"/>
    <col min="6913" max="6913" width="33" style="1201" customWidth="1"/>
    <col min="6914" max="6920" width="6.6640625" style="1201"/>
    <col min="6921" max="6927" width="7" style="1201" bestFit="1" customWidth="1"/>
    <col min="6928" max="7168" width="6.6640625" style="1201"/>
    <col min="7169" max="7169" width="33" style="1201" customWidth="1"/>
    <col min="7170" max="7176" width="6.6640625" style="1201"/>
    <col min="7177" max="7183" width="7" style="1201" bestFit="1" customWidth="1"/>
    <col min="7184" max="7424" width="6.6640625" style="1201"/>
    <col min="7425" max="7425" width="33" style="1201" customWidth="1"/>
    <col min="7426" max="7432" width="6.6640625" style="1201"/>
    <col min="7433" max="7439" width="7" style="1201" bestFit="1" customWidth="1"/>
    <col min="7440" max="7680" width="6.6640625" style="1201"/>
    <col min="7681" max="7681" width="33" style="1201" customWidth="1"/>
    <col min="7682" max="7688" width="6.6640625" style="1201"/>
    <col min="7689" max="7695" width="7" style="1201" bestFit="1" customWidth="1"/>
    <col min="7696" max="7936" width="6.6640625" style="1201"/>
    <col min="7937" max="7937" width="33" style="1201" customWidth="1"/>
    <col min="7938" max="7944" width="6.6640625" style="1201"/>
    <col min="7945" max="7951" width="7" style="1201" bestFit="1" customWidth="1"/>
    <col min="7952" max="8192" width="6.6640625" style="1201"/>
    <col min="8193" max="8193" width="33" style="1201" customWidth="1"/>
    <col min="8194" max="8200" width="6.6640625" style="1201"/>
    <col min="8201" max="8207" width="7" style="1201" bestFit="1" customWidth="1"/>
    <col min="8208" max="8448" width="6.6640625" style="1201"/>
    <col min="8449" max="8449" width="33" style="1201" customWidth="1"/>
    <col min="8450" max="8456" width="6.6640625" style="1201"/>
    <col min="8457" max="8463" width="7" style="1201" bestFit="1" customWidth="1"/>
    <col min="8464" max="8704" width="6.6640625" style="1201"/>
    <col min="8705" max="8705" width="33" style="1201" customWidth="1"/>
    <col min="8706" max="8712" width="6.6640625" style="1201"/>
    <col min="8713" max="8719" width="7" style="1201" bestFit="1" customWidth="1"/>
    <col min="8720" max="8960" width="6.6640625" style="1201"/>
    <col min="8961" max="8961" width="33" style="1201" customWidth="1"/>
    <col min="8962" max="8968" width="6.6640625" style="1201"/>
    <col min="8969" max="8975" width="7" style="1201" bestFit="1" customWidth="1"/>
    <col min="8976" max="9216" width="6.6640625" style="1201"/>
    <col min="9217" max="9217" width="33" style="1201" customWidth="1"/>
    <col min="9218" max="9224" width="6.6640625" style="1201"/>
    <col min="9225" max="9231" width="7" style="1201" bestFit="1" customWidth="1"/>
    <col min="9232" max="9472" width="6.6640625" style="1201"/>
    <col min="9473" max="9473" width="33" style="1201" customWidth="1"/>
    <col min="9474" max="9480" width="6.6640625" style="1201"/>
    <col min="9481" max="9487" width="7" style="1201" bestFit="1" customWidth="1"/>
    <col min="9488" max="9728" width="6.6640625" style="1201"/>
    <col min="9729" max="9729" width="33" style="1201" customWidth="1"/>
    <col min="9730" max="9736" width="6.6640625" style="1201"/>
    <col min="9737" max="9743" width="7" style="1201" bestFit="1" customWidth="1"/>
    <col min="9744" max="9984" width="6.6640625" style="1201"/>
    <col min="9985" max="9985" width="33" style="1201" customWidth="1"/>
    <col min="9986" max="9992" width="6.6640625" style="1201"/>
    <col min="9993" max="9999" width="7" style="1201" bestFit="1" customWidth="1"/>
    <col min="10000" max="10240" width="6.6640625" style="1201"/>
    <col min="10241" max="10241" width="33" style="1201" customWidth="1"/>
    <col min="10242" max="10248" width="6.6640625" style="1201"/>
    <col min="10249" max="10255" width="7" style="1201" bestFit="1" customWidth="1"/>
    <col min="10256" max="10496" width="6.6640625" style="1201"/>
    <col min="10497" max="10497" width="33" style="1201" customWidth="1"/>
    <col min="10498" max="10504" width="6.6640625" style="1201"/>
    <col min="10505" max="10511" width="7" style="1201" bestFit="1" customWidth="1"/>
    <col min="10512" max="10752" width="6.6640625" style="1201"/>
    <col min="10753" max="10753" width="33" style="1201" customWidth="1"/>
    <col min="10754" max="10760" width="6.6640625" style="1201"/>
    <col min="10761" max="10767" width="7" style="1201" bestFit="1" customWidth="1"/>
    <col min="10768" max="11008" width="6.6640625" style="1201"/>
    <col min="11009" max="11009" width="33" style="1201" customWidth="1"/>
    <col min="11010" max="11016" width="6.6640625" style="1201"/>
    <col min="11017" max="11023" width="7" style="1201" bestFit="1" customWidth="1"/>
    <col min="11024" max="11264" width="6.6640625" style="1201"/>
    <col min="11265" max="11265" width="33" style="1201" customWidth="1"/>
    <col min="11266" max="11272" width="6.6640625" style="1201"/>
    <col min="11273" max="11279" width="7" style="1201" bestFit="1" customWidth="1"/>
    <col min="11280" max="11520" width="6.6640625" style="1201"/>
    <col min="11521" max="11521" width="33" style="1201" customWidth="1"/>
    <col min="11522" max="11528" width="6.6640625" style="1201"/>
    <col min="11529" max="11535" width="7" style="1201" bestFit="1" customWidth="1"/>
    <col min="11536" max="11776" width="6.6640625" style="1201"/>
    <col min="11777" max="11777" width="33" style="1201" customWidth="1"/>
    <col min="11778" max="11784" width="6.6640625" style="1201"/>
    <col min="11785" max="11791" width="7" style="1201" bestFit="1" customWidth="1"/>
    <col min="11792" max="12032" width="6.6640625" style="1201"/>
    <col min="12033" max="12033" width="33" style="1201" customWidth="1"/>
    <col min="12034" max="12040" width="6.6640625" style="1201"/>
    <col min="12041" max="12047" width="7" style="1201" bestFit="1" customWidth="1"/>
    <col min="12048" max="12288" width="6.6640625" style="1201"/>
    <col min="12289" max="12289" width="33" style="1201" customWidth="1"/>
    <col min="12290" max="12296" width="6.6640625" style="1201"/>
    <col min="12297" max="12303" width="7" style="1201" bestFit="1" customWidth="1"/>
    <col min="12304" max="12544" width="6.6640625" style="1201"/>
    <col min="12545" max="12545" width="33" style="1201" customWidth="1"/>
    <col min="12546" max="12552" width="6.6640625" style="1201"/>
    <col min="12553" max="12559" width="7" style="1201" bestFit="1" customWidth="1"/>
    <col min="12560" max="12800" width="6.6640625" style="1201"/>
    <col min="12801" max="12801" width="33" style="1201" customWidth="1"/>
    <col min="12802" max="12808" width="6.6640625" style="1201"/>
    <col min="12809" max="12815" width="7" style="1201" bestFit="1" customWidth="1"/>
    <col min="12816" max="13056" width="6.6640625" style="1201"/>
    <col min="13057" max="13057" width="33" style="1201" customWidth="1"/>
    <col min="13058" max="13064" width="6.6640625" style="1201"/>
    <col min="13065" max="13071" width="7" style="1201" bestFit="1" customWidth="1"/>
    <col min="13072" max="13312" width="6.6640625" style="1201"/>
    <col min="13313" max="13313" width="33" style="1201" customWidth="1"/>
    <col min="13314" max="13320" width="6.6640625" style="1201"/>
    <col min="13321" max="13327" width="7" style="1201" bestFit="1" customWidth="1"/>
    <col min="13328" max="13568" width="6.6640625" style="1201"/>
    <col min="13569" max="13569" width="33" style="1201" customWidth="1"/>
    <col min="13570" max="13576" width="6.6640625" style="1201"/>
    <col min="13577" max="13583" width="7" style="1201" bestFit="1" customWidth="1"/>
    <col min="13584" max="13824" width="6.6640625" style="1201"/>
    <col min="13825" max="13825" width="33" style="1201" customWidth="1"/>
    <col min="13826" max="13832" width="6.6640625" style="1201"/>
    <col min="13833" max="13839" width="7" style="1201" bestFit="1" customWidth="1"/>
    <col min="13840" max="14080" width="6.6640625" style="1201"/>
    <col min="14081" max="14081" width="33" style="1201" customWidth="1"/>
    <col min="14082" max="14088" width="6.6640625" style="1201"/>
    <col min="14089" max="14095" width="7" style="1201" bestFit="1" customWidth="1"/>
    <col min="14096" max="14336" width="6.6640625" style="1201"/>
    <col min="14337" max="14337" width="33" style="1201" customWidth="1"/>
    <col min="14338" max="14344" width="6.6640625" style="1201"/>
    <col min="14345" max="14351" width="7" style="1201" bestFit="1" customWidth="1"/>
    <col min="14352" max="14592" width="6.6640625" style="1201"/>
    <col min="14593" max="14593" width="33" style="1201" customWidth="1"/>
    <col min="14594" max="14600" width="6.6640625" style="1201"/>
    <col min="14601" max="14607" width="7" style="1201" bestFit="1" customWidth="1"/>
    <col min="14608" max="14848" width="6.6640625" style="1201"/>
    <col min="14849" max="14849" width="33" style="1201" customWidth="1"/>
    <col min="14850" max="14856" width="6.6640625" style="1201"/>
    <col min="14857" max="14863" width="7" style="1201" bestFit="1" customWidth="1"/>
    <col min="14864" max="15104" width="6.6640625" style="1201"/>
    <col min="15105" max="15105" width="33" style="1201" customWidth="1"/>
    <col min="15106" max="15112" width="6.6640625" style="1201"/>
    <col min="15113" max="15119" width="7" style="1201" bestFit="1" customWidth="1"/>
    <col min="15120" max="15360" width="6.6640625" style="1201"/>
    <col min="15361" max="15361" width="33" style="1201" customWidth="1"/>
    <col min="15362" max="15368" width="6.6640625" style="1201"/>
    <col min="15369" max="15375" width="7" style="1201" bestFit="1" customWidth="1"/>
    <col min="15376" max="15616" width="6.6640625" style="1201"/>
    <col min="15617" max="15617" width="33" style="1201" customWidth="1"/>
    <col min="15618" max="15624" width="6.6640625" style="1201"/>
    <col min="15625" max="15631" width="7" style="1201" bestFit="1" customWidth="1"/>
    <col min="15632" max="15872" width="6.6640625" style="1201"/>
    <col min="15873" max="15873" width="33" style="1201" customWidth="1"/>
    <col min="15874" max="15880" width="6.6640625" style="1201"/>
    <col min="15881" max="15887" width="7" style="1201" bestFit="1" customWidth="1"/>
    <col min="15888" max="16128" width="6.6640625" style="1201"/>
    <col min="16129" max="16129" width="33" style="1201" customWidth="1"/>
    <col min="16130" max="16136" width="6.6640625" style="1201"/>
    <col min="16137" max="16143" width="7" style="1201" bestFit="1" customWidth="1"/>
    <col min="16144" max="16384" width="6.6640625" style="1201"/>
  </cols>
  <sheetData>
    <row r="1" spans="1:27" ht="39.6" customHeight="1" x14ac:dyDescent="0.35">
      <c r="R1" s="2225" t="s">
        <v>1675</v>
      </c>
      <c r="S1" s="2225"/>
      <c r="T1" s="2225"/>
      <c r="U1" s="2225"/>
      <c r="V1" s="2225"/>
      <c r="W1" s="2225"/>
      <c r="X1" s="2225"/>
      <c r="Y1" s="2225"/>
      <c r="Z1" s="2225"/>
      <c r="AA1" s="2225"/>
    </row>
    <row r="2" spans="1:27" ht="19.2" x14ac:dyDescent="0.35">
      <c r="A2" s="2224" t="s">
        <v>581</v>
      </c>
      <c r="B2" s="2224"/>
      <c r="C2" s="2224"/>
      <c r="D2" s="2224"/>
      <c r="E2" s="2224"/>
      <c r="F2" s="2224"/>
      <c r="G2" s="2224"/>
      <c r="H2" s="2224"/>
      <c r="I2" s="2224"/>
      <c r="J2" s="2224"/>
      <c r="K2" s="2224"/>
      <c r="L2" s="2224"/>
      <c r="M2" s="2224"/>
      <c r="N2" s="2224"/>
      <c r="O2" s="2224"/>
      <c r="P2" s="2224"/>
    </row>
    <row r="4" spans="1:27" x14ac:dyDescent="0.25">
      <c r="A4" s="1654"/>
      <c r="B4" s="1655"/>
      <c r="C4" s="1656"/>
      <c r="D4" s="1656"/>
      <c r="E4" s="1654"/>
      <c r="F4" s="1654"/>
      <c r="G4" s="1657"/>
      <c r="H4" s="1657"/>
      <c r="I4" s="1657"/>
      <c r="J4" s="1657"/>
      <c r="K4" s="1657"/>
      <c r="L4" s="1657"/>
      <c r="M4" s="1657"/>
      <c r="N4" s="1657"/>
      <c r="O4" s="1657"/>
      <c r="P4" s="1657"/>
      <c r="Q4" s="1657"/>
    </row>
    <row r="5" spans="1:27" x14ac:dyDescent="0.25">
      <c r="A5" s="1658"/>
      <c r="B5" s="1659"/>
      <c r="C5" s="1659"/>
      <c r="D5" s="1660"/>
      <c r="E5" s="1660"/>
      <c r="F5" s="1660"/>
      <c r="G5" s="1661"/>
      <c r="H5" s="1661"/>
      <c r="I5" s="1661"/>
      <c r="J5" s="1661"/>
      <c r="K5" s="1661"/>
      <c r="L5" s="1661"/>
      <c r="M5" s="1661"/>
      <c r="N5" s="1661"/>
      <c r="O5" s="1661"/>
      <c r="P5" s="1661"/>
      <c r="Q5" s="1661"/>
    </row>
    <row r="6" spans="1:27" x14ac:dyDescent="0.25">
      <c r="A6" s="1662" t="s">
        <v>1615</v>
      </c>
      <c r="B6" s="1663">
        <v>2000</v>
      </c>
      <c r="C6" s="1663">
        <v>2001</v>
      </c>
      <c r="D6" s="1663">
        <v>2002</v>
      </c>
      <c r="E6" s="1663">
        <v>2003</v>
      </c>
      <c r="F6" s="1663">
        <v>2004</v>
      </c>
      <c r="G6" s="1663">
        <v>2005</v>
      </c>
      <c r="H6" s="1663">
        <v>2006</v>
      </c>
      <c r="I6" s="1663">
        <v>2007</v>
      </c>
      <c r="J6" s="1663">
        <v>2008</v>
      </c>
      <c r="K6" s="1663">
        <v>2009</v>
      </c>
      <c r="L6" s="1663">
        <v>2010</v>
      </c>
      <c r="M6" s="1663">
        <v>2011</v>
      </c>
      <c r="N6" s="1663">
        <v>2012</v>
      </c>
      <c r="O6" s="1663">
        <v>2013</v>
      </c>
      <c r="P6" s="1663">
        <v>2014</v>
      </c>
      <c r="Q6" s="1663">
        <v>2015</v>
      </c>
    </row>
    <row r="7" spans="1:27" x14ac:dyDescent="0.25">
      <c r="A7" s="1569" t="s">
        <v>1616</v>
      </c>
      <c r="B7" s="1663"/>
      <c r="C7" s="1663"/>
      <c r="D7" s="1663"/>
      <c r="E7" s="1663"/>
      <c r="F7" s="1663"/>
      <c r="G7" s="1663"/>
      <c r="H7" s="1663"/>
      <c r="I7" s="1663"/>
      <c r="J7" s="1663"/>
      <c r="K7" s="1663"/>
      <c r="L7" s="1664">
        <v>185</v>
      </c>
      <c r="M7" s="1664">
        <v>345</v>
      </c>
      <c r="N7" s="1664">
        <v>352</v>
      </c>
      <c r="O7" s="1664">
        <v>342</v>
      </c>
      <c r="P7" s="1664">
        <v>329</v>
      </c>
      <c r="Q7" s="1664"/>
    </row>
    <row r="8" spans="1:27" x14ac:dyDescent="0.25">
      <c r="A8" s="1569" t="s">
        <v>582</v>
      </c>
      <c r="B8" s="1664">
        <v>276</v>
      </c>
      <c r="C8" s="1664">
        <v>264</v>
      </c>
      <c r="D8" s="1664">
        <v>273</v>
      </c>
      <c r="E8" s="1664">
        <v>254</v>
      </c>
      <c r="F8" s="1664">
        <v>266</v>
      </c>
      <c r="G8" s="1664">
        <v>259</v>
      </c>
      <c r="H8" s="1664">
        <v>253</v>
      </c>
      <c r="I8" s="1664">
        <v>136</v>
      </c>
      <c r="J8" s="1664">
        <v>168</v>
      </c>
      <c r="K8" s="1664">
        <v>273</v>
      </c>
      <c r="L8" s="1664">
        <v>274</v>
      </c>
      <c r="M8" s="1664">
        <v>264</v>
      </c>
      <c r="N8" s="1664">
        <v>246</v>
      </c>
      <c r="O8" s="1664">
        <v>185</v>
      </c>
      <c r="P8" s="1664">
        <v>144</v>
      </c>
      <c r="Q8" s="1664"/>
    </row>
    <row r="9" spans="1:27" x14ac:dyDescent="0.25">
      <c r="A9" s="1569" t="s">
        <v>1617</v>
      </c>
      <c r="B9" s="1664"/>
      <c r="C9" s="1664"/>
      <c r="D9" s="1664"/>
      <c r="E9" s="1664"/>
      <c r="F9" s="1664"/>
      <c r="G9" s="1664"/>
      <c r="H9" s="1664">
        <v>284</v>
      </c>
      <c r="I9" s="1664">
        <v>291</v>
      </c>
      <c r="J9" s="1664">
        <v>291</v>
      </c>
      <c r="K9" s="1664">
        <v>300</v>
      </c>
      <c r="L9" s="1664">
        <v>297</v>
      </c>
      <c r="M9" s="1664">
        <v>294</v>
      </c>
      <c r="N9" s="1664">
        <v>295</v>
      </c>
      <c r="O9" s="1664">
        <v>283</v>
      </c>
      <c r="P9" s="1664">
        <v>281</v>
      </c>
      <c r="Q9" s="1664"/>
    </row>
    <row r="10" spans="1:27" x14ac:dyDescent="0.25">
      <c r="A10" s="1569" t="s">
        <v>583</v>
      </c>
      <c r="B10" s="1664">
        <v>62</v>
      </c>
      <c r="C10" s="1664">
        <v>49</v>
      </c>
      <c r="D10" s="1664">
        <v>62</v>
      </c>
      <c r="E10" s="1664">
        <v>93</v>
      </c>
      <c r="F10" s="1664">
        <v>97</v>
      </c>
      <c r="G10" s="1664">
        <v>90</v>
      </c>
      <c r="H10" s="1664">
        <v>95</v>
      </c>
      <c r="I10" s="1664">
        <v>77</v>
      </c>
      <c r="J10" s="1664">
        <v>93</v>
      </c>
      <c r="K10" s="1664">
        <v>99</v>
      </c>
      <c r="L10" s="1664">
        <v>99</v>
      </c>
      <c r="M10" s="1664">
        <v>98</v>
      </c>
      <c r="N10" s="1664">
        <v>95</v>
      </c>
      <c r="O10" s="1664">
        <v>93</v>
      </c>
      <c r="P10" s="1664">
        <v>89</v>
      </c>
      <c r="Q10" s="1664"/>
    </row>
    <row r="11" spans="1:27" hidden="1" x14ac:dyDescent="0.25">
      <c r="A11" s="1569" t="s">
        <v>584</v>
      </c>
      <c r="B11" s="1664">
        <v>115</v>
      </c>
      <c r="C11" s="1664">
        <v>97</v>
      </c>
      <c r="D11" s="1664">
        <v>113</v>
      </c>
      <c r="E11" s="1664">
        <v>94</v>
      </c>
      <c r="F11" s="1664">
        <v>59</v>
      </c>
      <c r="G11" s="1664">
        <v>64</v>
      </c>
      <c r="H11" s="1664"/>
      <c r="I11" s="1664"/>
      <c r="J11" s="1664"/>
      <c r="K11" s="1664"/>
      <c r="L11" s="1664"/>
      <c r="M11" s="1664"/>
      <c r="N11" s="1664"/>
      <c r="O11" s="1664"/>
      <c r="P11" s="1664"/>
      <c r="Q11" s="1664"/>
    </row>
    <row r="12" spans="1:27" hidden="1" x14ac:dyDescent="0.25">
      <c r="A12" s="1569" t="s">
        <v>588</v>
      </c>
      <c r="B12" s="1664">
        <v>142</v>
      </c>
      <c r="C12" s="1664">
        <v>132</v>
      </c>
      <c r="D12" s="1664">
        <v>141</v>
      </c>
      <c r="E12" s="1664">
        <v>121</v>
      </c>
      <c r="F12" s="1664">
        <v>139</v>
      </c>
      <c r="G12" s="1664">
        <v>130</v>
      </c>
      <c r="H12" s="1664"/>
      <c r="I12" s="1664"/>
      <c r="J12" s="1664"/>
      <c r="K12" s="1664"/>
      <c r="L12" s="1664"/>
      <c r="M12" s="1664"/>
      <c r="N12" s="1664"/>
      <c r="O12" s="1664"/>
      <c r="P12" s="1664"/>
      <c r="Q12" s="1664"/>
    </row>
    <row r="13" spans="1:27" x14ac:dyDescent="0.25">
      <c r="A13" s="1569" t="s">
        <v>1618</v>
      </c>
      <c r="B13" s="1664"/>
      <c r="C13" s="1664"/>
      <c r="D13" s="1664"/>
      <c r="E13" s="1664"/>
      <c r="F13" s="1664"/>
      <c r="G13" s="1664"/>
      <c r="H13" s="1664"/>
      <c r="I13" s="1664"/>
      <c r="J13" s="1664"/>
      <c r="K13" s="1664">
        <v>90</v>
      </c>
      <c r="L13" s="1664">
        <v>88</v>
      </c>
      <c r="M13" s="1665"/>
      <c r="N13" s="1665"/>
      <c r="O13" s="1665"/>
      <c r="P13" s="1665"/>
      <c r="Q13" s="1665"/>
    </row>
    <row r="14" spans="1:27" x14ac:dyDescent="0.25">
      <c r="A14" s="1569" t="s">
        <v>586</v>
      </c>
      <c r="B14" s="1664">
        <v>240</v>
      </c>
      <c r="C14" s="1664">
        <v>237</v>
      </c>
      <c r="D14" s="1664">
        <v>233</v>
      </c>
      <c r="E14" s="1664">
        <v>222</v>
      </c>
      <c r="F14" s="1664">
        <v>225</v>
      </c>
      <c r="G14" s="1664">
        <v>226</v>
      </c>
      <c r="H14" s="1664">
        <v>80</v>
      </c>
      <c r="I14" s="1664">
        <v>84</v>
      </c>
      <c r="J14" s="1664">
        <v>182</v>
      </c>
      <c r="K14" s="1664">
        <v>220</v>
      </c>
      <c r="L14" s="1664">
        <v>210</v>
      </c>
      <c r="M14" s="1664">
        <v>215</v>
      </c>
      <c r="N14" s="1664">
        <v>218</v>
      </c>
      <c r="O14" s="1664">
        <v>216</v>
      </c>
      <c r="P14" s="1664">
        <v>201</v>
      </c>
      <c r="Q14" s="1664"/>
    </row>
    <row r="15" spans="1:27" x14ac:dyDescent="0.25">
      <c r="A15" s="1569" t="s">
        <v>1619</v>
      </c>
      <c r="B15" s="1664"/>
      <c r="C15" s="1664"/>
      <c r="D15" s="1664"/>
      <c r="E15" s="1664"/>
      <c r="F15" s="1664"/>
      <c r="G15" s="1664"/>
      <c r="H15" s="1664"/>
      <c r="I15" s="1664"/>
      <c r="J15" s="1664"/>
      <c r="K15" s="1664">
        <v>27</v>
      </c>
      <c r="L15" s="1664">
        <v>25</v>
      </c>
      <c r="M15" s="1664">
        <v>30</v>
      </c>
      <c r="N15" s="1664">
        <v>29</v>
      </c>
      <c r="O15" s="1664">
        <v>29</v>
      </c>
      <c r="P15" s="1665"/>
      <c r="Q15" s="1665"/>
    </row>
    <row r="16" spans="1:27" x14ac:dyDescent="0.25">
      <c r="A16" s="1569" t="s">
        <v>585</v>
      </c>
      <c r="B16" s="1664">
        <v>68</v>
      </c>
      <c r="C16" s="1664">
        <v>66</v>
      </c>
      <c r="D16" s="1664">
        <v>66</v>
      </c>
      <c r="E16" s="1664">
        <v>61</v>
      </c>
      <c r="F16" s="1664">
        <v>67</v>
      </c>
      <c r="G16" s="1664">
        <v>65</v>
      </c>
      <c r="H16" s="1664">
        <v>67</v>
      </c>
      <c r="I16" s="1664">
        <v>65</v>
      </c>
      <c r="J16" s="1664">
        <v>67</v>
      </c>
      <c r="K16" s="1664">
        <v>68</v>
      </c>
      <c r="L16" s="1664">
        <v>64</v>
      </c>
      <c r="M16" s="1664">
        <v>64</v>
      </c>
      <c r="N16" s="1664">
        <v>65</v>
      </c>
      <c r="O16" s="1664">
        <v>65</v>
      </c>
      <c r="P16" s="1664">
        <v>61</v>
      </c>
      <c r="Q16" s="1664"/>
    </row>
    <row r="17" spans="1:17" x14ac:dyDescent="0.25">
      <c r="A17" s="1569" t="s">
        <v>1620</v>
      </c>
      <c r="B17" s="1664"/>
      <c r="C17" s="1664"/>
      <c r="D17" s="1664"/>
      <c r="E17" s="1664"/>
      <c r="F17" s="1664"/>
      <c r="G17" s="1664"/>
      <c r="H17" s="1664"/>
      <c r="I17" s="1664"/>
      <c r="J17" s="1664"/>
      <c r="K17" s="1664"/>
      <c r="L17" s="1664">
        <v>76</v>
      </c>
      <c r="M17" s="1664">
        <v>79</v>
      </c>
      <c r="N17" s="1664">
        <v>81</v>
      </c>
      <c r="O17" s="1664">
        <v>79</v>
      </c>
      <c r="P17" s="1664">
        <v>74</v>
      </c>
      <c r="Q17" s="1664"/>
    </row>
    <row r="18" spans="1:17" x14ac:dyDescent="0.25">
      <c r="A18" s="1569" t="s">
        <v>587</v>
      </c>
      <c r="B18" s="1664">
        <v>119</v>
      </c>
      <c r="C18" s="1664">
        <v>117</v>
      </c>
      <c r="D18" s="1664">
        <v>115</v>
      </c>
      <c r="E18" s="1664">
        <v>111</v>
      </c>
      <c r="F18" s="1664">
        <v>118</v>
      </c>
      <c r="G18" s="1664">
        <v>117</v>
      </c>
      <c r="H18" s="1664">
        <v>110</v>
      </c>
      <c r="I18" s="1664">
        <v>83</v>
      </c>
      <c r="J18" s="1664">
        <v>105</v>
      </c>
      <c r="K18" s="1664">
        <v>121</v>
      </c>
      <c r="L18" s="1664">
        <v>124</v>
      </c>
      <c r="M18" s="1664">
        <v>112</v>
      </c>
      <c r="N18" s="1664">
        <v>97</v>
      </c>
      <c r="O18" s="1664">
        <v>72</v>
      </c>
      <c r="P18" s="1664">
        <v>100</v>
      </c>
      <c r="Q18" s="1664"/>
    </row>
    <row r="19" spans="1:17" x14ac:dyDescent="0.25">
      <c r="A19" s="1666" t="s">
        <v>1621</v>
      </c>
      <c r="B19" s="1664">
        <f t="shared" ref="B19:K19" si="0">SUM(B8:B18)</f>
        <v>1022</v>
      </c>
      <c r="C19" s="1664">
        <f t="shared" si="0"/>
        <v>962</v>
      </c>
      <c r="D19" s="1664">
        <f t="shared" si="0"/>
        <v>1003</v>
      </c>
      <c r="E19" s="1664">
        <f t="shared" si="0"/>
        <v>956</v>
      </c>
      <c r="F19" s="1664">
        <f t="shared" si="0"/>
        <v>971</v>
      </c>
      <c r="G19" s="1664">
        <f t="shared" si="0"/>
        <v>951</v>
      </c>
      <c r="H19" s="1664">
        <f t="shared" si="0"/>
        <v>889</v>
      </c>
      <c r="I19" s="1664">
        <f t="shared" si="0"/>
        <v>736</v>
      </c>
      <c r="J19" s="1664">
        <f t="shared" si="0"/>
        <v>906</v>
      </c>
      <c r="K19" s="1664">
        <f t="shared" si="0"/>
        <v>1198</v>
      </c>
      <c r="L19" s="1664">
        <f t="shared" ref="L19:Q19" si="1">SUM(L7:L18)</f>
        <v>1442</v>
      </c>
      <c r="M19" s="1664">
        <f t="shared" si="1"/>
        <v>1501</v>
      </c>
      <c r="N19" s="1664">
        <f t="shared" si="1"/>
        <v>1478</v>
      </c>
      <c r="O19" s="1664">
        <f t="shared" si="1"/>
        <v>1364</v>
      </c>
      <c r="P19" s="1664">
        <f t="shared" si="1"/>
        <v>1279</v>
      </c>
      <c r="Q19" s="1664">
        <f t="shared" si="1"/>
        <v>0</v>
      </c>
    </row>
    <row r="20" spans="1:17" x14ac:dyDescent="0.25">
      <c r="A20" s="1667" t="s">
        <v>1622</v>
      </c>
      <c r="B20" s="1668">
        <v>0.94</v>
      </c>
      <c r="C20" s="1668">
        <v>0.89</v>
      </c>
      <c r="D20" s="1668">
        <v>0.93</v>
      </c>
      <c r="E20" s="1668">
        <v>0.88</v>
      </c>
      <c r="F20" s="1668">
        <v>0.94</v>
      </c>
      <c r="G20" s="1668">
        <v>0.92</v>
      </c>
      <c r="H20" s="1668">
        <v>0.92</v>
      </c>
      <c r="I20" s="1668">
        <v>0.83</v>
      </c>
      <c r="J20" s="1668">
        <v>0.86</v>
      </c>
      <c r="K20" s="1668">
        <v>0.99</v>
      </c>
      <c r="L20" s="1668">
        <v>0.99</v>
      </c>
      <c r="M20" s="1668">
        <v>0.95</v>
      </c>
      <c r="N20" s="1668">
        <v>0.94</v>
      </c>
      <c r="O20" s="1668">
        <v>0.92</v>
      </c>
      <c r="P20" s="1668">
        <v>0.89</v>
      </c>
      <c r="Q20" s="1668"/>
    </row>
    <row r="21" spans="1:17" x14ac:dyDescent="0.25">
      <c r="A21" s="1669"/>
    </row>
    <row r="23" spans="1:17" x14ac:dyDescent="0.25">
      <c r="A23" s="1669"/>
    </row>
    <row r="24" spans="1:17" ht="19.2" x14ac:dyDescent="0.35">
      <c r="A24" s="2224" t="s">
        <v>589</v>
      </c>
      <c r="B24" s="2224"/>
      <c r="C24" s="2224"/>
      <c r="D24" s="2224"/>
      <c r="E24" s="2224"/>
      <c r="F24" s="2224"/>
      <c r="G24" s="2224"/>
      <c r="H24" s="2224"/>
      <c r="I24" s="2224"/>
      <c r="J24" s="2224"/>
      <c r="K24" s="2224"/>
      <c r="L24" s="2224"/>
      <c r="M24" s="2224"/>
      <c r="N24" s="2224"/>
      <c r="O24" s="2224"/>
      <c r="P24" s="2224"/>
    </row>
    <row r="26" spans="1:17" x14ac:dyDescent="0.25">
      <c r="A26" s="1654"/>
      <c r="B26" s="1657"/>
      <c r="C26" s="1657"/>
      <c r="D26" s="1657"/>
      <c r="E26" s="1655"/>
      <c r="F26" s="1654"/>
      <c r="G26" s="1657"/>
      <c r="H26" s="1657"/>
      <c r="I26" s="1657"/>
      <c r="J26" s="1657"/>
      <c r="K26" s="1657"/>
      <c r="L26" s="1657"/>
      <c r="M26" s="1657"/>
      <c r="N26" s="1657"/>
      <c r="O26" s="1657"/>
      <c r="P26" s="1657"/>
      <c r="Q26" s="1657"/>
    </row>
    <row r="27" spans="1:17" x14ac:dyDescent="0.25">
      <c r="A27" s="1658"/>
      <c r="B27" s="1670"/>
      <c r="C27" s="1670"/>
      <c r="D27" s="1670"/>
      <c r="F27" s="1660"/>
      <c r="G27" s="1661"/>
      <c r="H27" s="1661"/>
      <c r="I27" s="1661"/>
      <c r="J27" s="1661"/>
      <c r="K27" s="1661"/>
      <c r="L27" s="1661"/>
      <c r="M27" s="1661"/>
      <c r="N27" s="1661"/>
      <c r="O27" s="1661"/>
      <c r="P27" s="1661"/>
      <c r="Q27" s="1661"/>
    </row>
    <row r="28" spans="1:17" x14ac:dyDescent="0.25">
      <c r="A28" s="1662" t="s">
        <v>1615</v>
      </c>
      <c r="B28" s="1662">
        <v>2001</v>
      </c>
      <c r="C28" s="1663">
        <v>2002</v>
      </c>
      <c r="D28" s="1663">
        <v>2003</v>
      </c>
      <c r="E28" s="1663">
        <v>2004</v>
      </c>
      <c r="F28" s="1663">
        <v>2005</v>
      </c>
      <c r="G28" s="1663">
        <v>2006</v>
      </c>
      <c r="H28" s="1663">
        <v>2007</v>
      </c>
      <c r="I28" s="1663">
        <v>2008</v>
      </c>
      <c r="J28" s="1663">
        <v>2009</v>
      </c>
      <c r="K28" s="1663">
        <v>2010</v>
      </c>
      <c r="L28" s="1663">
        <v>2011</v>
      </c>
      <c r="M28" s="1663">
        <v>2012</v>
      </c>
      <c r="N28" s="1663">
        <v>2013</v>
      </c>
      <c r="O28" s="1663">
        <v>2014</v>
      </c>
      <c r="P28" s="1663">
        <v>2015</v>
      </c>
      <c r="Q28" s="1663">
        <v>2016</v>
      </c>
    </row>
    <row r="29" spans="1:17" x14ac:dyDescent="0.25">
      <c r="A29" s="1569" t="s">
        <v>1616</v>
      </c>
      <c r="B29" s="1663"/>
      <c r="C29" s="1663"/>
      <c r="D29" s="1663"/>
      <c r="E29" s="1663"/>
      <c r="F29" s="1663"/>
      <c r="G29" s="1663"/>
      <c r="H29" s="1663"/>
      <c r="I29" s="1663"/>
      <c r="J29" s="1663"/>
      <c r="K29" s="1663"/>
      <c r="L29" s="1664">
        <v>172</v>
      </c>
      <c r="M29" s="1664">
        <v>333</v>
      </c>
      <c r="N29" s="1664">
        <v>311</v>
      </c>
      <c r="O29" s="1664">
        <v>325</v>
      </c>
      <c r="P29" s="1664">
        <v>297</v>
      </c>
      <c r="Q29" s="1664"/>
    </row>
    <row r="30" spans="1:17" x14ac:dyDescent="0.25">
      <c r="A30" s="1569" t="s">
        <v>582</v>
      </c>
      <c r="B30" s="1664">
        <v>232</v>
      </c>
      <c r="C30" s="1664">
        <v>231</v>
      </c>
      <c r="D30" s="1671">
        <v>252</v>
      </c>
      <c r="E30" s="1671">
        <v>211</v>
      </c>
      <c r="F30" s="1671">
        <v>228</v>
      </c>
      <c r="G30" s="1671">
        <v>202</v>
      </c>
      <c r="H30" s="1671">
        <v>209</v>
      </c>
      <c r="I30" s="1664">
        <v>114</v>
      </c>
      <c r="J30" s="1664">
        <v>169</v>
      </c>
      <c r="K30" s="1664">
        <v>257</v>
      </c>
      <c r="L30" s="1664">
        <v>258</v>
      </c>
      <c r="M30" s="1664">
        <v>242</v>
      </c>
      <c r="N30" s="1664">
        <v>208</v>
      </c>
      <c r="O30" s="1664">
        <v>165</v>
      </c>
      <c r="P30" s="1664">
        <v>115</v>
      </c>
      <c r="Q30" s="1664"/>
    </row>
    <row r="31" spans="1:17" x14ac:dyDescent="0.25">
      <c r="A31" s="1569" t="s">
        <v>1617</v>
      </c>
      <c r="B31" s="1664"/>
      <c r="C31" s="1664"/>
      <c r="D31" s="1671"/>
      <c r="E31" s="1671"/>
      <c r="F31" s="1671"/>
      <c r="G31" s="1671">
        <v>290</v>
      </c>
      <c r="H31" s="1671">
        <v>250</v>
      </c>
      <c r="I31" s="1664">
        <v>276</v>
      </c>
      <c r="J31" s="1664">
        <v>285</v>
      </c>
      <c r="K31" s="1664">
        <v>290</v>
      </c>
      <c r="L31" s="1664">
        <v>286</v>
      </c>
      <c r="M31" s="1664">
        <v>279</v>
      </c>
      <c r="N31" s="1664">
        <v>284</v>
      </c>
      <c r="O31" s="1664">
        <v>280</v>
      </c>
      <c r="P31" s="1664">
        <v>260</v>
      </c>
      <c r="Q31" s="1664"/>
    </row>
    <row r="32" spans="1:17" x14ac:dyDescent="0.25">
      <c r="A32" s="1569" t="s">
        <v>583</v>
      </c>
      <c r="B32" s="1664">
        <v>49</v>
      </c>
      <c r="C32" s="1664">
        <v>42</v>
      </c>
      <c r="D32" s="1671">
        <v>0</v>
      </c>
      <c r="E32" s="1671">
        <v>80</v>
      </c>
      <c r="F32" s="1671">
        <v>80</v>
      </c>
      <c r="G32" s="1671">
        <v>83</v>
      </c>
      <c r="H32" s="1671">
        <v>74</v>
      </c>
      <c r="I32" s="1664">
        <v>67</v>
      </c>
      <c r="J32" s="1664">
        <v>82</v>
      </c>
      <c r="K32" s="1664">
        <v>97</v>
      </c>
      <c r="L32" s="1664">
        <v>92</v>
      </c>
      <c r="M32" s="1664">
        <v>84</v>
      </c>
      <c r="N32" s="1664">
        <v>83</v>
      </c>
      <c r="O32" s="1664">
        <v>85</v>
      </c>
      <c r="P32" s="1664">
        <v>86</v>
      </c>
      <c r="Q32" s="1664"/>
    </row>
    <row r="33" spans="1:17" hidden="1" x14ac:dyDescent="0.25">
      <c r="A33" s="1569" t="s">
        <v>584</v>
      </c>
      <c r="B33" s="1664">
        <v>96</v>
      </c>
      <c r="C33" s="1664">
        <v>88</v>
      </c>
      <c r="D33" s="1671">
        <v>104</v>
      </c>
      <c r="E33" s="1671">
        <v>80</v>
      </c>
      <c r="F33" s="1671">
        <v>46</v>
      </c>
      <c r="G33" s="1671">
        <v>56</v>
      </c>
      <c r="H33" s="1671"/>
      <c r="I33" s="1664"/>
      <c r="J33" s="1664"/>
      <c r="K33" s="1664"/>
      <c r="L33" s="1664"/>
      <c r="M33" s="1664"/>
      <c r="N33" s="1664"/>
      <c r="O33" s="1664"/>
      <c r="P33" s="1664"/>
      <c r="Q33" s="1664"/>
    </row>
    <row r="34" spans="1:17" hidden="1" x14ac:dyDescent="0.25">
      <c r="A34" s="1569" t="s">
        <v>588</v>
      </c>
      <c r="B34" s="1664">
        <v>132</v>
      </c>
      <c r="C34" s="1664">
        <v>117</v>
      </c>
      <c r="D34" s="1671">
        <v>130</v>
      </c>
      <c r="E34" s="1671">
        <v>97</v>
      </c>
      <c r="F34" s="1671">
        <v>114</v>
      </c>
      <c r="G34" s="1671"/>
      <c r="H34" s="1671"/>
      <c r="I34" s="1664"/>
      <c r="J34" s="1664"/>
      <c r="K34" s="1664"/>
      <c r="L34" s="1664"/>
      <c r="M34" s="1664"/>
      <c r="N34" s="1664"/>
      <c r="O34" s="1664"/>
      <c r="P34" s="1664"/>
      <c r="Q34" s="1664"/>
    </row>
    <row r="35" spans="1:17" x14ac:dyDescent="0.25">
      <c r="A35" s="1569" t="s">
        <v>1618</v>
      </c>
      <c r="B35" s="1664"/>
      <c r="C35" s="1664"/>
      <c r="D35" s="1671"/>
      <c r="E35" s="1671"/>
      <c r="F35" s="1671"/>
      <c r="G35" s="1671"/>
      <c r="H35" s="1671"/>
      <c r="I35" s="1664"/>
      <c r="J35" s="1664"/>
      <c r="K35" s="1664">
        <v>80</v>
      </c>
      <c r="L35" s="1664">
        <v>73</v>
      </c>
      <c r="M35" s="1665"/>
      <c r="N35" s="1665"/>
      <c r="O35" s="1665"/>
      <c r="P35" s="1665"/>
      <c r="Q35" s="1665"/>
    </row>
    <row r="36" spans="1:17" x14ac:dyDescent="0.25">
      <c r="A36" s="1569" t="s">
        <v>586</v>
      </c>
      <c r="B36" s="1664">
        <v>223</v>
      </c>
      <c r="C36" s="1664">
        <v>218</v>
      </c>
      <c r="D36" s="1671">
        <v>219</v>
      </c>
      <c r="E36" s="1671">
        <v>194</v>
      </c>
      <c r="F36" s="1671">
        <v>211</v>
      </c>
      <c r="G36" s="1671"/>
      <c r="H36" s="1671">
        <v>70</v>
      </c>
      <c r="I36" s="1664">
        <v>74</v>
      </c>
      <c r="J36" s="1664">
        <v>170</v>
      </c>
      <c r="K36" s="1664">
        <v>197</v>
      </c>
      <c r="L36" s="1664">
        <v>209</v>
      </c>
      <c r="M36" s="1664">
        <v>185</v>
      </c>
      <c r="N36" s="1664">
        <v>198</v>
      </c>
      <c r="O36" s="1664">
        <v>212</v>
      </c>
      <c r="P36" s="1664">
        <v>185</v>
      </c>
      <c r="Q36" s="1664"/>
    </row>
    <row r="37" spans="1:17" x14ac:dyDescent="0.25">
      <c r="A37" s="1569" t="s">
        <v>1619</v>
      </c>
      <c r="B37" s="1664"/>
      <c r="C37" s="1664"/>
      <c r="D37" s="1671"/>
      <c r="E37" s="1671"/>
      <c r="F37" s="1671"/>
      <c r="G37" s="1671"/>
      <c r="H37" s="1671"/>
      <c r="I37" s="1664"/>
      <c r="J37" s="1664"/>
      <c r="K37" s="1664">
        <v>26</v>
      </c>
      <c r="L37" s="1664">
        <v>23</v>
      </c>
      <c r="M37" s="1664">
        <v>28</v>
      </c>
      <c r="N37" s="1664">
        <v>27</v>
      </c>
      <c r="O37" s="1664">
        <v>24</v>
      </c>
      <c r="P37" s="1665"/>
      <c r="Q37" s="1665"/>
    </row>
    <row r="38" spans="1:17" x14ac:dyDescent="0.25">
      <c r="A38" s="1569" t="s">
        <v>585</v>
      </c>
      <c r="B38" s="1664">
        <v>67</v>
      </c>
      <c r="C38" s="1664">
        <v>62</v>
      </c>
      <c r="D38" s="1671">
        <v>66</v>
      </c>
      <c r="E38" s="1671">
        <v>64</v>
      </c>
      <c r="F38" s="1671">
        <v>66</v>
      </c>
      <c r="G38" s="1671">
        <v>68</v>
      </c>
      <c r="H38" s="1671">
        <v>65</v>
      </c>
      <c r="I38" s="1664">
        <v>65</v>
      </c>
      <c r="J38" s="1664">
        <v>68</v>
      </c>
      <c r="K38" s="1664">
        <v>64</v>
      </c>
      <c r="L38" s="1664">
        <v>61</v>
      </c>
      <c r="M38" s="1664">
        <v>59</v>
      </c>
      <c r="N38" s="1664">
        <v>66</v>
      </c>
      <c r="O38" s="1664">
        <v>61</v>
      </c>
      <c r="P38" s="1664">
        <v>53</v>
      </c>
      <c r="Q38" s="1664"/>
    </row>
    <row r="39" spans="1:17" x14ac:dyDescent="0.25">
      <c r="A39" s="1569" t="s">
        <v>1620</v>
      </c>
      <c r="B39" s="1664"/>
      <c r="C39" s="1664"/>
      <c r="D39" s="1671"/>
      <c r="E39" s="1671"/>
      <c r="F39" s="1671"/>
      <c r="G39" s="1671"/>
      <c r="H39" s="1671"/>
      <c r="I39" s="1664"/>
      <c r="J39" s="1664"/>
      <c r="K39" s="1664"/>
      <c r="L39" s="1664">
        <v>81</v>
      </c>
      <c r="M39" s="1664">
        <v>74</v>
      </c>
      <c r="N39" s="1664">
        <v>69</v>
      </c>
      <c r="O39" s="1664">
        <v>71</v>
      </c>
      <c r="P39" s="1664">
        <v>68</v>
      </c>
      <c r="Q39" s="1664"/>
    </row>
    <row r="40" spans="1:17" x14ac:dyDescent="0.25">
      <c r="A40" s="1569" t="s">
        <v>587</v>
      </c>
      <c r="B40" s="1664">
        <v>98</v>
      </c>
      <c r="C40" s="1664">
        <v>106</v>
      </c>
      <c r="D40" s="1671">
        <v>111</v>
      </c>
      <c r="E40" s="1671">
        <v>99</v>
      </c>
      <c r="F40" s="1671">
        <v>112</v>
      </c>
      <c r="G40" s="1671">
        <v>114</v>
      </c>
      <c r="H40" s="1671">
        <v>94</v>
      </c>
      <c r="I40" s="1664">
        <v>81</v>
      </c>
      <c r="J40" s="1664">
        <v>102</v>
      </c>
      <c r="K40" s="1664">
        <v>116</v>
      </c>
      <c r="L40" s="1664">
        <v>118</v>
      </c>
      <c r="M40" s="1664">
        <v>107</v>
      </c>
      <c r="N40" s="1664">
        <v>80</v>
      </c>
      <c r="O40" s="1664">
        <v>66</v>
      </c>
      <c r="P40" s="1664">
        <v>82</v>
      </c>
      <c r="Q40" s="1664"/>
    </row>
    <row r="41" spans="1:17" x14ac:dyDescent="0.25">
      <c r="A41" s="1666" t="s">
        <v>1621</v>
      </c>
      <c r="B41" s="1664">
        <f t="shared" ref="B41:K41" si="2">SUM(B30:B40)</f>
        <v>897</v>
      </c>
      <c r="C41" s="1664">
        <f t="shared" si="2"/>
        <v>864</v>
      </c>
      <c r="D41" s="1664">
        <f t="shared" si="2"/>
        <v>882</v>
      </c>
      <c r="E41" s="1664">
        <f t="shared" si="2"/>
        <v>825</v>
      </c>
      <c r="F41" s="1664">
        <f t="shared" si="2"/>
        <v>857</v>
      </c>
      <c r="G41" s="1664">
        <f t="shared" si="2"/>
        <v>813</v>
      </c>
      <c r="H41" s="1664">
        <f t="shared" si="2"/>
        <v>762</v>
      </c>
      <c r="I41" s="1664">
        <f t="shared" si="2"/>
        <v>677</v>
      </c>
      <c r="J41" s="1664">
        <f t="shared" si="2"/>
        <v>876</v>
      </c>
      <c r="K41" s="1664">
        <f t="shared" si="2"/>
        <v>1127</v>
      </c>
      <c r="L41" s="1664">
        <f t="shared" ref="L41:Q41" si="3">SUM(L29:L40)</f>
        <v>1373</v>
      </c>
      <c r="M41" s="1664">
        <f t="shared" si="3"/>
        <v>1391</v>
      </c>
      <c r="N41" s="1664">
        <f t="shared" si="3"/>
        <v>1326</v>
      </c>
      <c r="O41" s="1664">
        <f t="shared" si="3"/>
        <v>1289</v>
      </c>
      <c r="P41" s="1664">
        <f t="shared" si="3"/>
        <v>1146</v>
      </c>
      <c r="Q41" s="1664">
        <f t="shared" si="3"/>
        <v>0</v>
      </c>
    </row>
    <row r="42" spans="1:17" x14ac:dyDescent="0.25">
      <c r="A42" s="1667" t="s">
        <v>1622</v>
      </c>
      <c r="B42" s="1668">
        <v>0.86</v>
      </c>
      <c r="C42" s="1668">
        <v>0.86</v>
      </c>
      <c r="D42" s="1668">
        <v>0.81</v>
      </c>
      <c r="E42" s="1668">
        <v>0.76</v>
      </c>
      <c r="F42" s="1668">
        <v>0.83</v>
      </c>
      <c r="G42" s="1668">
        <v>0.86</v>
      </c>
      <c r="H42" s="1668">
        <v>0.79</v>
      </c>
      <c r="I42" s="1668">
        <v>0.77</v>
      </c>
      <c r="J42" s="1668">
        <v>0.83</v>
      </c>
      <c r="K42" s="1668">
        <v>0.93</v>
      </c>
      <c r="L42" s="1668">
        <v>0.91</v>
      </c>
      <c r="M42" s="1668">
        <v>0.88</v>
      </c>
      <c r="N42" s="1668">
        <v>0.84</v>
      </c>
      <c r="O42" s="1668">
        <v>0.88</v>
      </c>
      <c r="P42" s="1668">
        <v>0.79</v>
      </c>
      <c r="Q42" s="1668"/>
    </row>
    <row r="43" spans="1:17" x14ac:dyDescent="0.25">
      <c r="A43" s="1669"/>
    </row>
    <row r="44" spans="1:17" x14ac:dyDescent="0.25">
      <c r="A44" s="1672" t="s">
        <v>1623</v>
      </c>
      <c r="B44" s="1673">
        <f t="shared" ref="B44:G44" si="4">+B42-B20</f>
        <v>-7.999999999999996E-2</v>
      </c>
      <c r="C44" s="1673">
        <f t="shared" si="4"/>
        <v>-3.0000000000000027E-2</v>
      </c>
      <c r="D44" s="1673">
        <f t="shared" si="4"/>
        <v>-0.12</v>
      </c>
      <c r="E44" s="1673">
        <f t="shared" si="4"/>
        <v>-0.12</v>
      </c>
      <c r="F44" s="1673">
        <f t="shared" si="4"/>
        <v>-0.10999999999999999</v>
      </c>
      <c r="G44" s="1673">
        <f t="shared" si="4"/>
        <v>-6.0000000000000053E-2</v>
      </c>
      <c r="H44" s="1276"/>
      <c r="K44" s="1674">
        <f t="shared" ref="K44:P44" si="5">+K42-K20</f>
        <v>-5.9999999999999942E-2</v>
      </c>
      <c r="L44" s="1674">
        <f t="shared" si="5"/>
        <v>-7.999999999999996E-2</v>
      </c>
      <c r="M44" s="1674">
        <f t="shared" si="5"/>
        <v>-6.9999999999999951E-2</v>
      </c>
      <c r="N44" s="1674">
        <f t="shared" si="5"/>
        <v>-9.9999999999999978E-2</v>
      </c>
      <c r="O44" s="1674">
        <f t="shared" si="5"/>
        <v>-4.0000000000000036E-2</v>
      </c>
      <c r="P44" s="1674">
        <f t="shared" si="5"/>
        <v>-9.9999999999999978E-2</v>
      </c>
      <c r="Q44" s="1674">
        <f>+Q42-Q20</f>
        <v>0</v>
      </c>
    </row>
  </sheetData>
  <mergeCells count="3">
    <mergeCell ref="A2:P2"/>
    <mergeCell ref="A24:P24"/>
    <mergeCell ref="R1:AA1"/>
  </mergeCells>
  <printOptions verticalCentered="1"/>
  <pageMargins left="1.5" right="1.25" top="2" bottom="2" header="0.5" footer="0.5"/>
  <pageSetup scale="75" orientation="portrait" r:id="rId1"/>
  <headerFooter alignWithMargins="0">
    <oddFooter>&amp;L&amp;7Source: Office of Residence Life</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2"/>
  <sheetViews>
    <sheetView workbookViewId="0">
      <selection sqref="A1:S1"/>
    </sheetView>
  </sheetViews>
  <sheetFormatPr defaultColWidth="6.6640625" defaultRowHeight="13.2" x14ac:dyDescent="0.25"/>
  <cols>
    <col min="1" max="1" width="35.6640625" style="1203" customWidth="1"/>
    <col min="2" max="13" width="9.6640625" style="1201" hidden="1" customWidth="1"/>
    <col min="14" max="14" width="9.44140625" style="1201" hidden="1" customWidth="1"/>
    <col min="15" max="16" width="9.6640625" style="1201" customWidth="1"/>
    <col min="17" max="18" width="9.88671875" style="1201" customWidth="1"/>
    <col min="19" max="38" width="10" style="1201" customWidth="1"/>
    <col min="39" max="16384" width="6.6640625" style="1201"/>
  </cols>
  <sheetData>
    <row r="1" spans="1:22" ht="30" customHeight="1" x14ac:dyDescent="0.35">
      <c r="A1" s="2226" t="s">
        <v>529</v>
      </c>
      <c r="B1" s="2226"/>
      <c r="C1" s="2226"/>
      <c r="D1" s="2226"/>
      <c r="E1" s="2226"/>
      <c r="F1" s="2226"/>
      <c r="G1" s="2226"/>
      <c r="H1" s="2226"/>
      <c r="I1" s="2226"/>
      <c r="J1" s="2226"/>
      <c r="K1" s="2226"/>
      <c r="L1" s="2226"/>
      <c r="M1" s="2226"/>
      <c r="N1" s="2226"/>
      <c r="O1" s="2226"/>
      <c r="P1" s="2226"/>
      <c r="Q1" s="2226"/>
      <c r="R1" s="2226"/>
      <c r="S1" s="2226"/>
    </row>
    <row r="3" spans="1:22" x14ac:dyDescent="0.25">
      <c r="A3" s="1206" t="s">
        <v>530</v>
      </c>
      <c r="B3" s="1207" t="s">
        <v>1350</v>
      </c>
      <c r="C3" s="1207" t="s">
        <v>531</v>
      </c>
      <c r="D3" s="1207" t="s">
        <v>795</v>
      </c>
      <c r="E3" s="1207" t="s">
        <v>652</v>
      </c>
      <c r="F3" s="1207" t="s">
        <v>1359</v>
      </c>
      <c r="G3" s="1207" t="s">
        <v>1105</v>
      </c>
      <c r="H3" s="1207" t="s">
        <v>283</v>
      </c>
      <c r="I3" s="1207" t="s">
        <v>1314</v>
      </c>
      <c r="J3" s="1207" t="s">
        <v>372</v>
      </c>
      <c r="K3" s="1207" t="s">
        <v>615</v>
      </c>
      <c r="L3" s="1207" t="s">
        <v>1418</v>
      </c>
      <c r="M3" s="1207" t="s">
        <v>1446</v>
      </c>
      <c r="N3" s="1207" t="s">
        <v>1447</v>
      </c>
      <c r="O3" s="1207" t="s">
        <v>1438</v>
      </c>
      <c r="P3" s="1207" t="s">
        <v>1549</v>
      </c>
      <c r="Q3" s="1207" t="s">
        <v>1611</v>
      </c>
      <c r="R3" s="1207" t="s">
        <v>1639</v>
      </c>
      <c r="S3" s="1207" t="s">
        <v>1721</v>
      </c>
      <c r="V3" s="1382"/>
    </row>
    <row r="4" spans="1:22" ht="12.75" customHeight="1" x14ac:dyDescent="0.25">
      <c r="A4" s="1208"/>
      <c r="B4" s="1209"/>
      <c r="C4" s="1209"/>
      <c r="D4" s="1209"/>
      <c r="E4" s="1209"/>
      <c r="F4" s="1209"/>
      <c r="G4" s="1209"/>
      <c r="H4" s="1209"/>
      <c r="I4" s="1209"/>
      <c r="J4" s="1209"/>
      <c r="K4" s="1209"/>
      <c r="L4" s="1209"/>
      <c r="M4" s="1209"/>
      <c r="N4" s="1209"/>
      <c r="O4" s="1209"/>
      <c r="P4" s="1209"/>
      <c r="Q4" s="1209"/>
      <c r="R4" s="1209"/>
      <c r="S4" s="1209"/>
      <c r="V4" s="1382"/>
    </row>
    <row r="5" spans="1:22" ht="12.75" customHeight="1" x14ac:dyDescent="0.25">
      <c r="A5" s="1210" t="s">
        <v>532</v>
      </c>
      <c r="B5" s="1211"/>
      <c r="C5" s="1211"/>
      <c r="D5" s="2102"/>
      <c r="E5" s="2102"/>
      <c r="F5" s="2102"/>
      <c r="G5" s="2102"/>
      <c r="H5" s="2102"/>
      <c r="I5" s="2102"/>
      <c r="J5" s="2102"/>
      <c r="K5" s="2102"/>
      <c r="L5" s="2102"/>
      <c r="M5" s="2102"/>
      <c r="N5" s="2102"/>
      <c r="O5" s="2102"/>
      <c r="P5" s="2102"/>
      <c r="Q5" s="2102"/>
      <c r="R5" s="2102"/>
      <c r="S5" s="2102"/>
      <c r="V5" s="1382"/>
    </row>
    <row r="6" spans="1:22" ht="12.75" customHeight="1" x14ac:dyDescent="0.25">
      <c r="A6" s="1210" t="s">
        <v>533</v>
      </c>
      <c r="B6" s="1211">
        <v>5</v>
      </c>
      <c r="C6" s="1211">
        <v>5</v>
      </c>
      <c r="D6" s="1211">
        <v>5</v>
      </c>
      <c r="E6" s="1211">
        <v>5</v>
      </c>
      <c r="F6" s="1211">
        <v>5</v>
      </c>
      <c r="G6" s="1211">
        <v>5</v>
      </c>
      <c r="H6" s="1211">
        <v>5</v>
      </c>
      <c r="I6" s="1211">
        <v>5</v>
      </c>
      <c r="J6" s="1211">
        <v>5</v>
      </c>
      <c r="K6" s="1211">
        <v>5</v>
      </c>
      <c r="L6" s="1211">
        <v>5</v>
      </c>
      <c r="M6" s="1211">
        <v>4</v>
      </c>
      <c r="N6" s="1211">
        <v>4</v>
      </c>
      <c r="O6" s="1211">
        <v>4</v>
      </c>
      <c r="P6" s="1211">
        <v>3</v>
      </c>
      <c r="Q6" s="1211">
        <v>3</v>
      </c>
      <c r="R6" s="1211">
        <v>3</v>
      </c>
      <c r="S6" s="1211">
        <v>3</v>
      </c>
      <c r="V6" s="1382"/>
    </row>
    <row r="7" spans="1:22" ht="12.75" customHeight="1" x14ac:dyDescent="0.25">
      <c r="A7" s="1210" t="s">
        <v>534</v>
      </c>
      <c r="B7" s="1211">
        <v>5</v>
      </c>
      <c r="C7" s="1211">
        <v>5</v>
      </c>
      <c r="D7" s="2102">
        <v>5</v>
      </c>
      <c r="E7" s="2102">
        <v>5</v>
      </c>
      <c r="F7" s="2102">
        <v>5</v>
      </c>
      <c r="G7" s="2102">
        <v>5</v>
      </c>
      <c r="H7" s="2102">
        <v>5</v>
      </c>
      <c r="I7" s="2102">
        <v>5</v>
      </c>
      <c r="J7" s="2102">
        <v>5</v>
      </c>
      <c r="K7" s="2102">
        <v>5</v>
      </c>
      <c r="L7" s="2102">
        <v>5</v>
      </c>
      <c r="M7" s="2102">
        <v>4</v>
      </c>
      <c r="N7" s="2102">
        <v>3</v>
      </c>
      <c r="O7" s="2102">
        <v>3</v>
      </c>
      <c r="P7" s="2102">
        <v>3</v>
      </c>
      <c r="Q7" s="2102">
        <v>3</v>
      </c>
      <c r="R7" s="2102">
        <v>3</v>
      </c>
      <c r="S7" s="2102">
        <v>3</v>
      </c>
      <c r="V7" s="1382"/>
    </row>
    <row r="8" spans="1:22" ht="12.75" customHeight="1" x14ac:dyDescent="0.25">
      <c r="A8" s="1208"/>
      <c r="B8" s="1209"/>
      <c r="C8" s="1209"/>
      <c r="D8" s="1209"/>
      <c r="E8" s="1209"/>
      <c r="F8" s="1209"/>
      <c r="G8" s="1209"/>
      <c r="H8" s="1209"/>
      <c r="I8" s="1209"/>
      <c r="J8" s="1209"/>
      <c r="K8" s="1209"/>
      <c r="L8" s="1209"/>
      <c r="M8" s="1209"/>
      <c r="N8" s="1209"/>
      <c r="O8" s="1209"/>
      <c r="P8" s="1209"/>
      <c r="Q8" s="1209"/>
      <c r="R8" s="1209"/>
      <c r="S8" s="1209"/>
      <c r="V8" s="1382"/>
    </row>
    <row r="9" spans="1:22" ht="12.75" customHeight="1" x14ac:dyDescent="0.25">
      <c r="A9" s="1212" t="s">
        <v>1198</v>
      </c>
      <c r="B9" s="1213"/>
      <c r="C9" s="1213"/>
      <c r="D9" s="1213"/>
      <c r="E9" s="1213"/>
      <c r="F9" s="1213"/>
      <c r="G9" s="1213"/>
      <c r="H9" s="1213"/>
      <c r="I9" s="1213"/>
      <c r="J9" s="1213"/>
      <c r="K9" s="1213"/>
      <c r="L9" s="1213"/>
      <c r="M9" s="1213"/>
      <c r="N9" s="1213"/>
      <c r="O9" s="1213"/>
      <c r="P9" s="1213"/>
      <c r="Q9" s="1213"/>
      <c r="R9" s="1213"/>
      <c r="S9" s="1213"/>
      <c r="V9" s="1382"/>
    </row>
    <row r="10" spans="1:22" ht="12.75" customHeight="1" x14ac:dyDescent="0.25">
      <c r="A10" s="1212" t="s">
        <v>128</v>
      </c>
      <c r="B10" s="1213"/>
      <c r="C10" s="1213"/>
      <c r="D10" s="1213"/>
      <c r="E10" s="1213"/>
      <c r="F10" s="1214">
        <v>7722</v>
      </c>
      <c r="G10" s="1214">
        <v>16437</v>
      </c>
      <c r="H10" s="1214">
        <v>26211</v>
      </c>
      <c r="I10" s="1214">
        <v>59437</v>
      </c>
      <c r="J10" s="1214">
        <v>73598</v>
      </c>
      <c r="K10" s="1214">
        <v>80052</v>
      </c>
      <c r="L10" s="1215">
        <v>63589</v>
      </c>
      <c r="M10" s="1215">
        <v>99029</v>
      </c>
      <c r="N10" s="1215">
        <v>164056</v>
      </c>
      <c r="O10" s="1215">
        <v>233908</v>
      </c>
      <c r="P10" s="1215">
        <v>370637</v>
      </c>
      <c r="Q10" s="1215">
        <v>589600</v>
      </c>
      <c r="R10" s="1215">
        <v>677491</v>
      </c>
      <c r="S10" s="1215">
        <v>703759</v>
      </c>
      <c r="V10" s="1382"/>
    </row>
    <row r="11" spans="1:22" ht="12.75" customHeight="1" x14ac:dyDescent="0.25">
      <c r="A11" s="1212" t="s">
        <v>1590</v>
      </c>
      <c r="B11" s="1213"/>
      <c r="C11" s="1213"/>
      <c r="D11" s="1213"/>
      <c r="E11" s="1214">
        <v>75244</v>
      </c>
      <c r="F11" s="1214">
        <v>93869</v>
      </c>
      <c r="G11" s="1214">
        <v>107722</v>
      </c>
      <c r="H11" s="1214">
        <v>124933</v>
      </c>
      <c r="I11" s="1214">
        <v>406654</v>
      </c>
      <c r="J11" s="1214">
        <v>154017</v>
      </c>
      <c r="K11" s="1214">
        <v>100185</v>
      </c>
      <c r="L11" s="1215">
        <v>29657</v>
      </c>
      <c r="M11" s="1215">
        <v>32723</v>
      </c>
      <c r="N11" s="1216" t="s">
        <v>1099</v>
      </c>
      <c r="O11" s="1216">
        <v>17382</v>
      </c>
      <c r="P11" s="1216">
        <v>8927</v>
      </c>
      <c r="Q11" s="1216">
        <v>8449</v>
      </c>
      <c r="R11" s="1216"/>
      <c r="S11" s="1216">
        <v>4585</v>
      </c>
      <c r="V11" s="1382"/>
    </row>
    <row r="12" spans="1:22" ht="12.75" customHeight="1" x14ac:dyDescent="0.25">
      <c r="A12" s="1212" t="s">
        <v>129</v>
      </c>
      <c r="B12" s="1213"/>
      <c r="C12" s="1213"/>
      <c r="D12" s="1213"/>
      <c r="E12" s="1213"/>
      <c r="F12" s="1214"/>
      <c r="G12" s="1214">
        <v>2473</v>
      </c>
      <c r="H12" s="1214">
        <v>7994</v>
      </c>
      <c r="I12" s="1214">
        <v>4101</v>
      </c>
      <c r="J12" s="1214">
        <v>3470</v>
      </c>
      <c r="K12" s="1214">
        <v>5305</v>
      </c>
      <c r="L12" s="1216" t="s">
        <v>1099</v>
      </c>
      <c r="M12" s="1216" t="s">
        <v>1099</v>
      </c>
      <c r="N12" s="1216" t="s">
        <v>1099</v>
      </c>
      <c r="O12" s="1216">
        <v>1684</v>
      </c>
      <c r="P12" s="1216">
        <v>1643</v>
      </c>
      <c r="Q12" s="1216">
        <v>21753</v>
      </c>
      <c r="R12" s="1216">
        <v>12916</v>
      </c>
      <c r="S12" s="1216"/>
      <c r="V12" s="1382"/>
    </row>
    <row r="13" spans="1:22" ht="12.75" hidden="1" customHeight="1" x14ac:dyDescent="0.25">
      <c r="A13" s="1212" t="s">
        <v>130</v>
      </c>
      <c r="B13" s="1213"/>
      <c r="C13" s="1213"/>
      <c r="D13" s="1213"/>
      <c r="E13" s="1214">
        <v>5229</v>
      </c>
      <c r="F13" s="1214">
        <v>7419</v>
      </c>
      <c r="G13" s="1214">
        <v>8912</v>
      </c>
      <c r="H13" s="1214">
        <v>9403</v>
      </c>
      <c r="I13" s="1214">
        <v>6807</v>
      </c>
      <c r="J13" s="1214">
        <v>7136</v>
      </c>
      <c r="K13" s="1214">
        <v>5724</v>
      </c>
      <c r="L13" s="1216" t="s">
        <v>1099</v>
      </c>
      <c r="M13" s="1216" t="s">
        <v>1099</v>
      </c>
      <c r="N13" s="1216" t="s">
        <v>1099</v>
      </c>
      <c r="O13" s="1216" t="s">
        <v>1099</v>
      </c>
      <c r="P13" s="1216" t="s">
        <v>1099</v>
      </c>
      <c r="Q13" s="1216" t="s">
        <v>1099</v>
      </c>
      <c r="R13" s="1216" t="s">
        <v>1099</v>
      </c>
      <c r="S13" s="1216"/>
      <c r="V13" s="1382"/>
    </row>
    <row r="14" spans="1:22" ht="12.75" customHeight="1" x14ac:dyDescent="0.25">
      <c r="A14" s="1212" t="s">
        <v>131</v>
      </c>
      <c r="B14" s="1213"/>
      <c r="C14" s="1213"/>
      <c r="D14" s="1213"/>
      <c r="E14" s="1214">
        <v>35216</v>
      </c>
      <c r="F14" s="1214">
        <v>48787</v>
      </c>
      <c r="G14" s="1202">
        <v>77569</v>
      </c>
      <c r="H14" s="1214">
        <v>79021</v>
      </c>
      <c r="I14" s="1214">
        <v>81339</v>
      </c>
      <c r="J14" s="1214">
        <v>54669</v>
      </c>
      <c r="K14" s="1214">
        <v>55112</v>
      </c>
      <c r="L14" s="1215">
        <v>23015</v>
      </c>
      <c r="M14" s="1215">
        <v>155117</v>
      </c>
      <c r="N14" s="1215">
        <v>121776</v>
      </c>
      <c r="O14" s="1215">
        <v>200609</v>
      </c>
      <c r="P14" s="1215">
        <v>93848</v>
      </c>
      <c r="Q14" s="1215">
        <v>80097</v>
      </c>
      <c r="R14" s="1215">
        <v>84829</v>
      </c>
      <c r="S14" s="1215">
        <v>2639</v>
      </c>
      <c r="V14" s="1382"/>
    </row>
    <row r="15" spans="1:22" ht="12.75" customHeight="1" x14ac:dyDescent="0.25">
      <c r="A15" s="1212" t="s">
        <v>835</v>
      </c>
      <c r="B15" s="1213"/>
      <c r="C15" s="1213"/>
      <c r="D15" s="1213"/>
      <c r="E15" s="1214">
        <v>115689</v>
      </c>
      <c r="F15" s="1214">
        <f>+F10+F11+F13+F14</f>
        <v>157797</v>
      </c>
      <c r="G15" s="1214">
        <f>+G10+G11+G12+G13+G14</f>
        <v>213113</v>
      </c>
      <c r="H15" s="1214">
        <f>+H10+H11+H12+H13+H14</f>
        <v>247562</v>
      </c>
      <c r="I15" s="1217" t="s">
        <v>132</v>
      </c>
      <c r="J15" s="1214">
        <f>+J10+J11+J12+J13+J14</f>
        <v>292890</v>
      </c>
      <c r="K15" s="1214">
        <f>+K10+K11+K12+K13+K14</f>
        <v>246378</v>
      </c>
      <c r="L15" s="1215">
        <f>+L10+L11+N14</f>
        <v>215022</v>
      </c>
      <c r="M15" s="1215">
        <f>+M10+M11+O14</f>
        <v>332361</v>
      </c>
      <c r="N15" s="1215">
        <f>+N10+N14</f>
        <v>285832</v>
      </c>
      <c r="O15" s="1215">
        <f>+O10+O11+O12+O14</f>
        <v>453583</v>
      </c>
      <c r="P15" s="1215">
        <f>+P10+P11+P12+P14</f>
        <v>475055</v>
      </c>
      <c r="Q15" s="1215">
        <f>+Q10+Q11+Q12+Q14</f>
        <v>699899</v>
      </c>
      <c r="R15" s="1215">
        <f>+R10+R11+R12+R14</f>
        <v>775236</v>
      </c>
      <c r="S15" s="1215">
        <f>+S10+S11+S12+S14</f>
        <v>710983</v>
      </c>
      <c r="V15" s="1382"/>
    </row>
    <row r="16" spans="1:22" ht="12.75" hidden="1" customHeight="1" x14ac:dyDescent="0.25">
      <c r="A16" s="1212"/>
      <c r="B16" s="1213"/>
      <c r="C16" s="1213"/>
      <c r="D16" s="1213"/>
      <c r="E16" s="1213"/>
      <c r="F16" s="1213"/>
      <c r="G16" s="1213"/>
      <c r="H16" s="1213"/>
      <c r="I16" s="1213"/>
      <c r="J16" s="1213"/>
      <c r="K16" s="1213"/>
      <c r="L16" s="1218"/>
      <c r="M16" s="1218"/>
      <c r="N16" s="1218"/>
      <c r="O16" s="1218"/>
      <c r="P16" s="1218"/>
      <c r="Q16" s="1218"/>
      <c r="R16" s="1218"/>
      <c r="S16" s="1218"/>
      <c r="V16" s="1382"/>
    </row>
    <row r="17" spans="1:22" ht="12.75" hidden="1" customHeight="1" x14ac:dyDescent="0.25">
      <c r="A17" s="1212"/>
      <c r="B17" s="1213"/>
      <c r="C17" s="1213"/>
      <c r="D17" s="1213"/>
      <c r="E17" s="1213"/>
      <c r="F17" s="1213"/>
      <c r="G17" s="1213"/>
      <c r="H17" s="1213"/>
      <c r="I17" s="1213"/>
      <c r="J17" s="1213"/>
      <c r="K17" s="1213"/>
      <c r="L17" s="1218"/>
      <c r="M17" s="1218"/>
      <c r="N17" s="1218"/>
      <c r="O17" s="1218"/>
      <c r="P17" s="1218"/>
      <c r="Q17" s="1218"/>
      <c r="R17" s="1218"/>
      <c r="S17" s="1218"/>
      <c r="V17" s="1382"/>
    </row>
    <row r="18" spans="1:22" ht="12.75" customHeight="1" x14ac:dyDescent="0.25">
      <c r="A18" s="1208"/>
      <c r="B18" s="1209"/>
      <c r="C18" s="1209"/>
      <c r="D18" s="1209"/>
      <c r="E18" s="1209"/>
      <c r="F18" s="1209"/>
      <c r="G18" s="1209"/>
      <c r="H18" s="1209"/>
      <c r="I18" s="1209"/>
      <c r="J18" s="1209"/>
      <c r="K18" s="1209"/>
      <c r="L18" s="1219"/>
      <c r="M18" s="1219"/>
      <c r="N18" s="1219"/>
      <c r="O18" s="1219"/>
      <c r="P18" s="1219"/>
      <c r="Q18" s="1219"/>
      <c r="R18" s="1219"/>
      <c r="S18" s="1219"/>
      <c r="V18" s="1382"/>
    </row>
    <row r="19" spans="1:22" ht="12.75" customHeight="1" x14ac:dyDescent="0.25">
      <c r="A19" s="1210" t="s">
        <v>535</v>
      </c>
      <c r="B19" s="1211"/>
      <c r="C19" s="1211"/>
      <c r="D19" s="1211"/>
      <c r="E19" s="1211"/>
      <c r="F19" s="1211"/>
      <c r="G19" s="1211"/>
      <c r="H19" s="1211"/>
      <c r="I19" s="1211"/>
      <c r="J19" s="1211"/>
      <c r="K19" s="1211"/>
      <c r="L19" s="1220"/>
      <c r="M19" s="1220"/>
      <c r="N19" s="1220"/>
      <c r="O19" s="1220"/>
      <c r="P19" s="1220"/>
      <c r="Q19" s="1220"/>
      <c r="R19" s="1220"/>
      <c r="S19" s="1220"/>
      <c r="V19" s="1382"/>
    </row>
    <row r="20" spans="1:22" ht="12.75" customHeight="1" x14ac:dyDescent="0.25">
      <c r="A20" s="1210" t="s">
        <v>536</v>
      </c>
      <c r="B20" s="1221">
        <v>22599</v>
      </c>
      <c r="C20" s="1221">
        <v>16806</v>
      </c>
      <c r="D20" s="1221">
        <v>11559</v>
      </c>
      <c r="E20" s="1221">
        <v>10425</v>
      </c>
      <c r="F20" s="1221">
        <v>9253</v>
      </c>
      <c r="G20" s="1221">
        <v>9218</v>
      </c>
      <c r="H20" s="1221">
        <v>9828</v>
      </c>
      <c r="I20" s="1221">
        <v>10855</v>
      </c>
      <c r="J20" s="1221">
        <v>10075</v>
      </c>
      <c r="K20" s="1221">
        <v>10879</v>
      </c>
      <c r="L20" s="1222" t="s">
        <v>1099</v>
      </c>
      <c r="M20" s="1223">
        <f>5401+42</f>
        <v>5443</v>
      </c>
      <c r="N20" s="1223">
        <f>6241+128</f>
        <v>6369</v>
      </c>
      <c r="O20" s="1223">
        <f>6337+199</f>
        <v>6536</v>
      </c>
      <c r="P20" s="1223">
        <v>6430</v>
      </c>
      <c r="Q20" s="1223">
        <v>6096</v>
      </c>
      <c r="R20" s="1223">
        <v>5733</v>
      </c>
      <c r="S20" s="1223">
        <v>5461</v>
      </c>
      <c r="V20" s="1382"/>
    </row>
    <row r="21" spans="1:22" ht="12.75" customHeight="1" x14ac:dyDescent="0.25">
      <c r="A21" s="1210" t="s">
        <v>537</v>
      </c>
      <c r="B21" s="1221">
        <v>1348</v>
      </c>
      <c r="C21" s="1221">
        <v>1371</v>
      </c>
      <c r="D21" s="1221">
        <v>1102</v>
      </c>
      <c r="E21" s="1221">
        <v>950</v>
      </c>
      <c r="F21" s="1221">
        <v>1088</v>
      </c>
      <c r="G21" s="1221">
        <v>1130</v>
      </c>
      <c r="H21" s="1221">
        <v>1139</v>
      </c>
      <c r="I21" s="1221">
        <v>1099</v>
      </c>
      <c r="J21" s="1221">
        <v>1159</v>
      </c>
      <c r="K21" s="1221">
        <v>1237</v>
      </c>
      <c r="L21" s="1222" t="s">
        <v>1099</v>
      </c>
      <c r="M21" s="1223">
        <v>1094</v>
      </c>
      <c r="N21" s="1223">
        <v>1394</v>
      </c>
      <c r="O21" s="1223">
        <v>1270</v>
      </c>
      <c r="P21" s="1223">
        <v>1457</v>
      </c>
      <c r="Q21" s="1223">
        <v>933</v>
      </c>
      <c r="R21" s="1223">
        <v>934</v>
      </c>
      <c r="S21" s="1223">
        <v>900</v>
      </c>
      <c r="V21" s="1382"/>
    </row>
    <row r="22" spans="1:22" ht="12.75" customHeight="1" x14ac:dyDescent="0.25">
      <c r="A22" s="1210" t="s">
        <v>538</v>
      </c>
      <c r="B22" s="1221">
        <v>1891</v>
      </c>
      <c r="C22" s="1221">
        <v>1534</v>
      </c>
      <c r="D22" s="1221">
        <v>1517</v>
      </c>
      <c r="E22" s="1221">
        <v>1437</v>
      </c>
      <c r="F22" s="1221">
        <v>1713</v>
      </c>
      <c r="G22" s="1221">
        <v>1305</v>
      </c>
      <c r="H22" s="1221">
        <v>1556</v>
      </c>
      <c r="I22" s="1221">
        <v>1309</v>
      </c>
      <c r="J22" s="1221">
        <v>1286</v>
      </c>
      <c r="K22" s="1221">
        <v>1856</v>
      </c>
      <c r="L22" s="1222" t="s">
        <v>1099</v>
      </c>
      <c r="M22" s="1223">
        <v>83</v>
      </c>
      <c r="N22" s="1223">
        <v>230</v>
      </c>
      <c r="O22" s="1223">
        <v>238</v>
      </c>
      <c r="P22" s="1223">
        <v>208</v>
      </c>
      <c r="Q22" s="1223">
        <v>131</v>
      </c>
      <c r="R22" s="1223">
        <v>115</v>
      </c>
      <c r="S22" s="1223">
        <v>197</v>
      </c>
      <c r="V22" s="1382"/>
    </row>
    <row r="23" spans="1:22" ht="12.75" customHeight="1" x14ac:dyDescent="0.25">
      <c r="A23" s="1210" t="s">
        <v>539</v>
      </c>
      <c r="B23" s="1221">
        <v>1621</v>
      </c>
      <c r="C23" s="1221">
        <v>1516</v>
      </c>
      <c r="D23" s="1221">
        <v>1252</v>
      </c>
      <c r="E23" s="1221">
        <v>1143</v>
      </c>
      <c r="F23" s="1221">
        <v>1131</v>
      </c>
      <c r="G23" s="1221">
        <v>1280</v>
      </c>
      <c r="H23" s="1221">
        <v>1028</v>
      </c>
      <c r="I23" s="1221">
        <v>1200</v>
      </c>
      <c r="J23" s="1221">
        <v>1307</v>
      </c>
      <c r="K23" s="1221">
        <v>2019</v>
      </c>
      <c r="L23" s="1223">
        <f>248+191</f>
        <v>439</v>
      </c>
      <c r="M23" s="1223">
        <f>176+4+78+106</f>
        <v>364</v>
      </c>
      <c r="N23" s="1223">
        <f>223+1+67+128</f>
        <v>419</v>
      </c>
      <c r="O23" s="1223">
        <f>171+80+278</f>
        <v>529</v>
      </c>
      <c r="P23" s="1223">
        <v>614</v>
      </c>
      <c r="Q23" s="1223">
        <v>484</v>
      </c>
      <c r="R23" s="1223">
        <v>450</v>
      </c>
      <c r="S23" s="1223">
        <v>434</v>
      </c>
      <c r="V23" s="1382"/>
    </row>
    <row r="24" spans="1:22" ht="12.75" customHeight="1" x14ac:dyDescent="0.25">
      <c r="A24" s="1210" t="s">
        <v>1591</v>
      </c>
      <c r="B24" s="1221"/>
      <c r="C24" s="1221"/>
      <c r="D24" s="1221"/>
      <c r="E24" s="1221"/>
      <c r="F24" s="1221"/>
      <c r="G24" s="1221"/>
      <c r="H24" s="1221"/>
      <c r="I24" s="1221"/>
      <c r="J24" s="1221"/>
      <c r="K24" s="1224" t="s">
        <v>1099</v>
      </c>
      <c r="L24" s="1222" t="s">
        <v>1099</v>
      </c>
      <c r="M24" s="1223">
        <v>548</v>
      </c>
      <c r="N24" s="1223">
        <v>556</v>
      </c>
      <c r="O24" s="1223">
        <v>516</v>
      </c>
      <c r="P24" s="1223">
        <v>497</v>
      </c>
      <c r="Q24" s="1223">
        <v>482</v>
      </c>
      <c r="R24" s="1223">
        <v>440</v>
      </c>
      <c r="S24" s="1223">
        <v>438</v>
      </c>
      <c r="V24" s="1382"/>
    </row>
    <row r="25" spans="1:22" ht="12.75" customHeight="1" x14ac:dyDescent="0.25">
      <c r="A25" s="1210" t="s">
        <v>1592</v>
      </c>
      <c r="B25" s="1221"/>
      <c r="C25" s="1221"/>
      <c r="D25" s="1221"/>
      <c r="E25" s="1221"/>
      <c r="F25" s="1221"/>
      <c r="G25" s="1221"/>
      <c r="H25" s="1221"/>
      <c r="I25" s="1221"/>
      <c r="J25" s="1221"/>
      <c r="K25" s="1224" t="s">
        <v>1099</v>
      </c>
      <c r="L25" s="1222" t="s">
        <v>1099</v>
      </c>
      <c r="M25" s="1223">
        <v>668</v>
      </c>
      <c r="N25" s="1223">
        <v>625</v>
      </c>
      <c r="O25" s="1223">
        <v>526</v>
      </c>
      <c r="P25" s="1223">
        <v>663</v>
      </c>
      <c r="Q25" s="1223">
        <v>659</v>
      </c>
      <c r="R25" s="1223">
        <v>612</v>
      </c>
      <c r="S25" s="1223">
        <v>598</v>
      </c>
      <c r="V25" s="1382"/>
    </row>
    <row r="26" spans="1:22" ht="12.75" customHeight="1" x14ac:dyDescent="0.25">
      <c r="A26" s="1210" t="s">
        <v>1593</v>
      </c>
      <c r="B26" s="1221"/>
      <c r="C26" s="1221"/>
      <c r="D26" s="1221"/>
      <c r="E26" s="1221"/>
      <c r="F26" s="1221"/>
      <c r="G26" s="1221"/>
      <c r="H26" s="1221"/>
      <c r="I26" s="1221"/>
      <c r="J26" s="1221"/>
      <c r="K26" s="1224" t="s">
        <v>1099</v>
      </c>
      <c r="L26" s="1222" t="s">
        <v>1099</v>
      </c>
      <c r="M26" s="1225">
        <f>M24/M25</f>
        <v>0.82035928143712578</v>
      </c>
      <c r="N26" s="1225">
        <f t="shared" ref="N26:S26" si="0">N24/N25</f>
        <v>0.88959999999999995</v>
      </c>
      <c r="O26" s="1225">
        <f t="shared" si="0"/>
        <v>0.98098859315589348</v>
      </c>
      <c r="P26" s="1225">
        <f t="shared" si="0"/>
        <v>0.74962292609351433</v>
      </c>
      <c r="Q26" s="1225">
        <f t="shared" si="0"/>
        <v>0.73141122913505308</v>
      </c>
      <c r="R26" s="1225">
        <f t="shared" si="0"/>
        <v>0.71895424836601307</v>
      </c>
      <c r="S26" s="1225">
        <f t="shared" si="0"/>
        <v>0.73244147157190631</v>
      </c>
    </row>
    <row r="27" spans="1:22" ht="12.75" customHeight="1" x14ac:dyDescent="0.25">
      <c r="A27" s="1210" t="s">
        <v>540</v>
      </c>
      <c r="B27" s="1221">
        <v>5226</v>
      </c>
      <c r="C27" s="1221">
        <v>3735</v>
      </c>
      <c r="D27" s="1221">
        <v>2487</v>
      </c>
      <c r="E27" s="1221">
        <v>1951</v>
      </c>
      <c r="F27" s="1221">
        <v>1459</v>
      </c>
      <c r="G27" s="1221">
        <v>2855</v>
      </c>
      <c r="H27" s="1221">
        <v>4848</v>
      </c>
      <c r="I27" s="1221">
        <v>6082</v>
      </c>
      <c r="J27" s="1221">
        <v>5675</v>
      </c>
      <c r="K27" s="1221">
        <v>6485</v>
      </c>
      <c r="L27" s="1223" t="s">
        <v>1594</v>
      </c>
      <c r="M27" s="1223">
        <v>1835</v>
      </c>
      <c r="N27" s="1223">
        <v>2248</v>
      </c>
      <c r="O27" s="1223">
        <v>2284</v>
      </c>
      <c r="P27" s="1223">
        <v>1961</v>
      </c>
      <c r="Q27" s="1223">
        <v>2049</v>
      </c>
      <c r="R27" s="1223">
        <v>1691</v>
      </c>
      <c r="S27" s="1223">
        <v>2017</v>
      </c>
    </row>
    <row r="28" spans="1:22" ht="12.75" customHeight="1" x14ac:dyDescent="0.25">
      <c r="A28" s="1210" t="s">
        <v>541</v>
      </c>
      <c r="B28" s="1221">
        <f t="shared" ref="B28:K28" si="1">SUM(B20:B27)</f>
        <v>32685</v>
      </c>
      <c r="C28" s="1221">
        <f t="shared" si="1"/>
        <v>24962</v>
      </c>
      <c r="D28" s="1221">
        <f t="shared" si="1"/>
        <v>17917</v>
      </c>
      <c r="E28" s="1221">
        <f t="shared" si="1"/>
        <v>15906</v>
      </c>
      <c r="F28" s="1221">
        <f t="shared" si="1"/>
        <v>14644</v>
      </c>
      <c r="G28" s="1221">
        <f t="shared" si="1"/>
        <v>15788</v>
      </c>
      <c r="H28" s="1221">
        <f t="shared" si="1"/>
        <v>18399</v>
      </c>
      <c r="I28" s="1221">
        <f t="shared" si="1"/>
        <v>20545</v>
      </c>
      <c r="J28" s="1221">
        <f t="shared" si="1"/>
        <v>19502</v>
      </c>
      <c r="K28" s="1221">
        <f t="shared" si="1"/>
        <v>22476</v>
      </c>
      <c r="L28" s="1223">
        <f>SUM(L20:L27)</f>
        <v>439</v>
      </c>
      <c r="M28" s="1223">
        <f t="shared" ref="M28:S28" si="2">+M20+M21+M22+M23+M24+M25+M27</f>
        <v>10035</v>
      </c>
      <c r="N28" s="1223">
        <f t="shared" si="2"/>
        <v>11841</v>
      </c>
      <c r="O28" s="1223">
        <f t="shared" si="2"/>
        <v>11899</v>
      </c>
      <c r="P28" s="1223">
        <f t="shared" si="2"/>
        <v>11830</v>
      </c>
      <c r="Q28" s="1223">
        <f t="shared" si="2"/>
        <v>10834</v>
      </c>
      <c r="R28" s="1223">
        <f t="shared" si="2"/>
        <v>9975</v>
      </c>
      <c r="S28" s="1223">
        <f t="shared" si="2"/>
        <v>10045</v>
      </c>
    </row>
    <row r="29" spans="1:22" ht="12.75" customHeight="1" x14ac:dyDescent="0.25">
      <c r="A29" s="1210" t="s">
        <v>542</v>
      </c>
      <c r="B29" s="1226">
        <f t="shared" ref="B29:K29" si="3">B28/B48</f>
        <v>14.676695105523125</v>
      </c>
      <c r="C29" s="1226">
        <f t="shared" si="3"/>
        <v>11.487344684767603</v>
      </c>
      <c r="D29" s="1226">
        <f t="shared" si="3"/>
        <v>8.1035730438715508</v>
      </c>
      <c r="E29" s="1226">
        <f t="shared" si="3"/>
        <v>7.1455525606468999</v>
      </c>
      <c r="F29" s="1226">
        <f t="shared" si="3"/>
        <v>6.0462427745664744</v>
      </c>
      <c r="G29" s="1226">
        <f t="shared" si="3"/>
        <v>6.4309572301425666</v>
      </c>
      <c r="H29" s="1226">
        <f t="shared" si="3"/>
        <v>7.2896196513470679</v>
      </c>
      <c r="I29" s="1226">
        <f t="shared" si="3"/>
        <v>8.4616968698517301</v>
      </c>
      <c r="J29" s="1226">
        <f t="shared" si="3"/>
        <v>8.1224489795918373</v>
      </c>
      <c r="K29" s="1226">
        <f t="shared" si="3"/>
        <v>10.329044117647058</v>
      </c>
      <c r="L29" s="1227" t="s">
        <v>1099</v>
      </c>
      <c r="M29" s="1228">
        <f>M28/M48</f>
        <v>3.7925170068027212</v>
      </c>
      <c r="N29" s="1228">
        <f>N28/N48</f>
        <v>4.1591148577449948</v>
      </c>
      <c r="O29" s="1228">
        <f>O28/O48</f>
        <v>4.1868402533427167</v>
      </c>
      <c r="P29" s="1228">
        <f>P20/P48</f>
        <v>2.2817601135557131</v>
      </c>
      <c r="Q29" s="1228">
        <f>Q20/Q48</f>
        <v>2.2771759432200223</v>
      </c>
      <c r="R29" s="1228">
        <f>R20/R48</f>
        <v>2.2007677543186182</v>
      </c>
      <c r="S29" s="1228">
        <f>S20/S48</f>
        <v>2.1457760314341847</v>
      </c>
    </row>
    <row r="30" spans="1:22" ht="12.75" hidden="1" customHeight="1" x14ac:dyDescent="0.25">
      <c r="A30" s="1208"/>
      <c r="B30" s="1209"/>
      <c r="C30" s="1209"/>
      <c r="D30" s="1209"/>
      <c r="E30" s="1209"/>
      <c r="F30" s="1209"/>
      <c r="G30" s="1209"/>
      <c r="H30" s="1209"/>
      <c r="I30" s="1209"/>
      <c r="J30" s="1209"/>
      <c r="K30" s="1209"/>
      <c r="L30" s="1219"/>
      <c r="M30" s="1219"/>
      <c r="N30" s="1219"/>
      <c r="O30" s="1219"/>
      <c r="P30" s="1219"/>
      <c r="Q30" s="1219"/>
      <c r="R30" s="1219"/>
      <c r="S30" s="1219"/>
    </row>
    <row r="31" spans="1:22" ht="12.75" hidden="1" customHeight="1" x14ac:dyDescent="0.25">
      <c r="A31" s="1210" t="s">
        <v>543</v>
      </c>
      <c r="B31" s="1211"/>
      <c r="C31" s="1211"/>
      <c r="D31" s="1211"/>
      <c r="E31" s="1211"/>
      <c r="F31" s="1211"/>
      <c r="G31" s="1211"/>
      <c r="H31" s="1211"/>
      <c r="I31" s="1211"/>
      <c r="J31" s="1211"/>
      <c r="K31" s="1211"/>
      <c r="L31" s="1220"/>
      <c r="M31" s="1220"/>
      <c r="N31" s="1220"/>
      <c r="O31" s="1220"/>
      <c r="P31" s="1220"/>
      <c r="Q31" s="1220"/>
      <c r="R31" s="1220"/>
      <c r="S31" s="1220"/>
    </row>
    <row r="32" spans="1:22" ht="12.75" hidden="1" customHeight="1" x14ac:dyDescent="0.25">
      <c r="A32" s="1210" t="s">
        <v>544</v>
      </c>
      <c r="B32" s="1221">
        <v>148341</v>
      </c>
      <c r="C32" s="1221">
        <v>150190</v>
      </c>
      <c r="D32" s="1221">
        <v>161324</v>
      </c>
      <c r="E32" s="1221">
        <v>163514</v>
      </c>
      <c r="F32" s="1221">
        <v>166177</v>
      </c>
      <c r="G32" s="1221">
        <v>168498</v>
      </c>
      <c r="H32" s="1221">
        <v>170529</v>
      </c>
      <c r="I32" s="1221">
        <v>173056</v>
      </c>
      <c r="J32" s="1221">
        <v>174624</v>
      </c>
      <c r="K32" s="1221">
        <v>177401</v>
      </c>
      <c r="L32" s="1223"/>
      <c r="M32" s="1223"/>
      <c r="N32" s="1223"/>
      <c r="O32" s="1223"/>
      <c r="P32" s="1223"/>
      <c r="Q32" s="1223"/>
      <c r="R32" s="1223"/>
      <c r="S32" s="1223"/>
    </row>
    <row r="33" spans="1:19" ht="12.75" hidden="1" customHeight="1" x14ac:dyDescent="0.25">
      <c r="A33" s="1210" t="s">
        <v>545</v>
      </c>
      <c r="B33" s="1221">
        <v>10482</v>
      </c>
      <c r="C33" s="1221">
        <v>11007</v>
      </c>
      <c r="D33" s="1221">
        <v>11979</v>
      </c>
      <c r="E33" s="1221">
        <v>12296</v>
      </c>
      <c r="F33" s="1221">
        <v>12741</v>
      </c>
      <c r="G33" s="1221">
        <v>13028</v>
      </c>
      <c r="H33" s="1221">
        <v>13369</v>
      </c>
      <c r="I33" s="1221">
        <v>13634</v>
      </c>
      <c r="J33" s="1221">
        <v>14072</v>
      </c>
      <c r="K33" s="1221">
        <v>14372</v>
      </c>
      <c r="L33" s="1223"/>
      <c r="M33" s="1223"/>
      <c r="N33" s="1223"/>
      <c r="O33" s="1223"/>
      <c r="P33" s="1223"/>
      <c r="Q33" s="1223"/>
      <c r="R33" s="1223"/>
      <c r="S33" s="1223"/>
    </row>
    <row r="34" spans="1:19" ht="12.75" hidden="1" customHeight="1" x14ac:dyDescent="0.25">
      <c r="A34" s="1210" t="s">
        <v>546</v>
      </c>
      <c r="B34" s="1221">
        <v>105914</v>
      </c>
      <c r="C34" s="1221">
        <v>109873</v>
      </c>
      <c r="D34" s="1221">
        <v>145712</v>
      </c>
      <c r="E34" s="1221">
        <v>149680</v>
      </c>
      <c r="F34" s="1221">
        <v>152509</v>
      </c>
      <c r="G34" s="1221">
        <v>154617</v>
      </c>
      <c r="H34" s="1221">
        <v>155057</v>
      </c>
      <c r="I34" s="1221">
        <v>156387</v>
      </c>
      <c r="J34" s="1221">
        <v>157707</v>
      </c>
      <c r="K34" s="1221">
        <v>156493</v>
      </c>
      <c r="L34" s="1223"/>
      <c r="M34" s="1223"/>
      <c r="N34" s="1223"/>
      <c r="O34" s="1223"/>
      <c r="P34" s="1223"/>
      <c r="Q34" s="1223"/>
      <c r="R34" s="1223"/>
      <c r="S34" s="1223"/>
    </row>
    <row r="35" spans="1:19" ht="12.75" hidden="1" customHeight="1" x14ac:dyDescent="0.25">
      <c r="A35" s="1210" t="s">
        <v>547</v>
      </c>
      <c r="B35" s="1221">
        <v>102</v>
      </c>
      <c r="C35" s="1211">
        <v>102</v>
      </c>
      <c r="D35" s="1211">
        <v>148</v>
      </c>
      <c r="E35" s="1211">
        <v>148</v>
      </c>
      <c r="F35" s="1211">
        <v>157</v>
      </c>
      <c r="G35" s="1211">
        <v>157</v>
      </c>
      <c r="H35" s="1211">
        <v>161</v>
      </c>
      <c r="I35" s="1211">
        <v>168</v>
      </c>
      <c r="J35" s="1211">
        <v>168</v>
      </c>
      <c r="K35" s="1211">
        <v>168</v>
      </c>
      <c r="L35" s="1220"/>
      <c r="M35" s="1220"/>
      <c r="N35" s="1220"/>
      <c r="O35" s="1220"/>
      <c r="P35" s="1220"/>
      <c r="Q35" s="1220"/>
      <c r="R35" s="1220"/>
      <c r="S35" s="1220"/>
    </row>
    <row r="36" spans="1:19" ht="12.75" hidden="1" customHeight="1" x14ac:dyDescent="0.25">
      <c r="A36" s="1210" t="s">
        <v>548</v>
      </c>
      <c r="B36" s="1221">
        <v>552</v>
      </c>
      <c r="C36" s="1211">
        <v>648</v>
      </c>
      <c r="D36" s="1221">
        <v>1140</v>
      </c>
      <c r="E36" s="1221">
        <v>1257</v>
      </c>
      <c r="F36" s="1221">
        <v>1479</v>
      </c>
      <c r="G36" s="1221">
        <v>1675</v>
      </c>
      <c r="H36" s="1221">
        <v>848</v>
      </c>
      <c r="I36" s="1221">
        <v>979</v>
      </c>
      <c r="J36" s="1221">
        <v>2215</v>
      </c>
      <c r="K36" s="1221">
        <v>1169</v>
      </c>
      <c r="L36" s="1223"/>
      <c r="M36" s="1223"/>
      <c r="N36" s="1223"/>
      <c r="O36" s="1223"/>
      <c r="P36" s="1223"/>
      <c r="Q36" s="1223"/>
      <c r="R36" s="1223"/>
      <c r="S36" s="1223"/>
    </row>
    <row r="37" spans="1:19" ht="12.75" hidden="1" customHeight="1" x14ac:dyDescent="0.25">
      <c r="A37" s="1210" t="s">
        <v>549</v>
      </c>
      <c r="B37" s="1223">
        <v>2133</v>
      </c>
      <c r="C37" s="1221">
        <v>2188</v>
      </c>
      <c r="D37" s="1221">
        <v>2208</v>
      </c>
      <c r="E37" s="1221">
        <v>2240</v>
      </c>
      <c r="F37" s="1221">
        <v>2346</v>
      </c>
      <c r="G37" s="1221">
        <v>2401</v>
      </c>
      <c r="H37" s="1221">
        <v>3405</v>
      </c>
      <c r="I37" s="1221">
        <v>3564</v>
      </c>
      <c r="J37" s="1221">
        <v>2592</v>
      </c>
      <c r="K37" s="1221">
        <v>3995</v>
      </c>
      <c r="L37" s="1223"/>
      <c r="M37" s="1223"/>
      <c r="N37" s="1223"/>
      <c r="O37" s="1223"/>
      <c r="P37" s="1223"/>
      <c r="Q37" s="1223"/>
      <c r="R37" s="1223"/>
      <c r="S37" s="1223"/>
    </row>
    <row r="38" spans="1:19" ht="12.75" hidden="1" customHeight="1" x14ac:dyDescent="0.25">
      <c r="A38" s="1210" t="s">
        <v>55</v>
      </c>
      <c r="B38" s="1223"/>
      <c r="C38" s="1221"/>
      <c r="D38" s="1221" t="s">
        <v>1099</v>
      </c>
      <c r="E38" s="1221" t="s">
        <v>1099</v>
      </c>
      <c r="F38" s="1221">
        <v>80</v>
      </c>
      <c r="G38" s="1221">
        <v>88</v>
      </c>
      <c r="H38" s="1221">
        <v>89</v>
      </c>
      <c r="I38" s="1221">
        <v>91</v>
      </c>
      <c r="J38" s="1221">
        <v>91</v>
      </c>
      <c r="K38" s="1221">
        <v>91</v>
      </c>
      <c r="L38" s="1223"/>
      <c r="M38" s="1223"/>
      <c r="N38" s="1223"/>
      <c r="O38" s="1223"/>
      <c r="P38" s="1223"/>
      <c r="Q38" s="1223"/>
      <c r="R38" s="1223"/>
      <c r="S38" s="1223"/>
    </row>
    <row r="39" spans="1:19" ht="12.75" hidden="1" customHeight="1" x14ac:dyDescent="0.25">
      <c r="A39" s="1210" t="s">
        <v>56</v>
      </c>
      <c r="B39" s="1223"/>
      <c r="C39" s="1221"/>
      <c r="D39" s="1221" t="s">
        <v>1099</v>
      </c>
      <c r="E39" s="1221" t="s">
        <v>1099</v>
      </c>
      <c r="F39" s="1221">
        <v>17039</v>
      </c>
      <c r="G39" s="1221">
        <v>25450</v>
      </c>
      <c r="H39" s="1221">
        <v>29832</v>
      </c>
      <c r="I39" s="1221">
        <v>35010</v>
      </c>
      <c r="J39" s="1221">
        <v>37933</v>
      </c>
      <c r="K39" s="1221">
        <v>42066</v>
      </c>
      <c r="L39" s="1223"/>
      <c r="M39" s="1223"/>
      <c r="N39" s="1223"/>
      <c r="O39" s="1223"/>
      <c r="P39" s="1223"/>
      <c r="Q39" s="1223"/>
      <c r="R39" s="1223"/>
      <c r="S39" s="1223"/>
    </row>
    <row r="40" spans="1:19" ht="12.75" hidden="1" customHeight="1" x14ac:dyDescent="0.25">
      <c r="A40" s="1210" t="s">
        <v>577</v>
      </c>
      <c r="B40" s="1221">
        <f>SUM(B32:B37)</f>
        <v>267524</v>
      </c>
      <c r="C40" s="1221">
        <f>SUM(C32:C37)</f>
        <v>274008</v>
      </c>
      <c r="D40" s="1221">
        <f t="shared" ref="D40:S40" si="4">SUM(D32:D39)</f>
        <v>322511</v>
      </c>
      <c r="E40" s="1221">
        <f t="shared" si="4"/>
        <v>329135</v>
      </c>
      <c r="F40" s="1221">
        <f t="shared" si="4"/>
        <v>352528</v>
      </c>
      <c r="G40" s="1221">
        <f t="shared" si="4"/>
        <v>365914</v>
      </c>
      <c r="H40" s="1221">
        <f t="shared" si="4"/>
        <v>373290</v>
      </c>
      <c r="I40" s="1221">
        <f t="shared" si="4"/>
        <v>382889</v>
      </c>
      <c r="J40" s="1221">
        <f t="shared" si="4"/>
        <v>389402</v>
      </c>
      <c r="K40" s="1221">
        <f t="shared" si="4"/>
        <v>395755</v>
      </c>
      <c r="L40" s="1223">
        <f t="shared" si="4"/>
        <v>0</v>
      </c>
      <c r="M40" s="1223">
        <f t="shared" si="4"/>
        <v>0</v>
      </c>
      <c r="N40" s="1223">
        <f t="shared" si="4"/>
        <v>0</v>
      </c>
      <c r="O40" s="1223">
        <f t="shared" si="4"/>
        <v>0</v>
      </c>
      <c r="P40" s="1223">
        <f t="shared" si="4"/>
        <v>0</v>
      </c>
      <c r="Q40" s="1223">
        <f t="shared" si="4"/>
        <v>0</v>
      </c>
      <c r="R40" s="1223">
        <f t="shared" si="4"/>
        <v>0</v>
      </c>
      <c r="S40" s="1223">
        <f t="shared" si="4"/>
        <v>0</v>
      </c>
    </row>
    <row r="41" spans="1:19" ht="12.75" hidden="1" customHeight="1" x14ac:dyDescent="0.25">
      <c r="A41" s="1210" t="s">
        <v>578</v>
      </c>
      <c r="B41" s="1226">
        <f t="shared" ref="B41:S41" si="5">B40/B48</f>
        <v>120.1275258194881</v>
      </c>
      <c r="C41" s="1226">
        <f t="shared" si="5"/>
        <v>126.0966405890474</v>
      </c>
      <c r="D41" s="1226">
        <f t="shared" si="5"/>
        <v>145.8665762098598</v>
      </c>
      <c r="E41" s="1226">
        <f t="shared" si="5"/>
        <v>147.85938903863433</v>
      </c>
      <c r="F41" s="1226">
        <f t="shared" si="5"/>
        <v>145.55243600330306</v>
      </c>
      <c r="G41" s="1226">
        <f t="shared" si="5"/>
        <v>149.04847250509164</v>
      </c>
      <c r="H41" s="1226">
        <f t="shared" si="5"/>
        <v>147.89619651347067</v>
      </c>
      <c r="I41" s="1226">
        <f t="shared" si="5"/>
        <v>157.69728171334432</v>
      </c>
      <c r="J41" s="1226">
        <f t="shared" si="5"/>
        <v>162.18325697625988</v>
      </c>
      <c r="K41" s="1226">
        <f t="shared" si="5"/>
        <v>181.87270220588235</v>
      </c>
      <c r="L41" s="1228">
        <f t="shared" si="5"/>
        <v>0</v>
      </c>
      <c r="M41" s="1228">
        <f t="shared" si="5"/>
        <v>0</v>
      </c>
      <c r="N41" s="1228">
        <f t="shared" si="5"/>
        <v>0</v>
      </c>
      <c r="O41" s="1228">
        <f t="shared" si="5"/>
        <v>0</v>
      </c>
      <c r="P41" s="1228">
        <f t="shared" si="5"/>
        <v>0</v>
      </c>
      <c r="Q41" s="1228">
        <f t="shared" si="5"/>
        <v>0</v>
      </c>
      <c r="R41" s="1228">
        <f t="shared" si="5"/>
        <v>0</v>
      </c>
      <c r="S41" s="1228">
        <f t="shared" si="5"/>
        <v>0</v>
      </c>
    </row>
    <row r="42" spans="1:19" ht="12.75" hidden="1" customHeight="1" x14ac:dyDescent="0.25">
      <c r="A42" s="1210" t="s">
        <v>579</v>
      </c>
      <c r="B42" s="1221">
        <v>876</v>
      </c>
      <c r="C42" s="1211">
        <v>875</v>
      </c>
      <c r="D42" s="1211">
        <v>748</v>
      </c>
      <c r="E42" s="1211">
        <v>763</v>
      </c>
      <c r="F42" s="1211">
        <v>790</v>
      </c>
      <c r="G42" s="1211">
        <v>806</v>
      </c>
      <c r="H42" s="1211">
        <v>823</v>
      </c>
      <c r="I42" s="1211">
        <v>657</v>
      </c>
      <c r="J42" s="1211">
        <v>656</v>
      </c>
      <c r="K42" s="1211">
        <v>651</v>
      </c>
      <c r="L42" s="1220"/>
      <c r="M42" s="1220"/>
      <c r="N42" s="1220"/>
      <c r="O42" s="1220"/>
      <c r="P42" s="1220"/>
      <c r="Q42" s="1220"/>
      <c r="R42" s="1220"/>
      <c r="S42" s="1220"/>
    </row>
    <row r="43" spans="1:19" ht="12.75" hidden="1" customHeight="1" x14ac:dyDescent="0.25">
      <c r="A43" s="1208"/>
      <c r="B43" s="1209"/>
      <c r="C43" s="1209"/>
      <c r="D43" s="1209"/>
      <c r="E43" s="1209"/>
      <c r="F43" s="1209"/>
      <c r="G43" s="1209"/>
      <c r="H43" s="1209"/>
      <c r="I43" s="1209"/>
      <c r="J43" s="1209"/>
      <c r="K43" s="1209"/>
      <c r="L43" s="1219"/>
      <c r="M43" s="1219"/>
      <c r="N43" s="1219"/>
      <c r="O43" s="1219"/>
      <c r="P43" s="1219"/>
      <c r="Q43" s="1219"/>
      <c r="R43" s="1219"/>
      <c r="S43" s="1219"/>
    </row>
    <row r="44" spans="1:19" ht="12.75" hidden="1" customHeight="1" x14ac:dyDescent="0.25">
      <c r="A44" s="1210" t="s">
        <v>1595</v>
      </c>
      <c r="B44" s="1221">
        <v>9778</v>
      </c>
      <c r="C44" s="1211">
        <v>7894</v>
      </c>
      <c r="D44" s="1221">
        <v>6512</v>
      </c>
      <c r="E44" s="1221">
        <v>5584</v>
      </c>
      <c r="F44" s="1221">
        <v>4964</v>
      </c>
      <c r="G44" s="1221">
        <v>5028</v>
      </c>
      <c r="H44" s="1221">
        <v>4704</v>
      </c>
      <c r="I44" s="1221">
        <v>2942</v>
      </c>
      <c r="J44" s="1221">
        <v>2818</v>
      </c>
      <c r="K44" s="1221">
        <v>2300</v>
      </c>
      <c r="L44" s="1223"/>
      <c r="M44" s="1223">
        <f>SUM(M45:M46)</f>
        <v>1713</v>
      </c>
      <c r="N44" s="1223">
        <f t="shared" ref="N44:S44" si="6">SUM(N45:N46)</f>
        <v>0</v>
      </c>
      <c r="O44" s="1223">
        <f t="shared" si="6"/>
        <v>0</v>
      </c>
      <c r="P44" s="1223">
        <f t="shared" si="6"/>
        <v>0</v>
      </c>
      <c r="Q44" s="1223">
        <f t="shared" si="6"/>
        <v>0</v>
      </c>
      <c r="R44" s="1223">
        <f t="shared" si="6"/>
        <v>0</v>
      </c>
      <c r="S44" s="1223">
        <f t="shared" si="6"/>
        <v>0</v>
      </c>
    </row>
    <row r="45" spans="1:19" ht="12.75" hidden="1" customHeight="1" x14ac:dyDescent="0.3">
      <c r="A45" s="1210" t="s">
        <v>1596</v>
      </c>
      <c r="B45" s="1221"/>
      <c r="C45" s="1211"/>
      <c r="D45" s="1221"/>
      <c r="E45" s="1221"/>
      <c r="F45" s="1221"/>
      <c r="G45" s="1221"/>
      <c r="H45" s="1221"/>
      <c r="I45" s="1221"/>
      <c r="J45" s="1221"/>
      <c r="K45" s="1221"/>
      <c r="L45" s="1223"/>
      <c r="M45" s="1205">
        <f>1235</f>
        <v>1235</v>
      </c>
      <c r="N45" s="1223"/>
      <c r="O45" s="1223"/>
      <c r="P45" s="1223"/>
      <c r="Q45" s="1223"/>
      <c r="R45" s="1223"/>
      <c r="S45" s="1223"/>
    </row>
    <row r="46" spans="1:19" ht="12.75" hidden="1" customHeight="1" x14ac:dyDescent="0.3">
      <c r="A46" s="1210" t="s">
        <v>1597</v>
      </c>
      <c r="B46" s="1221"/>
      <c r="C46" s="1211"/>
      <c r="D46" s="1221"/>
      <c r="E46" s="1221"/>
      <c r="F46" s="1221"/>
      <c r="G46" s="1221"/>
      <c r="H46" s="1221"/>
      <c r="I46" s="1221"/>
      <c r="J46" s="1221"/>
      <c r="K46" s="1221"/>
      <c r="L46" s="1223"/>
      <c r="M46" s="1205">
        <v>478</v>
      </c>
      <c r="N46" s="1223"/>
      <c r="O46" s="1223"/>
      <c r="P46" s="1223"/>
      <c r="Q46" s="1223"/>
      <c r="R46" s="1223"/>
      <c r="S46" s="1223"/>
    </row>
    <row r="47" spans="1:19" ht="12.75" customHeight="1" x14ac:dyDescent="0.25">
      <c r="A47" s="1208"/>
      <c r="B47" s="1209"/>
      <c r="C47" s="1209"/>
      <c r="D47" s="1209"/>
      <c r="E47" s="1209"/>
      <c r="F47" s="1209"/>
      <c r="G47" s="1209"/>
      <c r="H47" s="1209"/>
      <c r="I47" s="1209"/>
      <c r="J47" s="1209"/>
      <c r="K47" s="1209"/>
      <c r="L47" s="1219"/>
      <c r="M47" s="1219"/>
      <c r="N47" s="1219"/>
      <c r="O47" s="1219"/>
      <c r="P47" s="1219"/>
      <c r="Q47" s="1219"/>
      <c r="R47" s="1219"/>
      <c r="S47" s="1219"/>
    </row>
    <row r="48" spans="1:19" ht="12.75" customHeight="1" x14ac:dyDescent="0.25">
      <c r="A48" s="1211" t="s">
        <v>580</v>
      </c>
      <c r="B48" s="1211">
        <v>2227</v>
      </c>
      <c r="C48" s="1211">
        <v>2173</v>
      </c>
      <c r="D48" s="1211">
        <v>2211</v>
      </c>
      <c r="E48" s="1211">
        <v>2226</v>
      </c>
      <c r="F48" s="1211">
        <v>2422</v>
      </c>
      <c r="G48" s="1211">
        <v>2455</v>
      </c>
      <c r="H48" s="1211">
        <v>2524</v>
      </c>
      <c r="I48" s="1211">
        <v>2428</v>
      </c>
      <c r="J48" s="1211">
        <v>2401</v>
      </c>
      <c r="K48" s="1211">
        <v>2176</v>
      </c>
      <c r="L48" s="1220">
        <v>2377</v>
      </c>
      <c r="M48" s="1220">
        <v>2646</v>
      </c>
      <c r="N48" s="1220">
        <v>2847</v>
      </c>
      <c r="O48" s="1220">
        <v>2842</v>
      </c>
      <c r="P48" s="1220">
        <v>2818</v>
      </c>
      <c r="Q48" s="1220">
        <v>2677</v>
      </c>
      <c r="R48" s="1220">
        <v>2605</v>
      </c>
      <c r="S48" s="1220">
        <v>2545</v>
      </c>
    </row>
    <row r="49" spans="1:13" ht="12.75" customHeight="1" x14ac:dyDescent="0.25"/>
    <row r="50" spans="1:13" ht="12.75" customHeight="1" x14ac:dyDescent="0.25">
      <c r="A50" s="1204"/>
      <c r="M50" s="1202"/>
    </row>
    <row r="52" spans="1:13" x14ac:dyDescent="0.25">
      <c r="A52" s="1203" t="s">
        <v>862</v>
      </c>
    </row>
  </sheetData>
  <mergeCells count="1">
    <mergeCell ref="A1:S1"/>
  </mergeCells>
  <printOptions horizontalCentered="1" verticalCentered="1"/>
  <pageMargins left="1" right="0.75" top="1" bottom="1" header="0.5" footer="0.5"/>
  <pageSetup orientation="portrait" r:id="rId1"/>
  <headerFooter alignWithMargins="0">
    <oddFooter>&amp;L&amp;7Source: Office of the Director of the Library</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17"/>
  <sheetViews>
    <sheetView workbookViewId="0">
      <selection sqref="A1:G1"/>
    </sheetView>
  </sheetViews>
  <sheetFormatPr defaultColWidth="6.6640625" defaultRowHeight="13.2" x14ac:dyDescent="0.25"/>
  <cols>
    <col min="1" max="1" width="6.6640625" style="1" customWidth="1"/>
    <col min="2" max="7" width="15.6640625" style="1" customWidth="1"/>
    <col min="8" max="8" width="6.6640625" style="1" customWidth="1"/>
    <col min="9" max="9" width="12.6640625" style="1" customWidth="1"/>
    <col min="10" max="10" width="24.5546875" style="1" bestFit="1" customWidth="1"/>
    <col min="11" max="11" width="25.33203125" style="1" bestFit="1" customWidth="1"/>
    <col min="12" max="12" width="25.44140625" style="1" bestFit="1" customWidth="1"/>
    <col min="13" max="13" width="15.44140625" style="1" customWidth="1"/>
    <col min="14" max="16384" width="6.6640625" style="1"/>
  </cols>
  <sheetData>
    <row r="1" spans="1:15" ht="20.100000000000001" customHeight="1" x14ac:dyDescent="0.25">
      <c r="A1" s="2110" t="s">
        <v>818</v>
      </c>
      <c r="B1" s="2110"/>
      <c r="C1" s="2110"/>
      <c r="D1" s="2110"/>
      <c r="E1" s="2110"/>
      <c r="F1" s="2110"/>
      <c r="G1" s="2110"/>
      <c r="H1" s="1406"/>
      <c r="I1" s="1406"/>
      <c r="J1" s="1406"/>
      <c r="K1" s="1406"/>
      <c r="L1" s="1406"/>
    </row>
    <row r="2" spans="1:15" ht="20.100000000000001" customHeight="1" thickBot="1" x14ac:dyDescent="0.3">
      <c r="A2" s="14"/>
      <c r="B2" s="15"/>
      <c r="C2" s="15"/>
      <c r="D2" s="15"/>
      <c r="E2" s="15"/>
      <c r="F2" s="15"/>
      <c r="H2" s="1406"/>
      <c r="I2" s="1406"/>
      <c r="J2" s="1406"/>
      <c r="K2" s="1406"/>
      <c r="L2" s="1406"/>
    </row>
    <row r="3" spans="1:15" s="13" customFormat="1" ht="36.9" customHeight="1" x14ac:dyDescent="0.3">
      <c r="A3" s="726" t="s">
        <v>819</v>
      </c>
      <c r="B3" s="727" t="s">
        <v>820</v>
      </c>
      <c r="C3" s="728" t="s">
        <v>821</v>
      </c>
      <c r="D3" s="729" t="s">
        <v>822</v>
      </c>
      <c r="E3" s="728" t="s">
        <v>823</v>
      </c>
      <c r="F3" s="729" t="s">
        <v>824</v>
      </c>
      <c r="G3" s="730" t="s">
        <v>1371</v>
      </c>
      <c r="H3" s="1405"/>
      <c r="I3" s="2034"/>
      <c r="J3" s="2034"/>
      <c r="K3" s="2034"/>
      <c r="L3" s="2034"/>
      <c r="M3" s="1863"/>
      <c r="N3" s="1405"/>
      <c r="O3" s="1405"/>
    </row>
    <row r="4" spans="1:15" hidden="1" x14ac:dyDescent="0.25">
      <c r="A4" s="356"/>
      <c r="B4" s="357"/>
      <c r="C4" s="357"/>
      <c r="D4" s="358"/>
      <c r="E4" s="357"/>
      <c r="F4" s="358"/>
      <c r="G4" s="358"/>
      <c r="H4" s="1406"/>
      <c r="I4" s="2035"/>
      <c r="J4" s="2035"/>
      <c r="K4" s="2035"/>
      <c r="L4" s="2035"/>
      <c r="M4" s="1251"/>
      <c r="N4" s="1406"/>
      <c r="O4" s="1406"/>
    </row>
    <row r="5" spans="1:15" hidden="1" x14ac:dyDescent="0.25">
      <c r="A5" s="20">
        <v>2009</v>
      </c>
      <c r="B5" s="19">
        <v>2654</v>
      </c>
      <c r="C5" s="19">
        <v>1246</v>
      </c>
      <c r="D5" s="21">
        <f>C5/B5</f>
        <v>0.46948003014318013</v>
      </c>
      <c r="E5" s="19">
        <v>582</v>
      </c>
      <c r="F5" s="21">
        <f>E5/B5</f>
        <v>0.21929163526752071</v>
      </c>
      <c r="G5" s="21">
        <f>+E5/C5</f>
        <v>0.46709470304975925</v>
      </c>
      <c r="H5" s="1406"/>
      <c r="I5" s="2035"/>
      <c r="J5" s="2035"/>
      <c r="K5" s="2035"/>
      <c r="L5" s="2035"/>
      <c r="M5" s="1251"/>
      <c r="N5" s="1406"/>
      <c r="O5" s="1406"/>
    </row>
    <row r="6" spans="1:15" ht="13.2" hidden="1" customHeight="1" x14ac:dyDescent="0.25">
      <c r="A6" s="356"/>
      <c r="B6" s="357"/>
      <c r="C6" s="357"/>
      <c r="D6" s="358"/>
      <c r="E6" s="357"/>
      <c r="F6" s="358"/>
      <c r="G6" s="358"/>
      <c r="H6" s="1406"/>
      <c r="I6" s="2036" t="s">
        <v>825</v>
      </c>
      <c r="J6" s="2037" t="s">
        <v>820</v>
      </c>
      <c r="K6" s="2037" t="s">
        <v>821</v>
      </c>
      <c r="L6" s="2038" t="s">
        <v>823</v>
      </c>
      <c r="M6" s="1251"/>
      <c r="N6" s="1406"/>
      <c r="O6" s="1406"/>
    </row>
    <row r="7" spans="1:15" hidden="1" x14ac:dyDescent="0.25">
      <c r="A7" s="20">
        <v>2010</v>
      </c>
      <c r="B7" s="19">
        <v>2901</v>
      </c>
      <c r="C7" s="19">
        <v>1319</v>
      </c>
      <c r="D7" s="21">
        <f>C7/B7</f>
        <v>0.45467080317132025</v>
      </c>
      <c r="E7" s="19">
        <v>686</v>
      </c>
      <c r="F7" s="21">
        <f>E7/B7</f>
        <v>0.2364701826956222</v>
      </c>
      <c r="G7" s="21">
        <f>+E7/C7</f>
        <v>0.52009097801364668</v>
      </c>
      <c r="H7" s="1406"/>
      <c r="I7" s="2039">
        <f>+A5</f>
        <v>2009</v>
      </c>
      <c r="J7" s="2039">
        <f>+B5</f>
        <v>2654</v>
      </c>
      <c r="K7" s="2039">
        <f>+C5</f>
        <v>1246</v>
      </c>
      <c r="L7" s="2039">
        <f>+E5</f>
        <v>582</v>
      </c>
      <c r="M7" s="1251"/>
      <c r="N7" s="1406"/>
      <c r="O7" s="1406"/>
    </row>
    <row r="8" spans="1:15" x14ac:dyDescent="0.25">
      <c r="A8" s="356"/>
      <c r="B8" s="357"/>
      <c r="C8" s="357"/>
      <c r="D8" s="358"/>
      <c r="E8" s="357"/>
      <c r="F8" s="358"/>
      <c r="G8" s="358"/>
      <c r="H8" s="1406"/>
      <c r="I8" s="2040">
        <f>+A7</f>
        <v>2010</v>
      </c>
      <c r="J8" s="2039">
        <f>+B7</f>
        <v>2901</v>
      </c>
      <c r="K8" s="2039">
        <f>+C7</f>
        <v>1319</v>
      </c>
      <c r="L8" s="2039">
        <f>+E7</f>
        <v>686</v>
      </c>
      <c r="M8" s="1251"/>
      <c r="N8" s="1406"/>
      <c r="O8" s="1406"/>
    </row>
    <row r="9" spans="1:15" ht="13.8" thickBot="1" x14ac:dyDescent="0.3">
      <c r="A9" s="731">
        <v>2011</v>
      </c>
      <c r="B9" s="732">
        <v>3189</v>
      </c>
      <c r="C9" s="732">
        <v>1348</v>
      </c>
      <c r="D9" s="733">
        <f>C9/B9</f>
        <v>0.42270304170586392</v>
      </c>
      <c r="E9" s="732">
        <v>595</v>
      </c>
      <c r="F9" s="733">
        <f>E9/B9</f>
        <v>0.18657886484791469</v>
      </c>
      <c r="G9" s="733">
        <f>+E9/C9</f>
        <v>0.4413946587537092</v>
      </c>
      <c r="H9" s="1406"/>
      <c r="I9" s="2041">
        <f>+A9</f>
        <v>2011</v>
      </c>
      <c r="J9" s="2039">
        <f>+B9</f>
        <v>3189</v>
      </c>
      <c r="K9" s="2039">
        <f>+C9</f>
        <v>1348</v>
      </c>
      <c r="L9" s="2042">
        <f>+E9</f>
        <v>595</v>
      </c>
      <c r="M9" s="1251"/>
      <c r="N9" s="1406"/>
      <c r="O9" s="1406"/>
    </row>
    <row r="10" spans="1:15" x14ac:dyDescent="0.25">
      <c r="A10" s="356"/>
      <c r="B10" s="357"/>
      <c r="C10" s="357"/>
      <c r="D10" s="358"/>
      <c r="E10" s="357"/>
      <c r="F10" s="358"/>
      <c r="G10" s="358"/>
      <c r="H10" s="1406"/>
      <c r="I10" s="2043">
        <f>+A11</f>
        <v>2012</v>
      </c>
      <c r="J10" s="2039">
        <f>+B11</f>
        <v>3349</v>
      </c>
      <c r="K10" s="2040">
        <f>+C11</f>
        <v>1412</v>
      </c>
      <c r="L10" s="2042">
        <f>+E11</f>
        <v>569</v>
      </c>
      <c r="M10" s="1251"/>
      <c r="N10" s="1406"/>
      <c r="O10" s="1406"/>
    </row>
    <row r="11" spans="1:15" ht="13.8" thickBot="1" x14ac:dyDescent="0.3">
      <c r="A11" s="731">
        <v>2012</v>
      </c>
      <c r="B11" s="732">
        <v>3349</v>
      </c>
      <c r="C11" s="732">
        <v>1412</v>
      </c>
      <c r="D11" s="733">
        <f>C11/B11</f>
        <v>0.42161839355031355</v>
      </c>
      <c r="E11" s="732">
        <v>569</v>
      </c>
      <c r="F11" s="733">
        <f>E11/B11</f>
        <v>0.16990146312332038</v>
      </c>
      <c r="G11" s="733">
        <f>+E11/C11</f>
        <v>0.40297450424929177</v>
      </c>
      <c r="H11" s="1406"/>
      <c r="I11" s="2044">
        <f>+A13</f>
        <v>2013</v>
      </c>
      <c r="J11" s="2039">
        <f>+B13</f>
        <v>3081</v>
      </c>
      <c r="K11" s="2040">
        <f>+C13</f>
        <v>1392</v>
      </c>
      <c r="L11" s="2042">
        <f>+E13</f>
        <v>517</v>
      </c>
      <c r="M11" s="1251"/>
      <c r="N11" s="1406"/>
      <c r="O11" s="1406"/>
    </row>
    <row r="12" spans="1:15" x14ac:dyDescent="0.25">
      <c r="A12" s="356"/>
      <c r="B12" s="357"/>
      <c r="C12" s="357"/>
      <c r="D12" s="358"/>
      <c r="E12" s="357"/>
      <c r="F12" s="358"/>
      <c r="G12" s="358"/>
      <c r="H12" s="1406"/>
      <c r="I12" s="2044">
        <v>2014</v>
      </c>
      <c r="J12" s="2039">
        <f>+B15</f>
        <v>2963</v>
      </c>
      <c r="K12" s="2040">
        <f>+C15</f>
        <v>1712</v>
      </c>
      <c r="L12" s="2042">
        <f>+E15</f>
        <v>554</v>
      </c>
      <c r="M12" s="1251"/>
      <c r="N12" s="1406"/>
      <c r="O12" s="1406"/>
    </row>
    <row r="13" spans="1:15" ht="13.8" thickBot="1" x14ac:dyDescent="0.3">
      <c r="A13" s="731">
        <v>2013</v>
      </c>
      <c r="B13" s="732">
        <v>3081</v>
      </c>
      <c r="C13" s="732">
        <v>1392</v>
      </c>
      <c r="D13" s="733">
        <f>C13/B13</f>
        <v>0.45180136319376824</v>
      </c>
      <c r="E13" s="732">
        <v>517</v>
      </c>
      <c r="F13" s="733">
        <f>E13/B13</f>
        <v>0.16780266147354755</v>
      </c>
      <c r="G13" s="733">
        <f>+E13/C13</f>
        <v>0.37140804597701149</v>
      </c>
      <c r="H13" s="1406"/>
      <c r="I13" s="2044">
        <v>2015</v>
      </c>
      <c r="J13" s="2039">
        <f>+B17</f>
        <v>2614</v>
      </c>
      <c r="K13" s="2039">
        <f>+C17</f>
        <v>1620</v>
      </c>
      <c r="L13" s="2039">
        <f>+E17</f>
        <v>558</v>
      </c>
      <c r="M13" s="1251"/>
      <c r="N13" s="1406"/>
      <c r="O13" s="1406"/>
    </row>
    <row r="14" spans="1:15" x14ac:dyDescent="0.25">
      <c r="A14" s="356"/>
      <c r="B14" s="357"/>
      <c r="C14" s="357"/>
      <c r="D14" s="358"/>
      <c r="E14" s="357"/>
      <c r="F14" s="358"/>
      <c r="G14" s="358"/>
      <c r="H14" s="1406"/>
      <c r="I14" s="1251"/>
      <c r="J14" s="1251"/>
      <c r="K14" s="1251"/>
      <c r="L14" s="1251"/>
      <c r="M14" s="1251"/>
      <c r="N14" s="1406"/>
      <c r="O14" s="1406"/>
    </row>
    <row r="15" spans="1:15" ht="13.8" thickBot="1" x14ac:dyDescent="0.3">
      <c r="A15" s="731">
        <v>2014</v>
      </c>
      <c r="B15" s="732">
        <v>2963</v>
      </c>
      <c r="C15" s="732">
        <v>1712</v>
      </c>
      <c r="D15" s="733">
        <f>C15/B15</f>
        <v>0.57779277759028014</v>
      </c>
      <c r="E15" s="732">
        <v>554</v>
      </c>
      <c r="F15" s="733">
        <f>E15/B15</f>
        <v>0.18697266284171449</v>
      </c>
      <c r="G15" s="733">
        <f>+E15/C15</f>
        <v>0.32359813084112149</v>
      </c>
      <c r="I15" s="1251"/>
      <c r="J15" s="1251"/>
      <c r="K15" s="1251"/>
      <c r="L15" s="1251"/>
      <c r="M15" s="1251"/>
      <c r="N15" s="1406"/>
      <c r="O15" s="1406"/>
    </row>
    <row r="16" spans="1:15" x14ac:dyDescent="0.25">
      <c r="A16" s="356"/>
      <c r="B16" s="357"/>
      <c r="C16" s="357"/>
      <c r="D16" s="358"/>
      <c r="E16" s="357"/>
      <c r="F16" s="358"/>
      <c r="G16" s="358"/>
      <c r="I16" s="1406"/>
      <c r="J16" s="1406"/>
      <c r="K16" s="1406"/>
      <c r="L16" s="1406"/>
      <c r="M16" s="1406"/>
      <c r="N16" s="1406"/>
      <c r="O16" s="1406"/>
    </row>
    <row r="17" spans="1:15" ht="13.8" thickBot="1" x14ac:dyDescent="0.3">
      <c r="A17" s="731">
        <v>2015</v>
      </c>
      <c r="B17" s="732">
        <v>2614</v>
      </c>
      <c r="C17" s="732">
        <v>1620</v>
      </c>
      <c r="D17" s="733">
        <f>C17/B17</f>
        <v>0.61973986228003064</v>
      </c>
      <c r="E17" s="732">
        <v>558</v>
      </c>
      <c r="F17" s="733">
        <f>E17/B17</f>
        <v>0.21346595256312165</v>
      </c>
      <c r="G17" s="733">
        <f>+E17/C17</f>
        <v>0.34444444444444444</v>
      </c>
      <c r="I17" s="1406"/>
      <c r="J17" s="1406"/>
      <c r="K17" s="1406"/>
      <c r="L17" s="1406"/>
      <c r="M17" s="1406"/>
      <c r="N17" s="1406"/>
      <c r="O17" s="1406"/>
    </row>
  </sheetData>
  <mergeCells count="1">
    <mergeCell ref="A1:G1"/>
  </mergeCells>
  <phoneticPr fontId="16" type="noConversion"/>
  <printOptions horizontalCentered="1" verticalCentered="1"/>
  <pageMargins left="0.75" right="0.75" top="1" bottom="0.7" header="0.5" footer="0.5"/>
  <pageSetup orientation="landscape" r:id="rId1"/>
  <headerFooter alignWithMargins="0">
    <oddHeader xml:space="preserve">&amp;C </oddHeader>
    <oddFooter>&amp;C &amp;R&amp;8Source: Office of Admissions</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M46"/>
  <sheetViews>
    <sheetView workbookViewId="0">
      <selection sqref="A1:M1"/>
    </sheetView>
  </sheetViews>
  <sheetFormatPr defaultColWidth="6.6640625" defaultRowHeight="13.2" x14ac:dyDescent="0.25"/>
  <cols>
    <col min="1" max="1" width="15.6640625" style="210" customWidth="1"/>
    <col min="2" max="8" width="8.6640625" style="210" hidden="1" customWidth="1"/>
    <col min="9" max="47" width="8.6640625" style="210" customWidth="1"/>
    <col min="48" max="16384" width="6.6640625" style="210"/>
  </cols>
  <sheetData>
    <row r="1" spans="1:13" ht="48" customHeight="1" x14ac:dyDescent="0.25">
      <c r="A1" s="2227" t="s">
        <v>604</v>
      </c>
      <c r="B1" s="2227"/>
      <c r="C1" s="2227"/>
      <c r="D1" s="2227"/>
      <c r="E1" s="2227"/>
      <c r="F1" s="2227"/>
      <c r="G1" s="2227"/>
      <c r="H1" s="2227"/>
      <c r="I1" s="2227"/>
      <c r="J1" s="2227"/>
      <c r="K1" s="2227"/>
      <c r="L1" s="2227"/>
      <c r="M1" s="2227"/>
    </row>
    <row r="2" spans="1:13" ht="13.8" thickBot="1" x14ac:dyDescent="0.3">
      <c r="A2" s="1295" t="s">
        <v>1320</v>
      </c>
      <c r="B2" s="1290">
        <v>2000</v>
      </c>
      <c r="C2" s="1287">
        <v>2001</v>
      </c>
      <c r="D2" s="1287">
        <v>2002</v>
      </c>
      <c r="E2" s="1288">
        <v>2007</v>
      </c>
      <c r="F2" s="1289">
        <f>+E2+1</f>
        <v>2008</v>
      </c>
      <c r="G2" s="1293">
        <f>+F2+1</f>
        <v>2009</v>
      </c>
      <c r="H2" s="1294">
        <f>+G2+1</f>
        <v>2010</v>
      </c>
      <c r="I2" s="1294">
        <f>+H2+1</f>
        <v>2011</v>
      </c>
      <c r="J2" s="1293">
        <v>2012</v>
      </c>
      <c r="K2" s="1291">
        <v>2013</v>
      </c>
      <c r="L2" s="1291">
        <v>2014</v>
      </c>
      <c r="M2" s="1291">
        <v>2015</v>
      </c>
    </row>
    <row r="3" spans="1:13" ht="12.75" customHeight="1" x14ac:dyDescent="0.3">
      <c r="A3" s="1292"/>
      <c r="B3" s="336"/>
      <c r="C3" s="336"/>
      <c r="D3" s="336"/>
      <c r="E3" s="336"/>
      <c r="F3" s="336"/>
      <c r="G3" s="336"/>
      <c r="H3" s="1292"/>
      <c r="I3" s="1292"/>
      <c r="J3" s="336"/>
      <c r="K3" s="1292"/>
      <c r="L3" s="1292"/>
      <c r="M3" s="1292"/>
    </row>
    <row r="4" spans="1:13" ht="12.75" customHeight="1" x14ac:dyDescent="0.25">
      <c r="A4" s="212" t="s">
        <v>1321</v>
      </c>
      <c r="B4" s="213"/>
      <c r="C4" s="213"/>
      <c r="D4" s="213">
        <v>0</v>
      </c>
      <c r="E4" s="213">
        <v>1</v>
      </c>
      <c r="F4" s="213">
        <v>1</v>
      </c>
      <c r="G4" s="213">
        <v>1</v>
      </c>
      <c r="H4" s="213">
        <v>1</v>
      </c>
      <c r="I4" s="213">
        <v>1</v>
      </c>
      <c r="J4" s="213">
        <v>1</v>
      </c>
      <c r="K4" s="213">
        <v>0</v>
      </c>
      <c r="L4" s="213">
        <v>0</v>
      </c>
      <c r="M4" s="213"/>
    </row>
    <row r="5" spans="1:13" ht="12.75" customHeight="1" x14ac:dyDescent="0.25">
      <c r="A5" s="212" t="s">
        <v>1322</v>
      </c>
      <c r="B5" s="213">
        <v>0</v>
      </c>
      <c r="C5" s="213">
        <v>0</v>
      </c>
      <c r="D5" s="213">
        <v>0</v>
      </c>
      <c r="E5" s="213">
        <v>2</v>
      </c>
      <c r="F5" s="213">
        <v>4</v>
      </c>
      <c r="G5" s="213">
        <v>4</v>
      </c>
      <c r="H5" s="213">
        <v>2</v>
      </c>
      <c r="I5" s="213">
        <v>2</v>
      </c>
      <c r="J5" s="213">
        <v>2</v>
      </c>
      <c r="K5" s="213">
        <v>2</v>
      </c>
      <c r="L5" s="213">
        <v>2</v>
      </c>
      <c r="M5" s="213">
        <v>2</v>
      </c>
    </row>
    <row r="6" spans="1:13" x14ac:dyDescent="0.25">
      <c r="A6" s="212" t="s">
        <v>1323</v>
      </c>
      <c r="B6" s="213">
        <v>2</v>
      </c>
      <c r="C6" s="213">
        <v>3</v>
      </c>
      <c r="D6" s="213">
        <v>2</v>
      </c>
      <c r="E6" s="213">
        <v>2</v>
      </c>
      <c r="F6" s="213">
        <v>1</v>
      </c>
      <c r="G6" s="213">
        <v>1</v>
      </c>
      <c r="H6" s="213">
        <v>3</v>
      </c>
      <c r="I6" s="213">
        <v>4</v>
      </c>
      <c r="J6" s="213">
        <v>6</v>
      </c>
      <c r="K6" s="213">
        <v>6</v>
      </c>
      <c r="L6" s="213">
        <v>6</v>
      </c>
      <c r="M6" s="213">
        <v>7</v>
      </c>
    </row>
    <row r="7" spans="1:13" x14ac:dyDescent="0.25">
      <c r="A7" s="955" t="s">
        <v>1309</v>
      </c>
      <c r="B7" s="213"/>
      <c r="C7" s="213"/>
      <c r="D7" s="213"/>
      <c r="E7" s="213">
        <v>0</v>
      </c>
      <c r="F7" s="213">
        <v>0</v>
      </c>
      <c r="G7" s="213">
        <v>0</v>
      </c>
      <c r="H7" s="213">
        <v>0</v>
      </c>
      <c r="I7" s="213">
        <v>1</v>
      </c>
      <c r="J7" s="213">
        <v>1</v>
      </c>
      <c r="K7" s="213">
        <v>1</v>
      </c>
      <c r="L7" s="213">
        <v>1</v>
      </c>
      <c r="M7" s="213">
        <v>1</v>
      </c>
    </row>
    <row r="8" spans="1:13" x14ac:dyDescent="0.25">
      <c r="A8" s="212" t="s">
        <v>1324</v>
      </c>
      <c r="B8" s="213">
        <v>2</v>
      </c>
      <c r="C8" s="213">
        <v>3</v>
      </c>
      <c r="D8" s="213">
        <v>3</v>
      </c>
      <c r="E8" s="213">
        <v>3</v>
      </c>
      <c r="F8" s="213">
        <v>3</v>
      </c>
      <c r="G8" s="213">
        <v>3</v>
      </c>
      <c r="H8" s="213">
        <v>3</v>
      </c>
      <c r="I8" s="213">
        <v>3</v>
      </c>
      <c r="J8" s="213">
        <v>3</v>
      </c>
      <c r="K8" s="213">
        <v>3</v>
      </c>
      <c r="L8" s="213">
        <v>3</v>
      </c>
      <c r="M8" s="213">
        <v>3</v>
      </c>
    </row>
    <row r="9" spans="1:13" x14ac:dyDescent="0.25">
      <c r="A9" s="212" t="s">
        <v>1325</v>
      </c>
      <c r="B9" s="213">
        <v>1</v>
      </c>
      <c r="C9" s="213">
        <v>1</v>
      </c>
      <c r="D9" s="213">
        <v>1</v>
      </c>
      <c r="E9" s="213">
        <v>3</v>
      </c>
      <c r="F9" s="213">
        <v>3</v>
      </c>
      <c r="G9" s="213">
        <v>3</v>
      </c>
      <c r="H9" s="213">
        <v>3</v>
      </c>
      <c r="I9" s="213">
        <v>3</v>
      </c>
      <c r="J9" s="213">
        <v>3</v>
      </c>
      <c r="K9" s="213">
        <v>3</v>
      </c>
      <c r="L9" s="213">
        <v>3</v>
      </c>
      <c r="M9" s="213">
        <v>3</v>
      </c>
    </row>
    <row r="10" spans="1:13" x14ac:dyDescent="0.25">
      <c r="A10" s="212" t="s">
        <v>1326</v>
      </c>
      <c r="B10" s="213">
        <v>2</v>
      </c>
      <c r="C10" s="213">
        <v>1</v>
      </c>
      <c r="D10" s="213">
        <v>1</v>
      </c>
      <c r="E10" s="213">
        <v>1</v>
      </c>
      <c r="F10" s="213">
        <v>2</v>
      </c>
      <c r="G10" s="213">
        <v>2</v>
      </c>
      <c r="H10" s="213">
        <v>3</v>
      </c>
      <c r="I10" s="213">
        <v>4</v>
      </c>
      <c r="J10" s="213">
        <v>6</v>
      </c>
      <c r="K10" s="213">
        <v>5</v>
      </c>
      <c r="L10" s="213">
        <v>5</v>
      </c>
      <c r="M10" s="213">
        <v>5</v>
      </c>
    </row>
    <row r="11" spans="1:13" x14ac:dyDescent="0.25">
      <c r="A11" s="212" t="s">
        <v>1327</v>
      </c>
      <c r="B11" s="213">
        <v>2</v>
      </c>
      <c r="C11" s="213">
        <v>2</v>
      </c>
      <c r="D11" s="213">
        <v>2</v>
      </c>
      <c r="E11" s="213">
        <v>2</v>
      </c>
      <c r="F11" s="213">
        <v>2</v>
      </c>
      <c r="G11" s="213">
        <v>2</v>
      </c>
      <c r="H11" s="213">
        <v>3</v>
      </c>
      <c r="I11" s="213">
        <v>3</v>
      </c>
      <c r="J11" s="213">
        <v>3</v>
      </c>
      <c r="K11" s="213">
        <v>3</v>
      </c>
      <c r="L11" s="213">
        <v>3</v>
      </c>
      <c r="M11" s="213">
        <v>3</v>
      </c>
    </row>
    <row r="12" spans="1:13" x14ac:dyDescent="0.25">
      <c r="A12" s="212" t="s">
        <v>1328</v>
      </c>
      <c r="B12" s="213">
        <v>4</v>
      </c>
      <c r="C12" s="213">
        <v>4</v>
      </c>
      <c r="D12" s="213">
        <v>3</v>
      </c>
      <c r="E12" s="213">
        <v>7</v>
      </c>
      <c r="F12" s="213">
        <v>8</v>
      </c>
      <c r="G12" s="213">
        <v>8</v>
      </c>
      <c r="H12" s="213">
        <v>9</v>
      </c>
      <c r="I12" s="213">
        <v>7</v>
      </c>
      <c r="J12" s="213">
        <v>11</v>
      </c>
      <c r="K12" s="213">
        <v>12</v>
      </c>
      <c r="L12" s="213">
        <v>11</v>
      </c>
      <c r="M12" s="213">
        <v>15</v>
      </c>
    </row>
    <row r="13" spans="1:13" x14ac:dyDescent="0.25">
      <c r="A13" s="212" t="s">
        <v>479</v>
      </c>
      <c r="B13" s="213"/>
      <c r="C13" s="213">
        <v>0</v>
      </c>
      <c r="D13" s="213">
        <v>0</v>
      </c>
      <c r="E13" s="213">
        <v>1</v>
      </c>
      <c r="F13" s="213">
        <v>1</v>
      </c>
      <c r="G13" s="213">
        <v>1</v>
      </c>
      <c r="H13" s="213">
        <v>1</v>
      </c>
      <c r="I13" s="213">
        <v>1</v>
      </c>
      <c r="J13" s="213">
        <v>1</v>
      </c>
      <c r="K13" s="213">
        <v>1</v>
      </c>
      <c r="L13" s="213">
        <v>1</v>
      </c>
      <c r="M13" s="213">
        <v>1</v>
      </c>
    </row>
    <row r="14" spans="1:13" x14ac:dyDescent="0.25">
      <c r="A14" s="955" t="s">
        <v>1435</v>
      </c>
      <c r="B14" s="213">
        <v>0</v>
      </c>
      <c r="C14" s="213">
        <v>0</v>
      </c>
      <c r="D14" s="213">
        <v>0</v>
      </c>
      <c r="E14" s="213">
        <v>0</v>
      </c>
      <c r="F14" s="213">
        <v>0</v>
      </c>
      <c r="G14" s="213">
        <v>0</v>
      </c>
      <c r="H14" s="213">
        <v>0</v>
      </c>
      <c r="I14" s="213">
        <v>1</v>
      </c>
      <c r="J14" s="213">
        <v>1</v>
      </c>
      <c r="K14" s="213">
        <v>1</v>
      </c>
      <c r="L14" s="213">
        <v>1</v>
      </c>
      <c r="M14" s="213">
        <v>1</v>
      </c>
    </row>
    <row r="15" spans="1:13" x14ac:dyDescent="0.25">
      <c r="A15" s="1571" t="s">
        <v>1329</v>
      </c>
      <c r="B15" s="1570">
        <v>0</v>
      </c>
      <c r="C15" s="1570">
        <v>0</v>
      </c>
      <c r="D15" s="1570">
        <v>0</v>
      </c>
      <c r="E15" s="1570">
        <v>0</v>
      </c>
      <c r="F15" s="1570">
        <v>0</v>
      </c>
      <c r="G15" s="1570">
        <v>0</v>
      </c>
      <c r="H15" s="1570">
        <v>0</v>
      </c>
      <c r="I15" s="1570">
        <v>0</v>
      </c>
      <c r="J15" s="1570">
        <v>0</v>
      </c>
      <c r="K15" s="1570">
        <v>0</v>
      </c>
      <c r="L15" s="1570">
        <v>1</v>
      </c>
      <c r="M15" s="1570">
        <v>1</v>
      </c>
    </row>
    <row r="16" spans="1:13" x14ac:dyDescent="0.25">
      <c r="A16" s="212" t="s">
        <v>1330</v>
      </c>
      <c r="B16" s="213">
        <v>0</v>
      </c>
      <c r="C16" s="213">
        <v>0</v>
      </c>
      <c r="D16" s="213">
        <v>0</v>
      </c>
      <c r="E16" s="213">
        <v>3</v>
      </c>
      <c r="F16" s="213">
        <v>4</v>
      </c>
      <c r="G16" s="213">
        <v>4</v>
      </c>
      <c r="H16" s="213">
        <v>5</v>
      </c>
      <c r="I16" s="213">
        <v>5</v>
      </c>
      <c r="J16" s="213">
        <v>6</v>
      </c>
      <c r="K16" s="213">
        <v>6</v>
      </c>
      <c r="L16" s="213">
        <v>6</v>
      </c>
      <c r="M16" s="213">
        <v>6</v>
      </c>
    </row>
    <row r="17" spans="1:13" x14ac:dyDescent="0.25">
      <c r="A17" s="212" t="s">
        <v>1331</v>
      </c>
      <c r="B17" s="213">
        <v>3</v>
      </c>
      <c r="C17" s="213">
        <v>3</v>
      </c>
      <c r="D17" s="213">
        <v>4</v>
      </c>
      <c r="E17" s="213">
        <v>5</v>
      </c>
      <c r="F17" s="213">
        <v>4</v>
      </c>
      <c r="G17" s="213">
        <v>4</v>
      </c>
      <c r="H17" s="213">
        <v>4</v>
      </c>
      <c r="I17" s="213">
        <v>4</v>
      </c>
      <c r="J17" s="213">
        <v>5</v>
      </c>
      <c r="K17" s="213">
        <v>6</v>
      </c>
      <c r="L17" s="213">
        <v>10</v>
      </c>
      <c r="M17" s="213">
        <v>11</v>
      </c>
    </row>
    <row r="18" spans="1:13" x14ac:dyDescent="0.25">
      <c r="A18" s="212" t="s">
        <v>1332</v>
      </c>
      <c r="B18" s="213">
        <v>4</v>
      </c>
      <c r="C18" s="213">
        <v>10</v>
      </c>
      <c r="D18" s="213">
        <v>13</v>
      </c>
      <c r="E18" s="213">
        <v>17</v>
      </c>
      <c r="F18" s="213">
        <v>19</v>
      </c>
      <c r="G18" s="213">
        <v>20</v>
      </c>
      <c r="H18" s="213">
        <v>19</v>
      </c>
      <c r="I18" s="213">
        <v>21</v>
      </c>
      <c r="J18" s="213">
        <v>21</v>
      </c>
      <c r="K18" s="213">
        <v>21</v>
      </c>
      <c r="L18" s="213">
        <v>21</v>
      </c>
      <c r="M18" s="213">
        <v>22</v>
      </c>
    </row>
    <row r="19" spans="1:13" x14ac:dyDescent="0.25">
      <c r="A19" s="212" t="s">
        <v>801</v>
      </c>
      <c r="B19" s="213">
        <v>0</v>
      </c>
      <c r="C19" s="213">
        <v>0</v>
      </c>
      <c r="D19" s="213">
        <v>2</v>
      </c>
      <c r="E19" s="213">
        <v>0</v>
      </c>
      <c r="F19" s="213">
        <v>0</v>
      </c>
      <c r="G19" s="213">
        <v>0</v>
      </c>
      <c r="H19" s="213">
        <v>1</v>
      </c>
      <c r="I19" s="213">
        <v>0</v>
      </c>
      <c r="J19" s="213">
        <v>1</v>
      </c>
      <c r="K19" s="213">
        <v>1</v>
      </c>
      <c r="L19" s="213">
        <v>1</v>
      </c>
      <c r="M19" s="213">
        <v>1</v>
      </c>
    </row>
    <row r="20" spans="1:13" x14ac:dyDescent="0.25">
      <c r="A20" s="212" t="s">
        <v>1333</v>
      </c>
      <c r="B20" s="213">
        <v>1</v>
      </c>
      <c r="C20" s="213">
        <v>1</v>
      </c>
      <c r="D20" s="213">
        <v>1</v>
      </c>
      <c r="E20" s="213">
        <v>1</v>
      </c>
      <c r="F20" s="213">
        <v>1</v>
      </c>
      <c r="G20" s="213">
        <v>1</v>
      </c>
      <c r="H20" s="213">
        <v>1</v>
      </c>
      <c r="I20" s="213">
        <v>1</v>
      </c>
      <c r="J20" s="213">
        <v>1</v>
      </c>
      <c r="K20" s="213">
        <v>1</v>
      </c>
      <c r="L20" s="213">
        <v>1</v>
      </c>
      <c r="M20" s="213">
        <v>1</v>
      </c>
    </row>
    <row r="21" spans="1:13" x14ac:dyDescent="0.25">
      <c r="A21" s="955" t="s">
        <v>159</v>
      </c>
      <c r="B21" s="213"/>
      <c r="C21" s="213"/>
      <c r="D21" s="213"/>
      <c r="E21" s="213">
        <v>0</v>
      </c>
      <c r="F21" s="213">
        <v>0</v>
      </c>
      <c r="G21" s="213">
        <v>0</v>
      </c>
      <c r="H21" s="213">
        <v>0</v>
      </c>
      <c r="I21" s="213">
        <v>1</v>
      </c>
      <c r="J21" s="213">
        <v>1</v>
      </c>
      <c r="K21" s="213">
        <v>2</v>
      </c>
      <c r="L21" s="213">
        <v>1</v>
      </c>
      <c r="M21" s="213">
        <v>1</v>
      </c>
    </row>
    <row r="22" spans="1:13" x14ac:dyDescent="0.25">
      <c r="A22" s="955" t="s">
        <v>271</v>
      </c>
      <c r="B22" s="213"/>
      <c r="C22" s="213"/>
      <c r="D22" s="213"/>
      <c r="E22" s="213">
        <v>0</v>
      </c>
      <c r="F22" s="213">
        <v>0</v>
      </c>
      <c r="G22" s="213">
        <v>0</v>
      </c>
      <c r="H22" s="213">
        <v>0</v>
      </c>
      <c r="I22" s="213">
        <v>1</v>
      </c>
      <c r="J22" s="213">
        <v>1</v>
      </c>
      <c r="K22" s="213">
        <v>1</v>
      </c>
      <c r="L22" s="213">
        <v>1</v>
      </c>
      <c r="M22" s="213">
        <v>1</v>
      </c>
    </row>
    <row r="23" spans="1:13" x14ac:dyDescent="0.25">
      <c r="A23" s="212" t="s">
        <v>605</v>
      </c>
      <c r="B23" s="213">
        <v>5</v>
      </c>
      <c r="C23" s="213">
        <v>5</v>
      </c>
      <c r="D23" s="213">
        <v>5</v>
      </c>
      <c r="E23" s="213">
        <v>3</v>
      </c>
      <c r="F23" s="213">
        <v>3</v>
      </c>
      <c r="G23" s="213">
        <v>3</v>
      </c>
      <c r="H23" s="213">
        <v>2</v>
      </c>
      <c r="I23" s="213">
        <v>3</v>
      </c>
      <c r="J23" s="213">
        <v>2</v>
      </c>
      <c r="K23" s="213">
        <v>2</v>
      </c>
      <c r="L23" s="213">
        <v>2</v>
      </c>
      <c r="M23" s="213">
        <v>2</v>
      </c>
    </row>
    <row r="24" spans="1:13" x14ac:dyDescent="0.25">
      <c r="A24" s="212" t="s">
        <v>606</v>
      </c>
      <c r="B24" s="213">
        <v>1</v>
      </c>
      <c r="C24" s="213">
        <v>1</v>
      </c>
      <c r="D24" s="213">
        <v>1</v>
      </c>
      <c r="E24" s="213">
        <v>1</v>
      </c>
      <c r="F24" s="213">
        <v>1</v>
      </c>
      <c r="G24" s="213">
        <v>1</v>
      </c>
      <c r="H24" s="213">
        <v>1</v>
      </c>
      <c r="I24" s="213">
        <v>1</v>
      </c>
      <c r="J24" s="213">
        <v>1</v>
      </c>
      <c r="K24" s="213">
        <v>1</v>
      </c>
      <c r="L24" s="213">
        <v>1</v>
      </c>
      <c r="M24" s="213">
        <v>1</v>
      </c>
    </row>
    <row r="25" spans="1:13" x14ac:dyDescent="0.25">
      <c r="A25" s="212" t="s">
        <v>1335</v>
      </c>
      <c r="B25" s="213">
        <v>0</v>
      </c>
      <c r="C25" s="213">
        <v>0</v>
      </c>
      <c r="D25" s="213">
        <v>2</v>
      </c>
      <c r="E25" s="213">
        <v>2</v>
      </c>
      <c r="F25" s="213">
        <v>1</v>
      </c>
      <c r="G25" s="213">
        <v>1</v>
      </c>
      <c r="H25" s="213">
        <v>2</v>
      </c>
      <c r="I25" s="213">
        <v>2</v>
      </c>
      <c r="J25" s="213">
        <v>3</v>
      </c>
      <c r="K25" s="213">
        <v>3</v>
      </c>
      <c r="L25" s="213">
        <v>1</v>
      </c>
      <c r="M25" s="213">
        <v>1</v>
      </c>
    </row>
    <row r="26" spans="1:13" x14ac:dyDescent="0.25">
      <c r="A26" s="212" t="s">
        <v>802</v>
      </c>
      <c r="B26" s="213">
        <v>0</v>
      </c>
      <c r="C26" s="213">
        <v>0</v>
      </c>
      <c r="D26" s="213">
        <v>1</v>
      </c>
      <c r="E26" s="213">
        <v>1</v>
      </c>
      <c r="F26" s="213">
        <v>1</v>
      </c>
      <c r="G26" s="213">
        <v>1</v>
      </c>
      <c r="H26" s="213">
        <v>1</v>
      </c>
      <c r="I26" s="213">
        <v>2</v>
      </c>
      <c r="J26" s="213">
        <v>2</v>
      </c>
      <c r="K26" s="213">
        <v>3</v>
      </c>
      <c r="L26" s="213">
        <v>1</v>
      </c>
      <c r="M26" s="213">
        <v>1</v>
      </c>
    </row>
    <row r="27" spans="1:13" x14ac:dyDescent="0.25">
      <c r="A27" s="212" t="s">
        <v>480</v>
      </c>
      <c r="B27" s="213"/>
      <c r="C27" s="213">
        <v>0</v>
      </c>
      <c r="D27" s="213">
        <v>0</v>
      </c>
      <c r="E27" s="213">
        <v>1</v>
      </c>
      <c r="F27" s="213">
        <v>0</v>
      </c>
      <c r="G27" s="213">
        <v>0</v>
      </c>
      <c r="H27" s="213">
        <v>1</v>
      </c>
      <c r="I27" s="213">
        <v>0</v>
      </c>
      <c r="J27" s="213">
        <v>1</v>
      </c>
      <c r="K27" s="213">
        <v>2</v>
      </c>
      <c r="L27" s="213">
        <v>2</v>
      </c>
      <c r="M27" s="213">
        <v>2</v>
      </c>
    </row>
    <row r="28" spans="1:13" x14ac:dyDescent="0.25">
      <c r="A28" s="212" t="s">
        <v>1336</v>
      </c>
      <c r="B28" s="213">
        <v>1</v>
      </c>
      <c r="C28" s="213">
        <v>1</v>
      </c>
      <c r="D28" s="213">
        <v>2</v>
      </c>
      <c r="E28" s="213">
        <v>2</v>
      </c>
      <c r="F28" s="213">
        <v>2</v>
      </c>
      <c r="G28" s="213">
        <v>2</v>
      </c>
      <c r="H28" s="213">
        <v>1</v>
      </c>
      <c r="I28" s="213">
        <v>1</v>
      </c>
      <c r="J28" s="213">
        <v>1</v>
      </c>
      <c r="K28" s="213">
        <v>1</v>
      </c>
      <c r="L28" s="213">
        <v>1</v>
      </c>
      <c r="M28" s="213">
        <v>1</v>
      </c>
    </row>
    <row r="29" spans="1:13" x14ac:dyDescent="0.25">
      <c r="A29" s="212" t="s">
        <v>727</v>
      </c>
      <c r="B29" s="213">
        <v>0</v>
      </c>
      <c r="C29" s="213">
        <v>0</v>
      </c>
      <c r="D29" s="213">
        <v>0</v>
      </c>
      <c r="E29" s="213">
        <v>1</v>
      </c>
      <c r="F29" s="213">
        <v>1</v>
      </c>
      <c r="G29" s="213">
        <v>1</v>
      </c>
      <c r="H29" s="213">
        <v>1</v>
      </c>
      <c r="I29" s="213">
        <v>1</v>
      </c>
      <c r="J29" s="213">
        <v>1</v>
      </c>
      <c r="K29" s="213">
        <v>2</v>
      </c>
      <c r="L29" s="213">
        <v>2</v>
      </c>
      <c r="M29" s="213">
        <v>2</v>
      </c>
    </row>
    <row r="30" spans="1:13" x14ac:dyDescent="0.25">
      <c r="A30" s="955" t="s">
        <v>1118</v>
      </c>
      <c r="B30" s="213"/>
      <c r="C30" s="213"/>
      <c r="D30" s="213"/>
      <c r="E30" s="213">
        <v>0</v>
      </c>
      <c r="F30" s="213">
        <v>0</v>
      </c>
      <c r="G30" s="213">
        <v>0</v>
      </c>
      <c r="H30" s="213">
        <v>2</v>
      </c>
      <c r="I30" s="213">
        <v>2</v>
      </c>
      <c r="J30" s="213">
        <v>1</v>
      </c>
      <c r="K30" s="213">
        <v>2</v>
      </c>
      <c r="L30" s="213">
        <v>1</v>
      </c>
      <c r="M30" s="213">
        <v>1</v>
      </c>
    </row>
    <row r="31" spans="1:13" x14ac:dyDescent="0.25">
      <c r="A31" s="955" t="s">
        <v>1462</v>
      </c>
      <c r="B31" s="213"/>
      <c r="C31" s="213"/>
      <c r="D31" s="213"/>
      <c r="E31" s="213">
        <v>0</v>
      </c>
      <c r="F31" s="213">
        <v>0</v>
      </c>
      <c r="G31" s="213">
        <v>0</v>
      </c>
      <c r="H31" s="213">
        <v>1</v>
      </c>
      <c r="I31" s="213">
        <v>0</v>
      </c>
      <c r="J31" s="213">
        <v>0</v>
      </c>
      <c r="K31" s="213">
        <v>0</v>
      </c>
      <c r="L31" s="213">
        <v>0</v>
      </c>
      <c r="M31" s="213"/>
    </row>
    <row r="32" spans="1:13" x14ac:dyDescent="0.25">
      <c r="A32" s="212" t="s">
        <v>1337</v>
      </c>
      <c r="B32" s="213">
        <v>6</v>
      </c>
      <c r="C32" s="213">
        <v>5</v>
      </c>
      <c r="D32" s="213">
        <v>8</v>
      </c>
      <c r="E32" s="213">
        <v>8</v>
      </c>
      <c r="F32" s="213">
        <v>10</v>
      </c>
      <c r="G32" s="213">
        <v>10</v>
      </c>
      <c r="H32" s="213">
        <v>11</v>
      </c>
      <c r="I32" s="213">
        <v>12</v>
      </c>
      <c r="J32" s="213">
        <v>13</v>
      </c>
      <c r="K32" s="213">
        <v>12</v>
      </c>
      <c r="L32" s="213">
        <v>14</v>
      </c>
      <c r="M32" s="213">
        <v>17</v>
      </c>
    </row>
    <row r="33" spans="1:13" x14ac:dyDescent="0.25">
      <c r="A33" s="955" t="s">
        <v>840</v>
      </c>
      <c r="B33" s="213"/>
      <c r="C33" s="213"/>
      <c r="D33" s="213"/>
      <c r="E33" s="213">
        <v>0</v>
      </c>
      <c r="F33" s="213">
        <v>0</v>
      </c>
      <c r="G33" s="213">
        <v>0</v>
      </c>
      <c r="H33" s="213">
        <v>1</v>
      </c>
      <c r="I33" s="213">
        <v>1</v>
      </c>
      <c r="J33" s="213">
        <v>1</v>
      </c>
      <c r="K33" s="213">
        <v>1</v>
      </c>
      <c r="L33" s="213">
        <v>1</v>
      </c>
      <c r="M33" s="213">
        <v>1</v>
      </c>
    </row>
    <row r="34" spans="1:13" x14ac:dyDescent="0.25">
      <c r="A34" s="212" t="s">
        <v>1338</v>
      </c>
      <c r="B34" s="213">
        <v>2</v>
      </c>
      <c r="C34" s="213">
        <v>2</v>
      </c>
      <c r="D34" s="213">
        <v>4</v>
      </c>
      <c r="E34" s="213">
        <v>2</v>
      </c>
      <c r="F34" s="213">
        <v>2</v>
      </c>
      <c r="G34" s="213">
        <v>2</v>
      </c>
      <c r="H34" s="213">
        <v>2</v>
      </c>
      <c r="I34" s="213">
        <v>2</v>
      </c>
      <c r="J34" s="213">
        <v>3</v>
      </c>
      <c r="K34" s="213">
        <v>2</v>
      </c>
      <c r="L34" s="213">
        <v>2</v>
      </c>
      <c r="M34" s="213">
        <v>2</v>
      </c>
    </row>
    <row r="35" spans="1:13" x14ac:dyDescent="0.25">
      <c r="A35" s="1572" t="s">
        <v>273</v>
      </c>
      <c r="B35" s="213">
        <v>0</v>
      </c>
      <c r="C35" s="213">
        <v>0</v>
      </c>
      <c r="D35" s="213">
        <v>1</v>
      </c>
      <c r="E35" s="213">
        <v>0</v>
      </c>
      <c r="F35" s="213">
        <v>0</v>
      </c>
      <c r="G35" s="213">
        <v>0</v>
      </c>
      <c r="H35" s="213">
        <v>1</v>
      </c>
      <c r="I35" s="213">
        <v>1</v>
      </c>
      <c r="J35" s="213">
        <v>2</v>
      </c>
      <c r="K35" s="213">
        <v>2</v>
      </c>
      <c r="L35" s="213">
        <v>2</v>
      </c>
      <c r="M35" s="213">
        <v>2</v>
      </c>
    </row>
    <row r="36" spans="1:13" x14ac:dyDescent="0.25">
      <c r="A36" s="212" t="s">
        <v>1339</v>
      </c>
      <c r="B36" s="213">
        <v>10</v>
      </c>
      <c r="C36" s="213">
        <v>10</v>
      </c>
      <c r="D36" s="213">
        <v>10</v>
      </c>
      <c r="E36" s="213">
        <v>10</v>
      </c>
      <c r="F36" s="213">
        <v>8</v>
      </c>
      <c r="G36" s="213">
        <v>8</v>
      </c>
      <c r="H36" s="213">
        <v>11</v>
      </c>
      <c r="I36" s="213">
        <v>19</v>
      </c>
      <c r="J36" s="213">
        <v>18</v>
      </c>
      <c r="K36" s="213">
        <v>21</v>
      </c>
      <c r="L36" s="213">
        <v>22</v>
      </c>
      <c r="M36" s="213">
        <v>25</v>
      </c>
    </row>
    <row r="37" spans="1:13" x14ac:dyDescent="0.25">
      <c r="A37" s="212" t="s">
        <v>481</v>
      </c>
      <c r="B37" s="213"/>
      <c r="C37" s="213">
        <v>0</v>
      </c>
      <c r="D37" s="213">
        <v>0</v>
      </c>
      <c r="E37" s="213">
        <v>2</v>
      </c>
      <c r="F37" s="213">
        <v>3</v>
      </c>
      <c r="G37" s="213">
        <v>3</v>
      </c>
      <c r="H37" s="213">
        <v>1</v>
      </c>
      <c r="I37" s="213">
        <v>2</v>
      </c>
      <c r="J37" s="213">
        <v>1</v>
      </c>
      <c r="K37" s="213">
        <v>1</v>
      </c>
      <c r="L37" s="213">
        <v>2</v>
      </c>
      <c r="M37" s="213">
        <v>2</v>
      </c>
    </row>
    <row r="38" spans="1:13" x14ac:dyDescent="0.25">
      <c r="A38" s="212" t="s">
        <v>1340</v>
      </c>
      <c r="B38" s="265"/>
      <c r="C38" s="596">
        <v>0</v>
      </c>
      <c r="D38" s="596">
        <v>0</v>
      </c>
      <c r="E38" s="596">
        <v>2</v>
      </c>
      <c r="F38" s="596">
        <v>2</v>
      </c>
      <c r="G38" s="596">
        <v>2</v>
      </c>
      <c r="H38" s="213">
        <v>2</v>
      </c>
      <c r="I38" s="596">
        <v>2</v>
      </c>
      <c r="J38" s="596">
        <v>2</v>
      </c>
      <c r="K38" s="596">
        <v>2</v>
      </c>
      <c r="L38" s="596">
        <v>5</v>
      </c>
      <c r="M38" s="596">
        <v>5</v>
      </c>
    </row>
    <row r="39" spans="1:13" x14ac:dyDescent="0.25">
      <c r="A39" s="955" t="s">
        <v>1342</v>
      </c>
      <c r="B39" s="265"/>
      <c r="C39" s="596"/>
      <c r="D39" s="596"/>
      <c r="E39" s="596">
        <v>0</v>
      </c>
      <c r="F39" s="596">
        <v>0</v>
      </c>
      <c r="G39" s="596">
        <v>0</v>
      </c>
      <c r="H39" s="213">
        <v>2</v>
      </c>
      <c r="I39" s="596">
        <v>2</v>
      </c>
      <c r="J39" s="596">
        <v>3</v>
      </c>
      <c r="K39" s="596">
        <v>3</v>
      </c>
      <c r="L39" s="596">
        <v>3</v>
      </c>
      <c r="M39" s="596">
        <v>4</v>
      </c>
    </row>
    <row r="40" spans="1:13" x14ac:dyDescent="0.25">
      <c r="A40" s="212" t="s">
        <v>607</v>
      </c>
      <c r="B40" s="265">
        <v>9</v>
      </c>
      <c r="C40" s="596">
        <v>7</v>
      </c>
      <c r="D40" s="596">
        <v>10</v>
      </c>
      <c r="E40" s="596">
        <v>9</v>
      </c>
      <c r="F40" s="596">
        <v>7</v>
      </c>
      <c r="G40" s="596">
        <v>7</v>
      </c>
      <c r="H40" s="213">
        <v>7</v>
      </c>
      <c r="I40" s="596">
        <v>8</v>
      </c>
      <c r="J40" s="596">
        <v>7</v>
      </c>
      <c r="K40" s="596">
        <v>7</v>
      </c>
      <c r="L40" s="596">
        <v>7</v>
      </c>
      <c r="M40" s="596">
        <v>7</v>
      </c>
    </row>
    <row r="41" spans="1:13" ht="12.75" customHeight="1" x14ac:dyDescent="0.3">
      <c r="A41" s="336"/>
      <c r="B41" s="352"/>
      <c r="C41" s="352"/>
      <c r="D41" s="352"/>
      <c r="E41" s="352"/>
      <c r="F41" s="352"/>
      <c r="G41" s="352"/>
      <c r="H41" s="352"/>
      <c r="I41" s="352"/>
      <c r="J41" s="352"/>
      <c r="K41" s="352"/>
      <c r="L41" s="352"/>
      <c r="M41" s="352"/>
    </row>
    <row r="42" spans="1:13" x14ac:dyDescent="0.25">
      <c r="A42" s="211" t="s">
        <v>1343</v>
      </c>
      <c r="B42" s="213">
        <f>SUM(B6:B40)</f>
        <v>55</v>
      </c>
      <c r="C42" s="319">
        <f>SUM(C6:C40)</f>
        <v>59</v>
      </c>
      <c r="D42" s="319">
        <f>SUM(D6:D40)</f>
        <v>76</v>
      </c>
      <c r="E42" s="319">
        <f t="shared" ref="E42:J42" si="0">SUM(E4:E40)</f>
        <v>92</v>
      </c>
      <c r="F42" s="319">
        <f t="shared" si="0"/>
        <v>94</v>
      </c>
      <c r="G42" s="319">
        <f t="shared" si="0"/>
        <v>95</v>
      </c>
      <c r="H42" s="319">
        <f t="shared" si="0"/>
        <v>108</v>
      </c>
      <c r="I42" s="319">
        <f t="shared" si="0"/>
        <v>124</v>
      </c>
      <c r="J42" s="319">
        <f t="shared" si="0"/>
        <v>136</v>
      </c>
      <c r="K42" s="319">
        <f>SUM(K4:K40)</f>
        <v>142</v>
      </c>
      <c r="L42" s="319">
        <f>SUM(L4:L40)</f>
        <v>147</v>
      </c>
      <c r="M42" s="319">
        <f>SUM(M4:M40)</f>
        <v>161</v>
      </c>
    </row>
    <row r="43" spans="1:13" x14ac:dyDescent="0.25">
      <c r="A43" s="212" t="s">
        <v>1344</v>
      </c>
      <c r="B43" s="213">
        <v>8250</v>
      </c>
      <c r="C43" s="213">
        <v>8462</v>
      </c>
      <c r="D43" s="213">
        <v>9148</v>
      </c>
      <c r="E43" s="213">
        <v>10316</v>
      </c>
      <c r="F43" s="213">
        <v>10551</v>
      </c>
      <c r="G43" s="213">
        <v>11459</v>
      </c>
      <c r="H43" s="213">
        <v>11570</v>
      </c>
      <c r="I43" s="213">
        <v>11641</v>
      </c>
      <c r="J43" s="213">
        <v>11995</v>
      </c>
      <c r="K43" s="213">
        <v>12227</v>
      </c>
      <c r="L43" s="213">
        <v>12272</v>
      </c>
      <c r="M43" s="213">
        <v>12337</v>
      </c>
    </row>
    <row r="44" spans="1:13" x14ac:dyDescent="0.25">
      <c r="A44" s="212" t="s">
        <v>608</v>
      </c>
      <c r="B44" s="213">
        <v>1637</v>
      </c>
      <c r="C44" s="213">
        <v>1639</v>
      </c>
      <c r="D44" s="213">
        <v>2001</v>
      </c>
      <c r="E44" s="213">
        <v>2083</v>
      </c>
      <c r="F44" s="213">
        <v>2068</v>
      </c>
      <c r="G44" s="213">
        <v>2374</v>
      </c>
      <c r="H44" s="213">
        <v>2360</v>
      </c>
      <c r="I44" s="213">
        <v>2330</v>
      </c>
      <c r="J44" s="213">
        <v>2349</v>
      </c>
      <c r="K44" s="213">
        <v>2360</v>
      </c>
      <c r="L44" s="213">
        <v>2375</v>
      </c>
      <c r="M44" s="213">
        <v>2317</v>
      </c>
    </row>
    <row r="45" spans="1:13" ht="12.75" customHeight="1" x14ac:dyDescent="0.3">
      <c r="A45" s="336"/>
      <c r="B45" s="336"/>
      <c r="C45" s="336"/>
      <c r="D45" s="336"/>
      <c r="E45" s="336"/>
      <c r="F45" s="336"/>
      <c r="G45" s="336"/>
      <c r="H45" s="336"/>
      <c r="I45" s="336"/>
      <c r="J45" s="336"/>
      <c r="K45" s="336"/>
      <c r="L45" s="336"/>
      <c r="M45" s="336"/>
    </row>
    <row r="46" spans="1:13" x14ac:dyDescent="0.25">
      <c r="A46" s="214" t="s">
        <v>1003</v>
      </c>
      <c r="B46" s="283">
        <f t="shared" ref="B46:G46" si="1">SUM(B42:B44)</f>
        <v>9942</v>
      </c>
      <c r="C46" s="283">
        <f t="shared" si="1"/>
        <v>10160</v>
      </c>
      <c r="D46" s="283">
        <f t="shared" si="1"/>
        <v>11225</v>
      </c>
      <c r="E46" s="283">
        <f t="shared" si="1"/>
        <v>12491</v>
      </c>
      <c r="F46" s="283">
        <f t="shared" si="1"/>
        <v>12713</v>
      </c>
      <c r="G46" s="283">
        <f t="shared" si="1"/>
        <v>13928</v>
      </c>
      <c r="H46" s="283">
        <f t="shared" ref="H46:M46" si="2">SUM(H42:H44)</f>
        <v>14038</v>
      </c>
      <c r="I46" s="283">
        <f t="shared" si="2"/>
        <v>14095</v>
      </c>
      <c r="J46" s="283">
        <f t="shared" si="2"/>
        <v>14480</v>
      </c>
      <c r="K46" s="283">
        <f t="shared" si="2"/>
        <v>14729</v>
      </c>
      <c r="L46" s="283">
        <f t="shared" si="2"/>
        <v>14794</v>
      </c>
      <c r="M46" s="283">
        <f t="shared" si="2"/>
        <v>14815</v>
      </c>
    </row>
  </sheetData>
  <mergeCells count="1">
    <mergeCell ref="A1:M1"/>
  </mergeCells>
  <phoneticPr fontId="16" type="noConversion"/>
  <printOptions horizontalCentered="1" verticalCentered="1"/>
  <pageMargins left="0.75" right="0.75" top="1" bottom="1" header="0.5" footer="0.5"/>
  <pageSetup orientation="portrait" r:id="rId1"/>
  <headerFooter alignWithMargins="0">
    <oddFooter>&amp;L&amp;8Source: Office of Alumni Affairs</oddFooter>
  </headerFooter>
  <webPublishItems count="1">
    <webPublishItem id="28342" divId="2001_2002 FACT BOOK FINAL COPY_28342" sourceType="sheet" destinationFile="C:\Documents and Settings\mkirkpatrick\My Documents\2004-2005 FACT BOOK\2004-2005 fact book WEB PAGES\04_05alumnibycountry.htm"/>
  </webPublishItem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M59"/>
  <sheetViews>
    <sheetView workbookViewId="0">
      <selection sqref="A1:M1"/>
    </sheetView>
  </sheetViews>
  <sheetFormatPr defaultColWidth="6.6640625" defaultRowHeight="13.2" x14ac:dyDescent="0.25"/>
  <cols>
    <col min="1" max="1" width="20.6640625" style="194" customWidth="1"/>
    <col min="2" max="5" width="10.6640625" style="194" hidden="1" customWidth="1"/>
    <col min="6" max="8" width="8.33203125" style="194" hidden="1" customWidth="1"/>
    <col min="9" max="52" width="8.33203125" style="194" customWidth="1"/>
    <col min="53" max="16384" width="6.6640625" style="194"/>
  </cols>
  <sheetData>
    <row r="1" spans="1:13" ht="60" customHeight="1" x14ac:dyDescent="0.25">
      <c r="A1" s="2228" t="s">
        <v>1358</v>
      </c>
      <c r="B1" s="2228"/>
      <c r="C1" s="2228"/>
      <c r="D1" s="2228"/>
      <c r="E1" s="2228"/>
      <c r="F1" s="2228"/>
      <c r="G1" s="2228"/>
      <c r="H1" s="2228"/>
      <c r="I1" s="2228"/>
      <c r="J1" s="2228"/>
      <c r="K1" s="2228"/>
      <c r="L1" s="2228"/>
      <c r="M1" s="2228"/>
    </row>
    <row r="2" spans="1:13" x14ac:dyDescent="0.25">
      <c r="A2" s="264" t="s">
        <v>1219</v>
      </c>
      <c r="B2" s="195">
        <v>2000</v>
      </c>
      <c r="C2" s="195">
        <v>2001</v>
      </c>
      <c r="D2" s="195">
        <v>2002</v>
      </c>
      <c r="E2" s="195">
        <v>2007</v>
      </c>
      <c r="F2" s="195">
        <f>+E2+1</f>
        <v>2008</v>
      </c>
      <c r="G2" s="195">
        <f>+F2+1</f>
        <v>2009</v>
      </c>
      <c r="H2" s="195">
        <f>+G2+1</f>
        <v>2010</v>
      </c>
      <c r="I2" s="195">
        <f>+H2+1</f>
        <v>2011</v>
      </c>
      <c r="J2" s="195">
        <v>2012</v>
      </c>
      <c r="K2" s="195">
        <v>2013</v>
      </c>
      <c r="L2" s="195">
        <v>2014</v>
      </c>
      <c r="M2" s="195">
        <v>2015</v>
      </c>
    </row>
    <row r="3" spans="1:13" ht="12.75" customHeight="1" x14ac:dyDescent="0.3">
      <c r="A3" s="336"/>
      <c r="B3" s="336"/>
      <c r="C3" s="336"/>
      <c r="D3" s="336"/>
      <c r="E3" s="336"/>
      <c r="F3" s="336"/>
      <c r="G3" s="336"/>
      <c r="H3" s="336"/>
      <c r="I3" s="336"/>
      <c r="J3" s="336"/>
      <c r="K3" s="336"/>
      <c r="L3" s="336"/>
      <c r="M3" s="336"/>
    </row>
    <row r="4" spans="1:13" x14ac:dyDescent="0.25">
      <c r="A4" s="196" t="s">
        <v>1220</v>
      </c>
      <c r="B4" s="197">
        <v>60</v>
      </c>
      <c r="C4" s="197">
        <v>59</v>
      </c>
      <c r="D4" s="197">
        <v>63</v>
      </c>
      <c r="E4" s="197">
        <v>58</v>
      </c>
      <c r="F4" s="197">
        <v>58</v>
      </c>
      <c r="G4" s="197">
        <v>67</v>
      </c>
      <c r="H4" s="197">
        <v>69</v>
      </c>
      <c r="I4" s="197">
        <v>71</v>
      </c>
      <c r="J4" s="197">
        <v>72</v>
      </c>
      <c r="K4" s="197">
        <v>69</v>
      </c>
      <c r="L4" s="197">
        <v>69</v>
      </c>
      <c r="M4" s="197">
        <v>67</v>
      </c>
    </row>
    <row r="5" spans="1:13" x14ac:dyDescent="0.25">
      <c r="A5" s="196" t="s">
        <v>594</v>
      </c>
      <c r="B5" s="197">
        <v>2</v>
      </c>
      <c r="C5" s="197">
        <v>2</v>
      </c>
      <c r="D5" s="197">
        <v>3</v>
      </c>
      <c r="E5" s="197">
        <v>3</v>
      </c>
      <c r="F5" s="197">
        <v>2</v>
      </c>
      <c r="G5" s="197">
        <v>2</v>
      </c>
      <c r="H5" s="197">
        <v>3</v>
      </c>
      <c r="I5" s="197">
        <v>1</v>
      </c>
      <c r="J5" s="197">
        <v>1</v>
      </c>
      <c r="K5" s="197">
        <v>2</v>
      </c>
      <c r="L5" s="197">
        <v>2</v>
      </c>
      <c r="M5" s="197">
        <v>2</v>
      </c>
    </row>
    <row r="6" spans="1:13" x14ac:dyDescent="0.25">
      <c r="A6" s="196" t="s">
        <v>1221</v>
      </c>
      <c r="B6" s="197">
        <v>12</v>
      </c>
      <c r="C6" s="197">
        <v>11</v>
      </c>
      <c r="D6" s="197">
        <v>15</v>
      </c>
      <c r="E6" s="197">
        <v>19</v>
      </c>
      <c r="F6" s="197">
        <v>18</v>
      </c>
      <c r="G6" s="197">
        <v>18</v>
      </c>
      <c r="H6" s="197">
        <v>20</v>
      </c>
      <c r="I6" s="197">
        <v>18</v>
      </c>
      <c r="J6" s="197">
        <v>18</v>
      </c>
      <c r="K6" s="197">
        <v>16</v>
      </c>
      <c r="L6" s="197">
        <v>17</v>
      </c>
      <c r="M6" s="197">
        <v>17</v>
      </c>
    </row>
    <row r="7" spans="1:13" x14ac:dyDescent="0.25">
      <c r="A7" s="196" t="s">
        <v>1222</v>
      </c>
      <c r="B7" s="197">
        <v>5</v>
      </c>
      <c r="C7" s="197">
        <v>4</v>
      </c>
      <c r="D7" s="197">
        <v>4</v>
      </c>
      <c r="E7" s="197">
        <v>8</v>
      </c>
      <c r="F7" s="197">
        <v>8</v>
      </c>
      <c r="G7" s="197">
        <v>8</v>
      </c>
      <c r="H7" s="197">
        <v>9</v>
      </c>
      <c r="I7" s="197">
        <v>10</v>
      </c>
      <c r="J7" s="197">
        <v>11</v>
      </c>
      <c r="K7" s="197">
        <v>11</v>
      </c>
      <c r="L7" s="197">
        <v>12</v>
      </c>
      <c r="M7" s="197">
        <v>12</v>
      </c>
    </row>
    <row r="8" spans="1:13" x14ac:dyDescent="0.25">
      <c r="A8" s="196" t="s">
        <v>1223</v>
      </c>
      <c r="B8" s="197">
        <v>39</v>
      </c>
      <c r="C8" s="197">
        <v>35</v>
      </c>
      <c r="D8" s="197">
        <v>45</v>
      </c>
      <c r="E8" s="197">
        <v>49</v>
      </c>
      <c r="F8" s="197">
        <v>45</v>
      </c>
      <c r="G8" s="197">
        <v>48</v>
      </c>
      <c r="H8" s="197">
        <v>54</v>
      </c>
      <c r="I8" s="197">
        <v>57</v>
      </c>
      <c r="J8" s="197">
        <v>57</v>
      </c>
      <c r="K8" s="197">
        <v>56</v>
      </c>
      <c r="L8" s="197">
        <v>56</v>
      </c>
      <c r="M8" s="197">
        <v>56</v>
      </c>
    </row>
    <row r="9" spans="1:13" x14ac:dyDescent="0.25">
      <c r="A9" s="196" t="s">
        <v>1224</v>
      </c>
      <c r="B9" s="197">
        <v>9</v>
      </c>
      <c r="C9" s="197">
        <v>10</v>
      </c>
      <c r="D9" s="197">
        <v>16</v>
      </c>
      <c r="E9" s="197">
        <v>21</v>
      </c>
      <c r="F9" s="197">
        <v>22</v>
      </c>
      <c r="G9" s="197">
        <v>22</v>
      </c>
      <c r="H9" s="197">
        <v>23</v>
      </c>
      <c r="I9" s="197">
        <v>23</v>
      </c>
      <c r="J9" s="197">
        <v>24</v>
      </c>
      <c r="K9" s="197">
        <v>25</v>
      </c>
      <c r="L9" s="197">
        <v>25</v>
      </c>
      <c r="M9" s="197">
        <v>24</v>
      </c>
    </row>
    <row r="10" spans="1:13" x14ac:dyDescent="0.25">
      <c r="A10" s="196" t="s">
        <v>1225</v>
      </c>
      <c r="B10" s="197">
        <v>3</v>
      </c>
      <c r="C10" s="197">
        <v>3</v>
      </c>
      <c r="D10" s="197">
        <v>6</v>
      </c>
      <c r="E10" s="197">
        <v>7</v>
      </c>
      <c r="F10" s="197">
        <v>8</v>
      </c>
      <c r="G10" s="197">
        <v>8</v>
      </c>
      <c r="H10" s="197">
        <v>8</v>
      </c>
      <c r="I10" s="197">
        <v>5</v>
      </c>
      <c r="J10" s="197">
        <v>4</v>
      </c>
      <c r="K10" s="197">
        <v>3</v>
      </c>
      <c r="L10" s="197">
        <v>3</v>
      </c>
      <c r="M10" s="197">
        <v>2</v>
      </c>
    </row>
    <row r="11" spans="1:13" x14ac:dyDescent="0.25">
      <c r="A11" s="198" t="s">
        <v>595</v>
      </c>
      <c r="B11" s="197">
        <v>1</v>
      </c>
      <c r="C11" s="197">
        <v>0</v>
      </c>
      <c r="D11" s="197">
        <v>1</v>
      </c>
      <c r="E11" s="197">
        <v>2</v>
      </c>
      <c r="F11" s="197">
        <v>2</v>
      </c>
      <c r="G11" s="197">
        <v>2</v>
      </c>
      <c r="H11" s="197">
        <v>0</v>
      </c>
      <c r="I11" s="197">
        <v>0</v>
      </c>
      <c r="J11" s="197">
        <v>0</v>
      </c>
      <c r="K11" s="197">
        <v>1</v>
      </c>
      <c r="L11" s="197">
        <v>1</v>
      </c>
      <c r="M11" s="197">
        <v>1</v>
      </c>
    </row>
    <row r="12" spans="1:13" x14ac:dyDescent="0.25">
      <c r="A12" s="196" t="s">
        <v>1226</v>
      </c>
      <c r="B12" s="197">
        <v>0</v>
      </c>
      <c r="C12" s="197">
        <v>1</v>
      </c>
      <c r="D12" s="197">
        <v>2</v>
      </c>
      <c r="E12" s="197">
        <v>2</v>
      </c>
      <c r="F12" s="197">
        <v>4</v>
      </c>
      <c r="G12" s="197">
        <v>5</v>
      </c>
      <c r="H12" s="197">
        <v>4</v>
      </c>
      <c r="I12" s="197">
        <v>4</v>
      </c>
      <c r="J12" s="197">
        <v>4</v>
      </c>
      <c r="K12" s="197">
        <v>4</v>
      </c>
      <c r="L12" s="197">
        <v>7</v>
      </c>
      <c r="M12" s="197">
        <v>5</v>
      </c>
    </row>
    <row r="13" spans="1:13" x14ac:dyDescent="0.25">
      <c r="A13" s="196" t="s">
        <v>1227</v>
      </c>
      <c r="B13" s="197">
        <v>190</v>
      </c>
      <c r="C13" s="197">
        <v>181</v>
      </c>
      <c r="D13" s="197">
        <v>208</v>
      </c>
      <c r="E13" s="197">
        <v>233</v>
      </c>
      <c r="F13" s="197">
        <v>227</v>
      </c>
      <c r="G13" s="197">
        <v>266</v>
      </c>
      <c r="H13" s="197">
        <v>258</v>
      </c>
      <c r="I13" s="1009">
        <v>256</v>
      </c>
      <c r="J13" s="1009">
        <v>257</v>
      </c>
      <c r="K13" s="1009">
        <v>254</v>
      </c>
      <c r="L13" s="1009">
        <v>302</v>
      </c>
      <c r="M13" s="1009">
        <v>250</v>
      </c>
    </row>
    <row r="14" spans="1:13" x14ac:dyDescent="0.25">
      <c r="A14" s="196" t="s">
        <v>1228</v>
      </c>
      <c r="B14" s="197">
        <v>468</v>
      </c>
      <c r="C14" s="197">
        <v>466</v>
      </c>
      <c r="D14" s="197">
        <v>527</v>
      </c>
      <c r="E14" s="197">
        <v>555</v>
      </c>
      <c r="F14" s="197">
        <v>548</v>
      </c>
      <c r="G14" s="197">
        <v>645</v>
      </c>
      <c r="H14" s="197">
        <v>620</v>
      </c>
      <c r="I14" s="197">
        <v>609</v>
      </c>
      <c r="J14" s="197">
        <v>612</v>
      </c>
      <c r="K14" s="197">
        <v>604</v>
      </c>
      <c r="L14" s="197">
        <v>598</v>
      </c>
      <c r="M14" s="197">
        <v>600</v>
      </c>
    </row>
    <row r="15" spans="1:13" x14ac:dyDescent="0.25">
      <c r="A15" s="196" t="s">
        <v>596</v>
      </c>
      <c r="B15" s="197">
        <v>4</v>
      </c>
      <c r="C15" s="197">
        <v>6</v>
      </c>
      <c r="D15" s="197">
        <v>10</v>
      </c>
      <c r="E15" s="197">
        <v>7</v>
      </c>
      <c r="F15" s="197">
        <v>6</v>
      </c>
      <c r="G15" s="197">
        <v>6</v>
      </c>
      <c r="H15" s="197">
        <v>10</v>
      </c>
      <c r="I15" s="197">
        <v>8</v>
      </c>
      <c r="J15" s="197">
        <v>8</v>
      </c>
      <c r="K15" s="197">
        <v>6</v>
      </c>
      <c r="L15" s="197">
        <v>6</v>
      </c>
      <c r="M15" s="197">
        <v>6</v>
      </c>
    </row>
    <row r="16" spans="1:13" x14ac:dyDescent="0.25">
      <c r="A16" s="196" t="s">
        <v>1229</v>
      </c>
      <c r="B16" s="197">
        <v>1</v>
      </c>
      <c r="C16" s="197">
        <v>1</v>
      </c>
      <c r="D16" s="197">
        <v>5</v>
      </c>
      <c r="E16" s="197">
        <v>4</v>
      </c>
      <c r="F16" s="197">
        <v>3</v>
      </c>
      <c r="G16" s="197">
        <v>3</v>
      </c>
      <c r="H16" s="197">
        <v>4</v>
      </c>
      <c r="I16" s="197">
        <v>2</v>
      </c>
      <c r="J16" s="197">
        <v>2</v>
      </c>
      <c r="K16" s="197">
        <v>2</v>
      </c>
      <c r="L16" s="197">
        <v>1</v>
      </c>
      <c r="M16" s="197">
        <v>1</v>
      </c>
    </row>
    <row r="17" spans="1:13" x14ac:dyDescent="0.25">
      <c r="A17" s="196" t="s">
        <v>1230</v>
      </c>
      <c r="B17" s="197">
        <v>18</v>
      </c>
      <c r="C17" s="197">
        <v>16</v>
      </c>
      <c r="D17" s="197">
        <v>22</v>
      </c>
      <c r="E17" s="197">
        <v>28</v>
      </c>
      <c r="F17" s="197">
        <v>29</v>
      </c>
      <c r="G17" s="197">
        <v>29</v>
      </c>
      <c r="H17" s="197">
        <v>33</v>
      </c>
      <c r="I17" s="197">
        <v>34</v>
      </c>
      <c r="J17" s="197">
        <v>34</v>
      </c>
      <c r="K17" s="197">
        <v>33</v>
      </c>
      <c r="L17" s="197">
        <v>33</v>
      </c>
      <c r="M17" s="197">
        <v>35</v>
      </c>
    </row>
    <row r="18" spans="1:13" x14ac:dyDescent="0.25">
      <c r="A18" s="196" t="s">
        <v>1231</v>
      </c>
      <c r="B18" s="197">
        <v>8</v>
      </c>
      <c r="C18" s="197">
        <v>11</v>
      </c>
      <c r="D18" s="197">
        <v>12</v>
      </c>
      <c r="E18" s="197">
        <v>15</v>
      </c>
      <c r="F18" s="197">
        <v>13</v>
      </c>
      <c r="G18" s="197">
        <v>13</v>
      </c>
      <c r="H18" s="197">
        <v>14</v>
      </c>
      <c r="I18" s="197">
        <v>14</v>
      </c>
      <c r="J18" s="197">
        <v>14</v>
      </c>
      <c r="K18" s="197">
        <v>13</v>
      </c>
      <c r="L18" s="197">
        <v>14</v>
      </c>
      <c r="M18" s="197">
        <v>10</v>
      </c>
    </row>
    <row r="19" spans="1:13" x14ac:dyDescent="0.25">
      <c r="A19" s="196" t="s">
        <v>597</v>
      </c>
      <c r="B19" s="197">
        <v>5</v>
      </c>
      <c r="C19" s="197">
        <v>5</v>
      </c>
      <c r="D19" s="197">
        <v>3</v>
      </c>
      <c r="E19" s="197">
        <v>5</v>
      </c>
      <c r="F19" s="197">
        <v>5</v>
      </c>
      <c r="G19" s="197">
        <v>5</v>
      </c>
      <c r="H19" s="197">
        <v>9</v>
      </c>
      <c r="I19" s="197">
        <v>6</v>
      </c>
      <c r="J19" s="197">
        <v>6</v>
      </c>
      <c r="K19" s="197">
        <v>7</v>
      </c>
      <c r="L19" s="197">
        <v>5</v>
      </c>
      <c r="M19" s="197">
        <v>5</v>
      </c>
    </row>
    <row r="20" spans="1:13" x14ac:dyDescent="0.25">
      <c r="A20" s="196" t="s">
        <v>1232</v>
      </c>
      <c r="B20" s="197">
        <v>5</v>
      </c>
      <c r="C20" s="197">
        <v>6</v>
      </c>
      <c r="D20" s="197">
        <v>7</v>
      </c>
      <c r="E20" s="197">
        <v>9</v>
      </c>
      <c r="F20" s="197">
        <v>8</v>
      </c>
      <c r="G20" s="197">
        <v>8</v>
      </c>
      <c r="H20" s="197">
        <v>9</v>
      </c>
      <c r="I20" s="197">
        <v>9</v>
      </c>
      <c r="J20" s="197">
        <v>8</v>
      </c>
      <c r="K20" s="197">
        <v>11</v>
      </c>
      <c r="L20" s="197">
        <v>9</v>
      </c>
      <c r="M20" s="197">
        <v>9</v>
      </c>
    </row>
    <row r="21" spans="1:13" x14ac:dyDescent="0.25">
      <c r="A21" s="196" t="s">
        <v>1233</v>
      </c>
      <c r="B21" s="197">
        <v>16</v>
      </c>
      <c r="C21" s="197">
        <v>15</v>
      </c>
      <c r="D21" s="197">
        <v>19</v>
      </c>
      <c r="E21" s="197">
        <v>16</v>
      </c>
      <c r="F21" s="197">
        <v>17</v>
      </c>
      <c r="G21" s="197">
        <v>17</v>
      </c>
      <c r="H21" s="197">
        <v>26</v>
      </c>
      <c r="I21" s="197">
        <v>25</v>
      </c>
      <c r="J21" s="197">
        <v>25</v>
      </c>
      <c r="K21" s="197">
        <v>22</v>
      </c>
      <c r="L21" s="197">
        <v>19</v>
      </c>
      <c r="M21" s="197">
        <v>21</v>
      </c>
    </row>
    <row r="22" spans="1:13" x14ac:dyDescent="0.25">
      <c r="A22" s="196" t="s">
        <v>1234</v>
      </c>
      <c r="B22" s="197">
        <v>13</v>
      </c>
      <c r="C22" s="197">
        <v>14</v>
      </c>
      <c r="D22" s="197">
        <v>18</v>
      </c>
      <c r="E22" s="197">
        <v>18</v>
      </c>
      <c r="F22" s="197">
        <v>19</v>
      </c>
      <c r="G22" s="197">
        <v>26</v>
      </c>
      <c r="H22" s="197">
        <v>30</v>
      </c>
      <c r="I22" s="197">
        <v>26</v>
      </c>
      <c r="J22" s="197">
        <v>25</v>
      </c>
      <c r="K22" s="197">
        <v>25</v>
      </c>
      <c r="L22" s="197">
        <v>24</v>
      </c>
      <c r="M22" s="197">
        <v>25</v>
      </c>
    </row>
    <row r="23" spans="1:13" x14ac:dyDescent="0.25">
      <c r="A23" s="196" t="s">
        <v>1235</v>
      </c>
      <c r="B23" s="197">
        <v>0</v>
      </c>
      <c r="C23" s="197">
        <v>1</v>
      </c>
      <c r="D23" s="197">
        <v>1</v>
      </c>
      <c r="E23" s="197">
        <v>1</v>
      </c>
      <c r="F23" s="197">
        <v>1</v>
      </c>
      <c r="G23" s="197">
        <v>1</v>
      </c>
      <c r="H23" s="197">
        <v>1</v>
      </c>
      <c r="I23" s="197">
        <v>1</v>
      </c>
      <c r="J23" s="197">
        <v>1</v>
      </c>
      <c r="K23" s="197">
        <v>1</v>
      </c>
      <c r="L23" s="197">
        <v>0</v>
      </c>
      <c r="M23" s="197"/>
    </row>
    <row r="24" spans="1:13" x14ac:dyDescent="0.25">
      <c r="A24" s="196" t="s">
        <v>1236</v>
      </c>
      <c r="B24" s="197">
        <v>22</v>
      </c>
      <c r="C24" s="197">
        <v>22</v>
      </c>
      <c r="D24" s="197">
        <v>23</v>
      </c>
      <c r="E24" s="197">
        <v>26</v>
      </c>
      <c r="F24" s="197">
        <v>26</v>
      </c>
      <c r="G24" s="197">
        <v>32</v>
      </c>
      <c r="H24" s="197">
        <v>30</v>
      </c>
      <c r="I24" s="197">
        <v>30</v>
      </c>
      <c r="J24" s="197">
        <v>31</v>
      </c>
      <c r="K24" s="197">
        <v>34</v>
      </c>
      <c r="L24" s="197">
        <v>34</v>
      </c>
      <c r="M24" s="197">
        <v>33</v>
      </c>
    </row>
    <row r="25" spans="1:13" x14ac:dyDescent="0.25">
      <c r="A25" s="196" t="s">
        <v>1237</v>
      </c>
      <c r="B25" s="197">
        <v>10</v>
      </c>
      <c r="C25" s="197">
        <v>9</v>
      </c>
      <c r="D25" s="197">
        <v>12</v>
      </c>
      <c r="E25" s="197">
        <v>6</v>
      </c>
      <c r="F25" s="197">
        <v>5</v>
      </c>
      <c r="G25" s="197">
        <v>8</v>
      </c>
      <c r="H25" s="197">
        <v>9</v>
      </c>
      <c r="I25" s="197">
        <v>10</v>
      </c>
      <c r="J25" s="197">
        <v>9</v>
      </c>
      <c r="K25" s="197">
        <v>9</v>
      </c>
      <c r="L25" s="197">
        <v>10</v>
      </c>
      <c r="M25" s="197">
        <v>9</v>
      </c>
    </row>
    <row r="26" spans="1:13" x14ac:dyDescent="0.25">
      <c r="A26" s="196" t="s">
        <v>1238</v>
      </c>
      <c r="B26" s="197">
        <v>6</v>
      </c>
      <c r="C26" s="197">
        <v>10</v>
      </c>
      <c r="D26" s="197">
        <v>8</v>
      </c>
      <c r="E26" s="197">
        <v>7</v>
      </c>
      <c r="F26" s="197">
        <v>9</v>
      </c>
      <c r="G26" s="197">
        <v>9</v>
      </c>
      <c r="H26" s="197">
        <v>12</v>
      </c>
      <c r="I26" s="197">
        <v>11</v>
      </c>
      <c r="J26" s="197">
        <v>12</v>
      </c>
      <c r="K26" s="197">
        <v>11</v>
      </c>
      <c r="L26" s="197">
        <v>11</v>
      </c>
      <c r="M26" s="197">
        <v>12</v>
      </c>
    </row>
    <row r="27" spans="1:13" x14ac:dyDescent="0.25">
      <c r="A27" s="196" t="s">
        <v>1239</v>
      </c>
      <c r="B27" s="197">
        <v>5</v>
      </c>
      <c r="C27" s="197">
        <v>8</v>
      </c>
      <c r="D27" s="197">
        <v>10</v>
      </c>
      <c r="E27" s="197">
        <v>7</v>
      </c>
      <c r="F27" s="197">
        <v>6</v>
      </c>
      <c r="G27" s="197">
        <v>6</v>
      </c>
      <c r="H27" s="197">
        <v>8</v>
      </c>
      <c r="I27" s="197">
        <v>8</v>
      </c>
      <c r="J27" s="197">
        <v>7</v>
      </c>
      <c r="K27" s="197">
        <v>8</v>
      </c>
      <c r="L27" s="197">
        <v>9</v>
      </c>
      <c r="M27" s="197">
        <v>9</v>
      </c>
    </row>
    <row r="28" spans="1:13" x14ac:dyDescent="0.25">
      <c r="A28" s="196" t="s">
        <v>1240</v>
      </c>
      <c r="B28" s="351">
        <v>8</v>
      </c>
      <c r="C28" s="351">
        <v>11</v>
      </c>
      <c r="D28" s="351">
        <v>17</v>
      </c>
      <c r="E28" s="351">
        <v>12</v>
      </c>
      <c r="F28" s="351">
        <v>12</v>
      </c>
      <c r="G28" s="351">
        <v>15</v>
      </c>
      <c r="H28" s="351">
        <v>15</v>
      </c>
      <c r="I28" s="351">
        <v>17</v>
      </c>
      <c r="J28" s="351">
        <v>16</v>
      </c>
      <c r="K28" s="351">
        <v>16</v>
      </c>
      <c r="L28" s="351">
        <v>16</v>
      </c>
      <c r="M28" s="351">
        <v>17</v>
      </c>
    </row>
    <row r="29" spans="1:13" x14ac:dyDescent="0.25">
      <c r="A29" s="196" t="s">
        <v>1241</v>
      </c>
      <c r="B29" s="353">
        <v>8</v>
      </c>
      <c r="C29" s="353">
        <v>9</v>
      </c>
      <c r="D29" s="353">
        <v>13</v>
      </c>
      <c r="E29" s="353">
        <v>22</v>
      </c>
      <c r="F29" s="353">
        <v>22</v>
      </c>
      <c r="G29" s="353">
        <v>22</v>
      </c>
      <c r="H29" s="353">
        <v>17</v>
      </c>
      <c r="I29" s="353">
        <v>17</v>
      </c>
      <c r="J29" s="353">
        <v>17</v>
      </c>
      <c r="K29" s="353">
        <v>17</v>
      </c>
      <c r="L29" s="353">
        <v>17</v>
      </c>
      <c r="M29" s="353">
        <v>17</v>
      </c>
    </row>
    <row r="30" spans="1:13" x14ac:dyDescent="0.25">
      <c r="A30" s="196" t="s">
        <v>1242</v>
      </c>
      <c r="B30" s="197">
        <v>1</v>
      </c>
      <c r="C30" s="197">
        <v>1</v>
      </c>
      <c r="D30" s="197">
        <v>0</v>
      </c>
      <c r="E30" s="197">
        <v>2</v>
      </c>
      <c r="F30" s="197">
        <v>2</v>
      </c>
      <c r="G30" s="197">
        <v>2</v>
      </c>
      <c r="H30" s="197">
        <v>2</v>
      </c>
      <c r="I30" s="197">
        <v>3</v>
      </c>
      <c r="J30" s="197">
        <v>3</v>
      </c>
      <c r="K30" s="197">
        <v>4</v>
      </c>
      <c r="L30" s="197">
        <v>4</v>
      </c>
      <c r="M30" s="197">
        <v>3</v>
      </c>
    </row>
    <row r="31" spans="1:13" x14ac:dyDescent="0.25">
      <c r="A31" s="196" t="s">
        <v>598</v>
      </c>
      <c r="B31" s="197">
        <v>3</v>
      </c>
      <c r="C31" s="197">
        <v>3</v>
      </c>
      <c r="D31" s="197">
        <v>3</v>
      </c>
      <c r="E31" s="197">
        <v>3</v>
      </c>
      <c r="F31" s="197">
        <v>3</v>
      </c>
      <c r="G31" s="197">
        <v>3</v>
      </c>
      <c r="H31" s="197">
        <v>5</v>
      </c>
      <c r="I31" s="197">
        <v>6</v>
      </c>
      <c r="J31" s="197">
        <v>6</v>
      </c>
      <c r="K31" s="197">
        <v>7</v>
      </c>
      <c r="L31" s="197">
        <v>8</v>
      </c>
      <c r="M31" s="197">
        <v>8</v>
      </c>
    </row>
    <row r="32" spans="1:13" x14ac:dyDescent="0.25">
      <c r="A32" s="196" t="s">
        <v>599</v>
      </c>
      <c r="B32" s="197">
        <v>2</v>
      </c>
      <c r="C32" s="197">
        <v>3</v>
      </c>
      <c r="D32" s="197">
        <v>3</v>
      </c>
      <c r="E32" s="197">
        <v>3</v>
      </c>
      <c r="F32" s="197">
        <v>3</v>
      </c>
      <c r="G32" s="197">
        <v>5</v>
      </c>
      <c r="H32" s="197">
        <v>5</v>
      </c>
      <c r="I32" s="197">
        <v>6</v>
      </c>
      <c r="J32" s="197">
        <v>6</v>
      </c>
      <c r="K32" s="197">
        <v>6</v>
      </c>
      <c r="L32" s="197">
        <v>4</v>
      </c>
      <c r="M32" s="197">
        <v>4</v>
      </c>
    </row>
    <row r="33" spans="1:13" x14ac:dyDescent="0.25">
      <c r="A33" s="196" t="s">
        <v>1243</v>
      </c>
      <c r="B33" s="197">
        <v>3</v>
      </c>
      <c r="C33" s="197">
        <v>3</v>
      </c>
      <c r="D33" s="197">
        <v>5</v>
      </c>
      <c r="E33" s="197">
        <v>4</v>
      </c>
      <c r="F33" s="197">
        <v>4</v>
      </c>
      <c r="G33" s="197">
        <v>4</v>
      </c>
      <c r="H33" s="197">
        <v>3</v>
      </c>
      <c r="I33" s="197">
        <v>3</v>
      </c>
      <c r="J33" s="197">
        <v>4</v>
      </c>
      <c r="K33" s="197">
        <v>5</v>
      </c>
      <c r="L33" s="197">
        <v>5</v>
      </c>
      <c r="M33" s="197">
        <v>5</v>
      </c>
    </row>
    <row r="34" spans="1:13" x14ac:dyDescent="0.25">
      <c r="A34" s="196" t="s">
        <v>1244</v>
      </c>
      <c r="B34" s="197">
        <v>14</v>
      </c>
      <c r="C34" s="197">
        <v>12</v>
      </c>
      <c r="D34" s="197">
        <v>19</v>
      </c>
      <c r="E34" s="197">
        <v>22</v>
      </c>
      <c r="F34" s="197">
        <v>28</v>
      </c>
      <c r="G34" s="197">
        <v>28</v>
      </c>
      <c r="H34" s="197">
        <v>25</v>
      </c>
      <c r="I34" s="197">
        <v>23</v>
      </c>
      <c r="J34" s="197">
        <v>24</v>
      </c>
      <c r="K34" s="197">
        <v>26</v>
      </c>
      <c r="L34" s="197">
        <v>25</v>
      </c>
      <c r="M34" s="197">
        <v>25</v>
      </c>
    </row>
    <row r="35" spans="1:13" x14ac:dyDescent="0.25">
      <c r="A35" s="196" t="s">
        <v>600</v>
      </c>
      <c r="B35" s="197">
        <v>4</v>
      </c>
      <c r="C35" s="197">
        <v>4</v>
      </c>
      <c r="D35" s="197">
        <v>4</v>
      </c>
      <c r="E35" s="197">
        <v>5</v>
      </c>
      <c r="F35" s="197">
        <v>5</v>
      </c>
      <c r="G35" s="197">
        <v>10</v>
      </c>
      <c r="H35" s="197">
        <v>9</v>
      </c>
      <c r="I35" s="197">
        <v>8</v>
      </c>
      <c r="J35" s="197">
        <v>7</v>
      </c>
      <c r="K35" s="197">
        <v>8</v>
      </c>
      <c r="L35" s="197">
        <v>8</v>
      </c>
      <c r="M35" s="197">
        <v>8</v>
      </c>
    </row>
    <row r="36" spans="1:13" x14ac:dyDescent="0.25">
      <c r="A36" s="196" t="s">
        <v>1245</v>
      </c>
      <c r="B36" s="197">
        <v>16</v>
      </c>
      <c r="C36" s="197">
        <v>19</v>
      </c>
      <c r="D36" s="197">
        <v>31</v>
      </c>
      <c r="E36" s="197">
        <v>34</v>
      </c>
      <c r="F36" s="197">
        <v>36</v>
      </c>
      <c r="G36" s="197">
        <v>44</v>
      </c>
      <c r="H36" s="197">
        <v>45</v>
      </c>
      <c r="I36" s="197">
        <v>46</v>
      </c>
      <c r="J36" s="197">
        <v>47</v>
      </c>
      <c r="K36" s="197">
        <v>47</v>
      </c>
      <c r="L36" s="197">
        <v>47</v>
      </c>
      <c r="M36" s="197">
        <v>45</v>
      </c>
    </row>
    <row r="37" spans="1:13" x14ac:dyDescent="0.25">
      <c r="A37" s="196" t="s">
        <v>1246</v>
      </c>
      <c r="B37" s="197">
        <v>377</v>
      </c>
      <c r="C37" s="197">
        <v>380</v>
      </c>
      <c r="D37" s="197">
        <v>484</v>
      </c>
      <c r="E37" s="197">
        <v>481</v>
      </c>
      <c r="F37" s="197">
        <v>470</v>
      </c>
      <c r="G37" s="197">
        <v>522</v>
      </c>
      <c r="H37" s="197">
        <v>503</v>
      </c>
      <c r="I37" s="197">
        <v>507</v>
      </c>
      <c r="J37" s="197">
        <v>508</v>
      </c>
      <c r="K37" s="197">
        <v>523</v>
      </c>
      <c r="L37" s="197">
        <v>506</v>
      </c>
      <c r="M37" s="197">
        <v>505</v>
      </c>
    </row>
    <row r="38" spans="1:13" x14ac:dyDescent="0.25">
      <c r="A38" s="883" t="s">
        <v>1469</v>
      </c>
      <c r="B38" s="197"/>
      <c r="C38" s="197"/>
      <c r="D38" s="197"/>
      <c r="E38" s="197">
        <v>0</v>
      </c>
      <c r="F38" s="197">
        <v>0</v>
      </c>
      <c r="G38" s="197">
        <v>0</v>
      </c>
      <c r="H38" s="197">
        <v>0</v>
      </c>
      <c r="I38" s="197">
        <v>1</v>
      </c>
      <c r="J38" s="197">
        <v>1</v>
      </c>
      <c r="K38" s="197">
        <v>1</v>
      </c>
      <c r="L38" s="197">
        <v>1</v>
      </c>
      <c r="M38" s="197">
        <v>2</v>
      </c>
    </row>
    <row r="39" spans="1:13" x14ac:dyDescent="0.25">
      <c r="A39" s="196" t="s">
        <v>1247</v>
      </c>
      <c r="B39" s="197">
        <v>42</v>
      </c>
      <c r="C39" s="197">
        <v>39</v>
      </c>
      <c r="D39" s="197">
        <v>46</v>
      </c>
      <c r="E39" s="197">
        <v>41</v>
      </c>
      <c r="F39" s="197">
        <v>41</v>
      </c>
      <c r="G39" s="197">
        <v>42</v>
      </c>
      <c r="H39" s="197">
        <v>40</v>
      </c>
      <c r="I39" s="197">
        <v>37</v>
      </c>
      <c r="J39" s="197">
        <v>37</v>
      </c>
      <c r="K39" s="197">
        <v>39</v>
      </c>
      <c r="L39" s="197">
        <v>40</v>
      </c>
      <c r="M39" s="197">
        <v>37</v>
      </c>
    </row>
    <row r="40" spans="1:13" x14ac:dyDescent="0.25">
      <c r="A40" s="196" t="s">
        <v>1248</v>
      </c>
      <c r="B40" s="197">
        <v>3</v>
      </c>
      <c r="C40" s="197">
        <v>3</v>
      </c>
      <c r="D40" s="197">
        <v>3</v>
      </c>
      <c r="E40" s="197">
        <v>5</v>
      </c>
      <c r="F40" s="197">
        <v>5</v>
      </c>
      <c r="G40" s="197">
        <v>5</v>
      </c>
      <c r="H40" s="197">
        <v>5</v>
      </c>
      <c r="I40" s="197">
        <v>4</v>
      </c>
      <c r="J40" s="197">
        <v>4</v>
      </c>
      <c r="K40" s="197">
        <v>4</v>
      </c>
      <c r="L40" s="197">
        <v>5</v>
      </c>
      <c r="M40" s="197">
        <v>6</v>
      </c>
    </row>
    <row r="41" spans="1:13" x14ac:dyDescent="0.25">
      <c r="A41" s="196" t="s">
        <v>1249</v>
      </c>
      <c r="B41" s="197">
        <v>5</v>
      </c>
      <c r="C41" s="197">
        <v>5</v>
      </c>
      <c r="D41" s="197">
        <v>8</v>
      </c>
      <c r="E41" s="197">
        <v>5</v>
      </c>
      <c r="F41" s="197">
        <v>5</v>
      </c>
      <c r="G41" s="197">
        <v>5</v>
      </c>
      <c r="H41" s="197">
        <v>5</v>
      </c>
      <c r="I41" s="197">
        <v>4</v>
      </c>
      <c r="J41" s="197">
        <v>5</v>
      </c>
      <c r="K41" s="197">
        <v>6</v>
      </c>
      <c r="L41" s="197">
        <v>7</v>
      </c>
      <c r="M41" s="197">
        <v>6</v>
      </c>
    </row>
    <row r="42" spans="1:13" x14ac:dyDescent="0.25">
      <c r="A42" s="198" t="s">
        <v>1250</v>
      </c>
      <c r="B42" s="197">
        <v>19</v>
      </c>
      <c r="C42" s="197">
        <v>23</v>
      </c>
      <c r="D42" s="197">
        <v>31</v>
      </c>
      <c r="E42" s="197">
        <v>26</v>
      </c>
      <c r="F42" s="197">
        <v>26</v>
      </c>
      <c r="G42" s="197">
        <v>28</v>
      </c>
      <c r="H42" s="197">
        <v>24</v>
      </c>
      <c r="I42" s="197">
        <v>23</v>
      </c>
      <c r="J42" s="197">
        <v>24</v>
      </c>
      <c r="K42" s="197">
        <v>25</v>
      </c>
      <c r="L42" s="197">
        <v>30</v>
      </c>
      <c r="M42" s="197">
        <v>29</v>
      </c>
    </row>
    <row r="43" spans="1:13" x14ac:dyDescent="0.25">
      <c r="A43" s="196" t="s">
        <v>1251</v>
      </c>
      <c r="B43" s="197">
        <v>2</v>
      </c>
      <c r="C43" s="197">
        <v>2</v>
      </c>
      <c r="D43" s="197">
        <v>2</v>
      </c>
      <c r="E43" s="197">
        <v>3</v>
      </c>
      <c r="F43" s="197">
        <v>4</v>
      </c>
      <c r="G43" s="197">
        <v>4</v>
      </c>
      <c r="H43" s="197">
        <v>4</v>
      </c>
      <c r="I43" s="197">
        <v>3</v>
      </c>
      <c r="J43" s="197">
        <v>3</v>
      </c>
      <c r="K43" s="197">
        <v>4</v>
      </c>
      <c r="L43" s="197">
        <v>4</v>
      </c>
      <c r="M43" s="197">
        <v>3</v>
      </c>
    </row>
    <row r="44" spans="1:13" x14ac:dyDescent="0.25">
      <c r="A44" s="200" t="s">
        <v>1252</v>
      </c>
      <c r="B44" s="201">
        <v>8250</v>
      </c>
      <c r="C44" s="201">
        <v>8462</v>
      </c>
      <c r="D44" s="201">
        <v>9148</v>
      </c>
      <c r="E44" s="201">
        <v>10316</v>
      </c>
      <c r="F44" s="201">
        <v>10551</v>
      </c>
      <c r="G44" s="201">
        <v>11459</v>
      </c>
      <c r="H44" s="201">
        <v>11570</v>
      </c>
      <c r="I44" s="201">
        <v>11641</v>
      </c>
      <c r="J44" s="201">
        <v>11995</v>
      </c>
      <c r="K44" s="201">
        <v>12227</v>
      </c>
      <c r="L44" s="201">
        <v>12272</v>
      </c>
      <c r="M44" s="201">
        <v>12337</v>
      </c>
    </row>
    <row r="45" spans="1:13" x14ac:dyDescent="0.25">
      <c r="A45" s="196" t="s">
        <v>601</v>
      </c>
      <c r="B45" s="197">
        <v>1</v>
      </c>
      <c r="C45" s="197">
        <v>0</v>
      </c>
      <c r="D45" s="197">
        <v>0</v>
      </c>
      <c r="E45" s="197">
        <v>3</v>
      </c>
      <c r="F45" s="197">
        <v>3</v>
      </c>
      <c r="G45" s="197">
        <v>3</v>
      </c>
      <c r="H45" s="197">
        <v>2</v>
      </c>
      <c r="I45" s="197">
        <v>2</v>
      </c>
      <c r="J45" s="197">
        <v>2</v>
      </c>
      <c r="K45" s="197">
        <v>2</v>
      </c>
      <c r="L45" s="197">
        <v>2</v>
      </c>
      <c r="M45" s="197">
        <v>2</v>
      </c>
    </row>
    <row r="46" spans="1:13" x14ac:dyDescent="0.25">
      <c r="A46" s="196" t="s">
        <v>1253</v>
      </c>
      <c r="B46" s="197">
        <v>60</v>
      </c>
      <c r="C46" s="197">
        <v>61</v>
      </c>
      <c r="D46" s="197">
        <v>67</v>
      </c>
      <c r="E46" s="197">
        <v>71</v>
      </c>
      <c r="F46" s="197">
        <v>72</v>
      </c>
      <c r="G46" s="197">
        <v>89</v>
      </c>
      <c r="H46" s="197">
        <v>93</v>
      </c>
      <c r="I46" s="197">
        <v>92</v>
      </c>
      <c r="J46" s="197">
        <v>96</v>
      </c>
      <c r="K46" s="197">
        <v>97</v>
      </c>
      <c r="L46" s="197">
        <v>98</v>
      </c>
      <c r="M46" s="197">
        <v>96</v>
      </c>
    </row>
    <row r="47" spans="1:13" x14ac:dyDescent="0.25">
      <c r="A47" s="196" t="s">
        <v>1254</v>
      </c>
      <c r="B47" s="197">
        <v>62</v>
      </c>
      <c r="C47" s="197">
        <v>64</v>
      </c>
      <c r="D47" s="197">
        <v>93</v>
      </c>
      <c r="E47" s="197">
        <v>96</v>
      </c>
      <c r="F47" s="197">
        <v>89</v>
      </c>
      <c r="G47" s="197">
        <v>114</v>
      </c>
      <c r="H47" s="197">
        <v>115</v>
      </c>
      <c r="I47" s="197">
        <v>117</v>
      </c>
      <c r="J47" s="197">
        <v>121</v>
      </c>
      <c r="K47" s="197">
        <v>118</v>
      </c>
      <c r="L47" s="197">
        <v>115</v>
      </c>
      <c r="M47" s="197">
        <v>118</v>
      </c>
    </row>
    <row r="48" spans="1:13" x14ac:dyDescent="0.25">
      <c r="A48" s="196" t="s">
        <v>602</v>
      </c>
      <c r="B48" s="197">
        <v>1</v>
      </c>
      <c r="C48" s="197">
        <v>1</v>
      </c>
      <c r="D48" s="197">
        <v>2</v>
      </c>
      <c r="E48" s="197">
        <v>1</v>
      </c>
      <c r="F48" s="197">
        <v>1</v>
      </c>
      <c r="G48" s="197">
        <v>4</v>
      </c>
      <c r="H48" s="197">
        <v>4</v>
      </c>
      <c r="I48" s="197">
        <v>4</v>
      </c>
      <c r="J48" s="197">
        <v>4</v>
      </c>
      <c r="K48" s="197">
        <v>4</v>
      </c>
      <c r="L48" s="197">
        <v>5</v>
      </c>
      <c r="M48" s="197">
        <v>4</v>
      </c>
    </row>
    <row r="49" spans="1:13" x14ac:dyDescent="0.25">
      <c r="A49" s="196" t="s">
        <v>1255</v>
      </c>
      <c r="B49" s="197">
        <v>0</v>
      </c>
      <c r="C49" s="197">
        <v>1</v>
      </c>
      <c r="D49" s="197">
        <v>1</v>
      </c>
      <c r="E49" s="197">
        <v>2</v>
      </c>
      <c r="F49" s="197">
        <v>3</v>
      </c>
      <c r="G49" s="197">
        <v>3</v>
      </c>
      <c r="H49" s="197">
        <v>4</v>
      </c>
      <c r="I49" s="197">
        <v>3</v>
      </c>
      <c r="J49" s="197">
        <v>3</v>
      </c>
      <c r="K49" s="197">
        <v>3</v>
      </c>
      <c r="L49" s="197">
        <v>3</v>
      </c>
      <c r="M49" s="197">
        <v>3</v>
      </c>
    </row>
    <row r="50" spans="1:13" x14ac:dyDescent="0.25">
      <c r="A50" s="196" t="s">
        <v>1256</v>
      </c>
      <c r="B50" s="197">
        <v>74</v>
      </c>
      <c r="C50" s="197">
        <v>76</v>
      </c>
      <c r="D50" s="197">
        <v>95</v>
      </c>
      <c r="E50" s="197">
        <v>103</v>
      </c>
      <c r="F50" s="197">
        <v>110</v>
      </c>
      <c r="G50" s="197">
        <v>119</v>
      </c>
      <c r="H50" s="197">
        <v>123</v>
      </c>
      <c r="I50" s="197">
        <v>120</v>
      </c>
      <c r="J50" s="197">
        <v>121</v>
      </c>
      <c r="K50" s="197">
        <v>121</v>
      </c>
      <c r="L50" s="197">
        <v>110</v>
      </c>
      <c r="M50" s="197">
        <v>116</v>
      </c>
    </row>
    <row r="51" spans="1:13" x14ac:dyDescent="0.25">
      <c r="A51" s="196" t="s">
        <v>1257</v>
      </c>
      <c r="B51" s="197">
        <v>10</v>
      </c>
      <c r="C51" s="197">
        <v>9</v>
      </c>
      <c r="D51" s="197">
        <v>15</v>
      </c>
      <c r="E51" s="197">
        <v>16</v>
      </c>
      <c r="F51" s="197">
        <v>19</v>
      </c>
      <c r="G51" s="197">
        <v>26</v>
      </c>
      <c r="H51" s="197">
        <v>24</v>
      </c>
      <c r="I51" s="197">
        <v>20</v>
      </c>
      <c r="J51" s="197">
        <v>20</v>
      </c>
      <c r="K51" s="197">
        <v>20</v>
      </c>
      <c r="L51" s="197">
        <v>19</v>
      </c>
      <c r="M51" s="197">
        <v>19</v>
      </c>
    </row>
    <row r="52" spans="1:13" x14ac:dyDescent="0.25">
      <c r="A52" s="196" t="s">
        <v>1258</v>
      </c>
      <c r="B52" s="197">
        <v>9</v>
      </c>
      <c r="C52" s="197">
        <v>8</v>
      </c>
      <c r="D52" s="197">
        <v>8</v>
      </c>
      <c r="E52" s="197">
        <v>6</v>
      </c>
      <c r="F52" s="197">
        <v>6</v>
      </c>
      <c r="G52" s="197">
        <v>7</v>
      </c>
      <c r="H52" s="197">
        <v>9</v>
      </c>
      <c r="I52" s="197">
        <v>10</v>
      </c>
      <c r="J52" s="197">
        <v>11</v>
      </c>
      <c r="K52" s="197">
        <v>10</v>
      </c>
      <c r="L52" s="197">
        <v>10</v>
      </c>
      <c r="M52" s="197">
        <v>8</v>
      </c>
    </row>
    <row r="53" spans="1:13" x14ac:dyDescent="0.25">
      <c r="A53" s="196" t="s">
        <v>1259</v>
      </c>
      <c r="B53" s="197">
        <v>9</v>
      </c>
      <c r="C53" s="197">
        <v>5</v>
      </c>
      <c r="D53" s="197">
        <v>10</v>
      </c>
      <c r="E53" s="197">
        <v>10</v>
      </c>
      <c r="F53" s="197">
        <v>9</v>
      </c>
      <c r="G53" s="197">
        <v>14</v>
      </c>
      <c r="H53" s="197">
        <v>13</v>
      </c>
      <c r="I53" s="197">
        <v>13</v>
      </c>
      <c r="J53" s="197">
        <v>14</v>
      </c>
      <c r="K53" s="197">
        <v>16</v>
      </c>
      <c r="L53" s="197">
        <v>15</v>
      </c>
      <c r="M53" s="197">
        <v>15</v>
      </c>
    </row>
    <row r="54" spans="1:13" x14ac:dyDescent="0.25">
      <c r="A54" s="196" t="s">
        <v>603</v>
      </c>
      <c r="B54" s="197">
        <v>2</v>
      </c>
      <c r="C54" s="197">
        <v>1</v>
      </c>
      <c r="D54" s="197">
        <v>1</v>
      </c>
      <c r="E54" s="197">
        <v>1</v>
      </c>
      <c r="F54" s="197">
        <v>1</v>
      </c>
      <c r="G54" s="197">
        <v>2</v>
      </c>
      <c r="H54" s="197">
        <v>3</v>
      </c>
      <c r="I54" s="197">
        <v>3</v>
      </c>
      <c r="J54" s="197">
        <v>3</v>
      </c>
      <c r="K54" s="197">
        <v>4</v>
      </c>
      <c r="L54" s="197">
        <v>4</v>
      </c>
      <c r="M54" s="197">
        <v>5</v>
      </c>
    </row>
    <row r="55" spans="1:13" ht="12.75" customHeight="1" x14ac:dyDescent="0.3">
      <c r="A55" s="336"/>
      <c r="B55" s="336"/>
      <c r="C55" s="336"/>
      <c r="D55" s="336"/>
      <c r="E55" s="336"/>
      <c r="F55" s="336"/>
      <c r="G55" s="336"/>
      <c r="H55" s="336"/>
      <c r="I55" s="336"/>
      <c r="J55" s="336"/>
      <c r="K55" s="336"/>
      <c r="L55" s="336"/>
      <c r="M55" s="336"/>
    </row>
    <row r="56" spans="1:13" x14ac:dyDescent="0.25">
      <c r="A56" s="202" t="s">
        <v>1260</v>
      </c>
      <c r="B56" s="201">
        <v>60</v>
      </c>
      <c r="C56" s="201">
        <v>67</v>
      </c>
      <c r="D56" s="201">
        <v>85</v>
      </c>
      <c r="E56" s="201">
        <v>92</v>
      </c>
      <c r="F56" s="201">
        <v>94</v>
      </c>
      <c r="G56" s="201">
        <v>95</v>
      </c>
      <c r="H56" s="201">
        <v>108</v>
      </c>
      <c r="I56" s="201">
        <v>124</v>
      </c>
      <c r="J56" s="201">
        <v>136</v>
      </c>
      <c r="K56" s="201">
        <v>142</v>
      </c>
      <c r="L56" s="201">
        <v>147</v>
      </c>
      <c r="M56" s="201">
        <v>161</v>
      </c>
    </row>
    <row r="57" spans="1:13" ht="12.75" customHeight="1" x14ac:dyDescent="0.3">
      <c r="A57" s="336"/>
      <c r="B57" s="336"/>
      <c r="C57" s="336"/>
      <c r="D57" s="336"/>
      <c r="E57" s="336"/>
      <c r="F57" s="336"/>
      <c r="G57" s="336"/>
      <c r="H57" s="336"/>
      <c r="I57" s="336"/>
      <c r="J57" s="336"/>
      <c r="K57" s="336"/>
      <c r="L57" s="336"/>
      <c r="M57" s="336"/>
    </row>
    <row r="58" spans="1:13" x14ac:dyDescent="0.25">
      <c r="A58" s="202" t="s">
        <v>1003</v>
      </c>
      <c r="B58" s="201">
        <f t="shared" ref="B58:G58" si="0">SUM(B4:B56)</f>
        <v>9947</v>
      </c>
      <c r="C58" s="201">
        <f t="shared" si="0"/>
        <v>10168</v>
      </c>
      <c r="D58" s="201">
        <f t="shared" si="0"/>
        <v>11234</v>
      </c>
      <c r="E58" s="201">
        <f t="shared" si="0"/>
        <v>12491</v>
      </c>
      <c r="F58" s="201">
        <f t="shared" si="0"/>
        <v>12713</v>
      </c>
      <c r="G58" s="201">
        <f t="shared" si="0"/>
        <v>13928</v>
      </c>
      <c r="H58" s="201">
        <f t="shared" ref="H58:M58" si="1">SUM(H4:H56)</f>
        <v>14038</v>
      </c>
      <c r="I58" s="201">
        <f t="shared" si="1"/>
        <v>14095</v>
      </c>
      <c r="J58" s="201">
        <f t="shared" si="1"/>
        <v>14480</v>
      </c>
      <c r="K58" s="201">
        <f t="shared" si="1"/>
        <v>14729</v>
      </c>
      <c r="L58" s="201">
        <f t="shared" si="1"/>
        <v>14794</v>
      </c>
      <c r="M58" s="201">
        <f t="shared" si="1"/>
        <v>14815</v>
      </c>
    </row>
    <row r="59" spans="1:13" x14ac:dyDescent="0.25">
      <c r="G59" s="210"/>
    </row>
  </sheetData>
  <mergeCells count="1">
    <mergeCell ref="A1:M1"/>
  </mergeCells>
  <phoneticPr fontId="16" type="noConversion"/>
  <printOptions horizontalCentered="1" verticalCentered="1"/>
  <pageMargins left="0.75" right="0.75" top="1" bottom="1" header="0.5" footer="0.5"/>
  <pageSetup scale="84" orientation="portrait" horizontalDpi="4294967292" verticalDpi="4294967292" r:id="rId1"/>
  <headerFooter alignWithMargins="0">
    <oddFooter>&amp;LSource: Office of Alumni Affairs</oddFooter>
  </headerFooter>
  <webPublishItems count="1">
    <webPublishItem id="30000" divId="2001_2002 FACT BOOK FINAL COPY_30000" sourceType="sheet" destinationFile="C:\Documents and Settings\mkirkpatrick\My Documents\2004-2005 FACT BOOK\2004-2005 fact book WEB PAGES\04_05alumnibystate.htm"/>
  </webPublishItem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M56"/>
  <sheetViews>
    <sheetView workbookViewId="0">
      <selection sqref="A1:M1"/>
    </sheetView>
  </sheetViews>
  <sheetFormatPr defaultColWidth="6.6640625" defaultRowHeight="13.2" x14ac:dyDescent="0.25"/>
  <cols>
    <col min="1" max="1" width="15.88671875" style="203" customWidth="1"/>
    <col min="2" max="5" width="10.6640625" style="203" hidden="1" customWidth="1"/>
    <col min="6" max="8" width="8.5546875" style="203" hidden="1" customWidth="1"/>
    <col min="9" max="51" width="8.5546875" style="203" customWidth="1"/>
    <col min="52" max="16384" width="6.6640625" style="203"/>
  </cols>
  <sheetData>
    <row r="1" spans="1:13" ht="60" customHeight="1" x14ac:dyDescent="0.25">
      <c r="A1" s="2209" t="s">
        <v>590</v>
      </c>
      <c r="B1" s="2209"/>
      <c r="C1" s="2209"/>
      <c r="D1" s="2209"/>
      <c r="E1" s="2209"/>
      <c r="F1" s="2209"/>
      <c r="G1" s="2209"/>
      <c r="H1" s="2209"/>
      <c r="I1" s="2209"/>
      <c r="J1" s="2209"/>
      <c r="K1" s="2209"/>
      <c r="L1" s="2209"/>
      <c r="M1" s="2209"/>
    </row>
    <row r="2" spans="1:13" x14ac:dyDescent="0.25">
      <c r="A2" s="261" t="s">
        <v>1261</v>
      </c>
      <c r="B2" s="204">
        <v>2000</v>
      </c>
      <c r="C2" s="204">
        <v>2001</v>
      </c>
      <c r="D2" s="204">
        <v>2002</v>
      </c>
      <c r="E2" s="195">
        <v>2007</v>
      </c>
      <c r="F2" s="195">
        <f t="shared" ref="F2:M2" si="0">+E2+1</f>
        <v>2008</v>
      </c>
      <c r="G2" s="195">
        <f t="shared" si="0"/>
        <v>2009</v>
      </c>
      <c r="H2" s="195">
        <f t="shared" si="0"/>
        <v>2010</v>
      </c>
      <c r="I2" s="195">
        <f t="shared" si="0"/>
        <v>2011</v>
      </c>
      <c r="J2" s="195">
        <f t="shared" si="0"/>
        <v>2012</v>
      </c>
      <c r="K2" s="195">
        <f t="shared" si="0"/>
        <v>2013</v>
      </c>
      <c r="L2" s="195">
        <f t="shared" si="0"/>
        <v>2014</v>
      </c>
      <c r="M2" s="195">
        <f t="shared" si="0"/>
        <v>2015</v>
      </c>
    </row>
    <row r="3" spans="1:13" ht="12.75" customHeight="1" x14ac:dyDescent="0.3">
      <c r="A3" s="336"/>
      <c r="B3" s="336"/>
      <c r="C3" s="336"/>
      <c r="D3" s="336"/>
      <c r="E3" s="336"/>
      <c r="F3" s="336"/>
      <c r="G3" s="336"/>
      <c r="H3" s="336"/>
      <c r="I3" s="336"/>
      <c r="J3" s="336"/>
      <c r="K3" s="336"/>
      <c r="L3" s="336"/>
      <c r="M3" s="336"/>
    </row>
    <row r="4" spans="1:13" x14ac:dyDescent="0.25">
      <c r="A4" s="205" t="s">
        <v>1262</v>
      </c>
      <c r="B4" s="206">
        <v>444</v>
      </c>
      <c r="C4" s="206">
        <v>472</v>
      </c>
      <c r="D4" s="206">
        <v>503</v>
      </c>
      <c r="E4" s="206">
        <v>508</v>
      </c>
      <c r="F4" s="206">
        <v>523</v>
      </c>
      <c r="G4" s="206">
        <v>524</v>
      </c>
      <c r="H4" s="206">
        <v>571</v>
      </c>
      <c r="I4" s="206">
        <v>588</v>
      </c>
      <c r="J4" s="206">
        <v>606</v>
      </c>
      <c r="K4" s="206">
        <v>630</v>
      </c>
      <c r="L4" s="206">
        <v>625</v>
      </c>
      <c r="M4" s="206">
        <v>618</v>
      </c>
    </row>
    <row r="5" spans="1:13" x14ac:dyDescent="0.25">
      <c r="A5" s="207" t="s">
        <v>1263</v>
      </c>
      <c r="B5" s="208">
        <v>159</v>
      </c>
      <c r="C5" s="208">
        <v>163</v>
      </c>
      <c r="D5" s="208">
        <v>170</v>
      </c>
      <c r="E5" s="208">
        <v>193</v>
      </c>
      <c r="F5" s="208">
        <v>191</v>
      </c>
      <c r="G5" s="208">
        <v>191</v>
      </c>
      <c r="H5" s="208">
        <v>207</v>
      </c>
      <c r="I5" s="208">
        <v>215</v>
      </c>
      <c r="J5" s="208">
        <v>223</v>
      </c>
      <c r="K5" s="208">
        <v>223</v>
      </c>
      <c r="L5" s="208">
        <v>223</v>
      </c>
      <c r="M5" s="208">
        <v>227</v>
      </c>
    </row>
    <row r="6" spans="1:13" x14ac:dyDescent="0.25">
      <c r="A6" s="207" t="s">
        <v>1264</v>
      </c>
      <c r="B6" s="208">
        <v>7</v>
      </c>
      <c r="C6" s="208">
        <v>7</v>
      </c>
      <c r="D6" s="208">
        <v>7</v>
      </c>
      <c r="E6" s="208">
        <v>7</v>
      </c>
      <c r="F6" s="208">
        <v>7</v>
      </c>
      <c r="G6" s="208">
        <v>7</v>
      </c>
      <c r="H6" s="208">
        <v>7</v>
      </c>
      <c r="I6" s="208">
        <v>8</v>
      </c>
      <c r="J6" s="208">
        <v>9</v>
      </c>
      <c r="K6" s="208">
        <v>10</v>
      </c>
      <c r="L6" s="208">
        <v>10</v>
      </c>
      <c r="M6" s="208">
        <v>9</v>
      </c>
    </row>
    <row r="7" spans="1:13" x14ac:dyDescent="0.25">
      <c r="A7" s="207" t="s">
        <v>1265</v>
      </c>
      <c r="B7" s="208">
        <v>626</v>
      </c>
      <c r="C7" s="208">
        <v>634</v>
      </c>
      <c r="D7" s="208">
        <v>708</v>
      </c>
      <c r="E7" s="208">
        <v>782</v>
      </c>
      <c r="F7" s="208">
        <v>814</v>
      </c>
      <c r="G7" s="208">
        <v>914</v>
      </c>
      <c r="H7" s="208">
        <v>872</v>
      </c>
      <c r="I7" s="208">
        <v>878</v>
      </c>
      <c r="J7" s="208">
        <v>907</v>
      </c>
      <c r="K7" s="208">
        <v>938</v>
      </c>
      <c r="L7" s="208">
        <v>962</v>
      </c>
      <c r="M7" s="208">
        <v>973</v>
      </c>
    </row>
    <row r="8" spans="1:13" x14ac:dyDescent="0.25">
      <c r="A8" s="207" t="s">
        <v>1266</v>
      </c>
      <c r="B8" s="208">
        <v>14</v>
      </c>
      <c r="C8" s="208">
        <v>15</v>
      </c>
      <c r="D8" s="208">
        <v>10</v>
      </c>
      <c r="E8" s="208">
        <v>12</v>
      </c>
      <c r="F8" s="208">
        <v>12</v>
      </c>
      <c r="G8" s="208">
        <v>13</v>
      </c>
      <c r="H8" s="208">
        <v>14</v>
      </c>
      <c r="I8" s="208">
        <v>14</v>
      </c>
      <c r="J8" s="208">
        <v>17</v>
      </c>
      <c r="K8" s="208">
        <v>16</v>
      </c>
      <c r="L8" s="208">
        <v>16</v>
      </c>
      <c r="M8" s="208">
        <v>17</v>
      </c>
    </row>
    <row r="9" spans="1:13" x14ac:dyDescent="0.25">
      <c r="A9" s="207" t="s">
        <v>1267</v>
      </c>
      <c r="B9" s="208">
        <v>31</v>
      </c>
      <c r="C9" s="208">
        <v>32</v>
      </c>
      <c r="D9" s="208">
        <v>34</v>
      </c>
      <c r="E9" s="208">
        <v>28</v>
      </c>
      <c r="F9" s="208">
        <v>37</v>
      </c>
      <c r="G9" s="208">
        <v>37</v>
      </c>
      <c r="H9" s="208">
        <v>42</v>
      </c>
      <c r="I9" s="208">
        <v>45</v>
      </c>
      <c r="J9" s="208">
        <v>43</v>
      </c>
      <c r="K9" s="208">
        <v>41</v>
      </c>
      <c r="L9" s="208">
        <v>38</v>
      </c>
      <c r="M9" s="208">
        <v>42</v>
      </c>
    </row>
    <row r="10" spans="1:13" x14ac:dyDescent="0.25">
      <c r="A10" s="207" t="s">
        <v>1268</v>
      </c>
      <c r="B10" s="208">
        <v>38</v>
      </c>
      <c r="C10" s="208">
        <v>42</v>
      </c>
      <c r="D10" s="208">
        <v>53</v>
      </c>
      <c r="E10" s="208">
        <v>72</v>
      </c>
      <c r="F10" s="208">
        <v>73</v>
      </c>
      <c r="G10" s="208">
        <v>73</v>
      </c>
      <c r="H10" s="208">
        <v>71</v>
      </c>
      <c r="I10" s="208">
        <v>71</v>
      </c>
      <c r="J10" s="208">
        <v>73</v>
      </c>
      <c r="K10" s="208">
        <v>72</v>
      </c>
      <c r="L10" s="208">
        <v>72</v>
      </c>
      <c r="M10" s="208">
        <v>71</v>
      </c>
    </row>
    <row r="11" spans="1:13" x14ac:dyDescent="0.25">
      <c r="A11" s="209" t="s">
        <v>591</v>
      </c>
      <c r="B11" s="208">
        <v>40</v>
      </c>
      <c r="C11" s="208">
        <v>49</v>
      </c>
      <c r="D11" s="208">
        <v>52</v>
      </c>
      <c r="E11" s="208">
        <v>60</v>
      </c>
      <c r="F11" s="208">
        <v>64</v>
      </c>
      <c r="G11" s="208">
        <v>64</v>
      </c>
      <c r="H11" s="208">
        <v>77</v>
      </c>
      <c r="I11" s="208">
        <v>81</v>
      </c>
      <c r="J11" s="208">
        <v>83</v>
      </c>
      <c r="K11" s="208">
        <v>91</v>
      </c>
      <c r="L11" s="208">
        <v>100</v>
      </c>
      <c r="M11" s="208">
        <v>106</v>
      </c>
    </row>
    <row r="12" spans="1:13" x14ac:dyDescent="0.25">
      <c r="A12" s="207" t="s">
        <v>1269</v>
      </c>
      <c r="B12" s="208">
        <v>11</v>
      </c>
      <c r="C12" s="208">
        <v>11</v>
      </c>
      <c r="D12" s="208">
        <v>11</v>
      </c>
      <c r="E12" s="208">
        <v>15</v>
      </c>
      <c r="F12" s="208">
        <v>12</v>
      </c>
      <c r="G12" s="208">
        <v>12</v>
      </c>
      <c r="H12" s="208">
        <v>12</v>
      </c>
      <c r="I12" s="208">
        <v>13</v>
      </c>
      <c r="J12" s="208">
        <v>14</v>
      </c>
      <c r="K12" s="208">
        <v>14</v>
      </c>
      <c r="L12" s="208">
        <v>14</v>
      </c>
      <c r="M12" s="208">
        <v>16</v>
      </c>
    </row>
    <row r="13" spans="1:13" x14ac:dyDescent="0.25">
      <c r="A13" s="207" t="s">
        <v>1270</v>
      </c>
      <c r="B13" s="208">
        <v>196</v>
      </c>
      <c r="C13" s="208">
        <v>206</v>
      </c>
      <c r="D13" s="208">
        <v>254</v>
      </c>
      <c r="E13" s="208">
        <v>290</v>
      </c>
      <c r="F13" s="208">
        <v>291</v>
      </c>
      <c r="G13" s="208">
        <v>299</v>
      </c>
      <c r="H13" s="208">
        <v>322</v>
      </c>
      <c r="I13" s="208">
        <v>318</v>
      </c>
      <c r="J13" s="208">
        <v>326</v>
      </c>
      <c r="K13" s="208">
        <v>331</v>
      </c>
      <c r="L13" s="208">
        <v>330</v>
      </c>
      <c r="M13" s="208">
        <v>321</v>
      </c>
    </row>
    <row r="14" spans="1:13" x14ac:dyDescent="0.25">
      <c r="A14" s="207" t="s">
        <v>1271</v>
      </c>
      <c r="B14" s="208">
        <v>29</v>
      </c>
      <c r="C14" s="208">
        <v>27</v>
      </c>
      <c r="D14" s="208">
        <v>27</v>
      </c>
      <c r="E14" s="208">
        <v>28</v>
      </c>
      <c r="F14" s="208">
        <v>29</v>
      </c>
      <c r="G14" s="208">
        <v>29</v>
      </c>
      <c r="H14" s="208">
        <v>40</v>
      </c>
      <c r="I14" s="208">
        <v>43</v>
      </c>
      <c r="J14" s="208">
        <v>44</v>
      </c>
      <c r="K14" s="208">
        <v>45</v>
      </c>
      <c r="L14" s="208">
        <v>46</v>
      </c>
      <c r="M14" s="208">
        <v>45</v>
      </c>
    </row>
    <row r="15" spans="1:13" x14ac:dyDescent="0.25">
      <c r="A15" s="207" t="s">
        <v>1274</v>
      </c>
      <c r="B15" s="208">
        <v>16</v>
      </c>
      <c r="C15" s="208">
        <v>18</v>
      </c>
      <c r="D15" s="208">
        <v>18</v>
      </c>
      <c r="E15" s="208">
        <v>26</v>
      </c>
      <c r="F15" s="208">
        <v>28</v>
      </c>
      <c r="G15" s="208">
        <v>28</v>
      </c>
      <c r="H15" s="208">
        <v>34</v>
      </c>
      <c r="I15" s="208">
        <v>35</v>
      </c>
      <c r="J15" s="208">
        <v>37</v>
      </c>
      <c r="K15" s="208">
        <v>35</v>
      </c>
      <c r="L15" s="208">
        <v>36</v>
      </c>
      <c r="M15" s="208">
        <v>41</v>
      </c>
    </row>
    <row r="16" spans="1:13" x14ac:dyDescent="0.25">
      <c r="A16" s="207" t="s">
        <v>1275</v>
      </c>
      <c r="B16" s="208">
        <v>20</v>
      </c>
      <c r="C16" s="208">
        <v>23</v>
      </c>
      <c r="D16" s="208">
        <v>24</v>
      </c>
      <c r="E16" s="208">
        <v>34</v>
      </c>
      <c r="F16" s="208">
        <v>35</v>
      </c>
      <c r="G16" s="208">
        <v>35</v>
      </c>
      <c r="H16" s="208">
        <v>34</v>
      </c>
      <c r="I16" s="208">
        <v>34</v>
      </c>
      <c r="J16" s="208">
        <v>41</v>
      </c>
      <c r="K16" s="208">
        <v>43</v>
      </c>
      <c r="L16" s="208">
        <v>42</v>
      </c>
      <c r="M16" s="208">
        <v>42</v>
      </c>
    </row>
    <row r="17" spans="1:13" x14ac:dyDescent="0.25">
      <c r="A17" s="207" t="s">
        <v>1276</v>
      </c>
      <c r="B17" s="208">
        <v>18</v>
      </c>
      <c r="C17" s="208">
        <v>20</v>
      </c>
      <c r="D17" s="208">
        <v>20</v>
      </c>
      <c r="E17" s="208">
        <v>15</v>
      </c>
      <c r="F17" s="208">
        <v>13</v>
      </c>
      <c r="G17" s="208">
        <v>13</v>
      </c>
      <c r="H17" s="208">
        <v>16</v>
      </c>
      <c r="I17" s="208">
        <v>16</v>
      </c>
      <c r="J17" s="208">
        <v>17</v>
      </c>
      <c r="K17" s="208">
        <v>18</v>
      </c>
      <c r="L17" s="208">
        <v>17</v>
      </c>
      <c r="M17" s="208">
        <v>17</v>
      </c>
    </row>
    <row r="18" spans="1:13" x14ac:dyDescent="0.25">
      <c r="A18" s="207" t="s">
        <v>1277</v>
      </c>
      <c r="B18" s="208">
        <v>33</v>
      </c>
      <c r="C18" s="208">
        <v>32</v>
      </c>
      <c r="D18" s="208">
        <v>34</v>
      </c>
      <c r="E18" s="208">
        <v>34</v>
      </c>
      <c r="F18" s="208">
        <v>32</v>
      </c>
      <c r="G18" s="208">
        <v>32</v>
      </c>
      <c r="H18" s="208">
        <v>35</v>
      </c>
      <c r="I18" s="208">
        <v>40</v>
      </c>
      <c r="J18" s="208">
        <v>39</v>
      </c>
      <c r="K18" s="208">
        <v>39</v>
      </c>
      <c r="L18" s="208">
        <v>35</v>
      </c>
      <c r="M18" s="208">
        <v>35</v>
      </c>
    </row>
    <row r="19" spans="1:13" x14ac:dyDescent="0.25">
      <c r="A19" s="207" t="s">
        <v>1278</v>
      </c>
      <c r="B19" s="208">
        <v>49</v>
      </c>
      <c r="C19" s="208">
        <v>47</v>
      </c>
      <c r="D19" s="208">
        <v>46</v>
      </c>
      <c r="E19" s="208">
        <v>44</v>
      </c>
      <c r="F19" s="208">
        <v>47</v>
      </c>
      <c r="G19" s="208">
        <v>47</v>
      </c>
      <c r="H19" s="208">
        <v>44</v>
      </c>
      <c r="I19" s="208">
        <v>46</v>
      </c>
      <c r="J19" s="208">
        <v>48</v>
      </c>
      <c r="K19" s="208">
        <v>51</v>
      </c>
      <c r="L19" s="208">
        <v>54</v>
      </c>
      <c r="M19" s="208">
        <v>54</v>
      </c>
    </row>
    <row r="20" spans="1:13" x14ac:dyDescent="0.25">
      <c r="A20" s="207" t="s">
        <v>1279</v>
      </c>
      <c r="B20" s="208">
        <v>16</v>
      </c>
      <c r="C20" s="208">
        <v>16</v>
      </c>
      <c r="D20" s="208">
        <v>17</v>
      </c>
      <c r="E20" s="208">
        <v>26</v>
      </c>
      <c r="F20" s="208">
        <v>30</v>
      </c>
      <c r="G20" s="208">
        <v>30</v>
      </c>
      <c r="H20" s="208">
        <v>31</v>
      </c>
      <c r="I20" s="208">
        <v>31</v>
      </c>
      <c r="J20" s="208">
        <v>30</v>
      </c>
      <c r="K20" s="208">
        <v>29</v>
      </c>
      <c r="L20" s="208">
        <v>29</v>
      </c>
      <c r="M20" s="208">
        <v>29</v>
      </c>
    </row>
    <row r="21" spans="1:13" x14ac:dyDescent="0.25">
      <c r="A21" s="207" t="s">
        <v>1280</v>
      </c>
      <c r="B21" s="208">
        <v>66</v>
      </c>
      <c r="C21" s="208">
        <v>68</v>
      </c>
      <c r="D21" s="208">
        <v>74</v>
      </c>
      <c r="E21" s="208">
        <v>99</v>
      </c>
      <c r="F21" s="208">
        <v>98</v>
      </c>
      <c r="G21" s="208">
        <v>98</v>
      </c>
      <c r="H21" s="208">
        <v>112</v>
      </c>
      <c r="I21" s="208">
        <v>109</v>
      </c>
      <c r="J21" s="208">
        <v>111</v>
      </c>
      <c r="K21" s="208">
        <v>110</v>
      </c>
      <c r="L21" s="208">
        <v>96</v>
      </c>
      <c r="M21" s="208">
        <v>96</v>
      </c>
    </row>
    <row r="22" spans="1:13" x14ac:dyDescent="0.25">
      <c r="A22" s="205" t="s">
        <v>1281</v>
      </c>
      <c r="B22" s="206">
        <v>62</v>
      </c>
      <c r="C22" s="206">
        <v>66</v>
      </c>
      <c r="D22" s="206">
        <v>64</v>
      </c>
      <c r="E22" s="206">
        <v>85</v>
      </c>
      <c r="F22" s="206">
        <v>87</v>
      </c>
      <c r="G22" s="206">
        <v>87</v>
      </c>
      <c r="H22" s="206">
        <v>102</v>
      </c>
      <c r="I22" s="206">
        <v>105</v>
      </c>
      <c r="J22" s="206">
        <v>106</v>
      </c>
      <c r="K22" s="206">
        <v>107</v>
      </c>
      <c r="L22" s="206">
        <v>103</v>
      </c>
      <c r="M22" s="206">
        <v>113</v>
      </c>
    </row>
    <row r="23" spans="1:13" x14ac:dyDescent="0.25">
      <c r="A23" s="207" t="s">
        <v>1282</v>
      </c>
      <c r="B23" s="208">
        <v>19</v>
      </c>
      <c r="C23" s="208">
        <v>21</v>
      </c>
      <c r="D23" s="208">
        <v>24</v>
      </c>
      <c r="E23" s="208">
        <v>29</v>
      </c>
      <c r="F23" s="208">
        <v>28</v>
      </c>
      <c r="G23" s="208">
        <v>28</v>
      </c>
      <c r="H23" s="208">
        <v>36</v>
      </c>
      <c r="I23" s="208">
        <v>39</v>
      </c>
      <c r="J23" s="208">
        <v>39</v>
      </c>
      <c r="K23" s="208">
        <v>41</v>
      </c>
      <c r="L23" s="208">
        <v>42</v>
      </c>
      <c r="M23" s="208">
        <v>42</v>
      </c>
    </row>
    <row r="24" spans="1:13" x14ac:dyDescent="0.25">
      <c r="A24" s="207" t="s">
        <v>1283</v>
      </c>
      <c r="B24" s="208">
        <v>86</v>
      </c>
      <c r="C24" s="208">
        <v>86</v>
      </c>
      <c r="D24" s="208">
        <v>89</v>
      </c>
      <c r="E24" s="208">
        <v>90</v>
      </c>
      <c r="F24" s="208">
        <v>88</v>
      </c>
      <c r="G24" s="208">
        <v>88</v>
      </c>
      <c r="H24" s="208">
        <v>123</v>
      </c>
      <c r="I24" s="208">
        <v>92</v>
      </c>
      <c r="J24" s="208">
        <v>96</v>
      </c>
      <c r="K24" s="208">
        <v>102</v>
      </c>
      <c r="L24" s="208">
        <v>103</v>
      </c>
      <c r="M24" s="208">
        <v>113</v>
      </c>
    </row>
    <row r="25" spans="1:13" x14ac:dyDescent="0.25">
      <c r="A25" s="207" t="s">
        <v>1284</v>
      </c>
      <c r="B25" s="208">
        <v>25</v>
      </c>
      <c r="C25" s="208">
        <v>21</v>
      </c>
      <c r="D25" s="208">
        <v>23</v>
      </c>
      <c r="E25" s="208">
        <v>36</v>
      </c>
      <c r="F25" s="208">
        <v>35</v>
      </c>
      <c r="G25" s="208">
        <v>35</v>
      </c>
      <c r="H25" s="208">
        <v>39</v>
      </c>
      <c r="I25" s="208">
        <v>46</v>
      </c>
      <c r="J25" s="208">
        <v>47</v>
      </c>
      <c r="K25" s="208">
        <v>45</v>
      </c>
      <c r="L25" s="208">
        <v>48</v>
      </c>
      <c r="M25" s="208">
        <v>48</v>
      </c>
    </row>
    <row r="26" spans="1:13" x14ac:dyDescent="0.25">
      <c r="A26" s="207" t="s">
        <v>1285</v>
      </c>
      <c r="B26" s="208">
        <v>944</v>
      </c>
      <c r="C26" s="208">
        <v>988</v>
      </c>
      <c r="D26" s="208">
        <v>1132</v>
      </c>
      <c r="E26" s="208">
        <v>1310</v>
      </c>
      <c r="F26" s="208">
        <v>1347</v>
      </c>
      <c r="G26" s="208">
        <v>1546</v>
      </c>
      <c r="H26" s="208">
        <v>1492</v>
      </c>
      <c r="I26" s="208">
        <v>1502</v>
      </c>
      <c r="J26" s="208">
        <v>1540</v>
      </c>
      <c r="K26" s="208">
        <v>1563</v>
      </c>
      <c r="L26" s="208">
        <v>1571</v>
      </c>
      <c r="M26" s="208">
        <v>1593</v>
      </c>
    </row>
    <row r="27" spans="1:13" x14ac:dyDescent="0.25">
      <c r="A27" s="205" t="s">
        <v>1286</v>
      </c>
      <c r="B27" s="206">
        <v>2505</v>
      </c>
      <c r="C27" s="206">
        <v>2563</v>
      </c>
      <c r="D27" s="206">
        <v>2679</v>
      </c>
      <c r="E27" s="206">
        <v>2900</v>
      </c>
      <c r="F27" s="206">
        <v>2895</v>
      </c>
      <c r="G27" s="206">
        <v>3313</v>
      </c>
      <c r="H27" s="206">
        <v>3099</v>
      </c>
      <c r="I27" s="206">
        <v>3084</v>
      </c>
      <c r="J27" s="206">
        <v>3195</v>
      </c>
      <c r="K27" s="206">
        <v>3230</v>
      </c>
      <c r="L27" s="206">
        <v>3216</v>
      </c>
      <c r="M27" s="206">
        <v>3157</v>
      </c>
    </row>
    <row r="28" spans="1:13" x14ac:dyDescent="0.25">
      <c r="A28" s="207" t="s">
        <v>1287</v>
      </c>
      <c r="B28" s="262">
        <v>18</v>
      </c>
      <c r="C28" s="262">
        <v>20</v>
      </c>
      <c r="D28" s="262">
        <v>23</v>
      </c>
      <c r="E28" s="262">
        <v>18</v>
      </c>
      <c r="F28" s="262">
        <v>16</v>
      </c>
      <c r="G28" s="262">
        <v>16</v>
      </c>
      <c r="H28" s="262">
        <v>22</v>
      </c>
      <c r="I28" s="262">
        <v>24</v>
      </c>
      <c r="J28" s="262">
        <v>24</v>
      </c>
      <c r="K28" s="262">
        <v>24</v>
      </c>
      <c r="L28" s="262">
        <v>26</v>
      </c>
      <c r="M28" s="262">
        <v>26</v>
      </c>
    </row>
    <row r="29" spans="1:13" x14ac:dyDescent="0.25">
      <c r="A29" s="207" t="s">
        <v>1288</v>
      </c>
      <c r="B29" s="263">
        <v>85</v>
      </c>
      <c r="C29" s="263">
        <v>82</v>
      </c>
      <c r="D29" s="263">
        <v>93</v>
      </c>
      <c r="E29" s="263">
        <v>96</v>
      </c>
      <c r="F29" s="263">
        <v>95</v>
      </c>
      <c r="G29" s="263">
        <v>95</v>
      </c>
      <c r="H29" s="263">
        <v>111</v>
      </c>
      <c r="I29" s="263">
        <v>105</v>
      </c>
      <c r="J29" s="263">
        <v>104</v>
      </c>
      <c r="K29" s="263">
        <v>103</v>
      </c>
      <c r="L29" s="263">
        <v>114</v>
      </c>
      <c r="M29" s="263">
        <v>126</v>
      </c>
    </row>
    <row r="30" spans="1:13" x14ac:dyDescent="0.25">
      <c r="A30" s="207" t="s">
        <v>1289</v>
      </c>
      <c r="B30" s="208">
        <v>10</v>
      </c>
      <c r="C30" s="208">
        <v>12</v>
      </c>
      <c r="D30" s="208">
        <v>12</v>
      </c>
      <c r="E30" s="208">
        <v>6</v>
      </c>
      <c r="F30" s="208">
        <v>10</v>
      </c>
      <c r="G30" s="208">
        <v>10</v>
      </c>
      <c r="H30" s="208">
        <v>9</v>
      </c>
      <c r="I30" s="208">
        <v>10</v>
      </c>
      <c r="J30" s="208">
        <v>9</v>
      </c>
      <c r="K30" s="208">
        <v>8</v>
      </c>
      <c r="L30" s="208">
        <v>7</v>
      </c>
      <c r="M30" s="208">
        <v>7</v>
      </c>
    </row>
    <row r="31" spans="1:13" x14ac:dyDescent="0.25">
      <c r="A31" s="207" t="s">
        <v>1290</v>
      </c>
      <c r="B31" s="208">
        <v>48</v>
      </c>
      <c r="C31" s="208">
        <v>55</v>
      </c>
      <c r="D31" s="208">
        <v>67</v>
      </c>
      <c r="E31" s="208">
        <v>98</v>
      </c>
      <c r="F31" s="208">
        <v>108</v>
      </c>
      <c r="G31" s="208">
        <v>108</v>
      </c>
      <c r="H31" s="208">
        <v>115</v>
      </c>
      <c r="I31" s="208">
        <v>114</v>
      </c>
      <c r="J31" s="208">
        <v>114</v>
      </c>
      <c r="K31" s="208">
        <v>117</v>
      </c>
      <c r="L31" s="208">
        <v>121</v>
      </c>
      <c r="M31" s="208">
        <v>121</v>
      </c>
    </row>
    <row r="32" spans="1:13" x14ac:dyDescent="0.25">
      <c r="A32" s="207" t="s">
        <v>1291</v>
      </c>
      <c r="B32" s="208">
        <v>16</v>
      </c>
      <c r="C32" s="208">
        <v>21</v>
      </c>
      <c r="D32" s="208">
        <v>26</v>
      </c>
      <c r="E32" s="208">
        <v>29</v>
      </c>
      <c r="F32" s="208">
        <v>32</v>
      </c>
      <c r="G32" s="208">
        <v>32</v>
      </c>
      <c r="H32" s="208">
        <v>44</v>
      </c>
      <c r="I32" s="208">
        <v>45</v>
      </c>
      <c r="J32" s="208">
        <v>45</v>
      </c>
      <c r="K32" s="208">
        <v>48</v>
      </c>
      <c r="L32" s="208">
        <v>43</v>
      </c>
      <c r="M32" s="208">
        <v>43</v>
      </c>
    </row>
    <row r="33" spans="1:13" x14ac:dyDescent="0.25">
      <c r="A33" s="205" t="s">
        <v>1292</v>
      </c>
      <c r="B33" s="206">
        <v>493</v>
      </c>
      <c r="C33" s="206">
        <v>496</v>
      </c>
      <c r="D33" s="206">
        <v>537</v>
      </c>
      <c r="E33" s="206">
        <v>609</v>
      </c>
      <c r="F33" s="206">
        <v>621</v>
      </c>
      <c r="G33" s="206">
        <v>621</v>
      </c>
      <c r="H33" s="206">
        <v>673</v>
      </c>
      <c r="I33" s="206">
        <v>670</v>
      </c>
      <c r="J33" s="206">
        <v>699</v>
      </c>
      <c r="K33" s="206">
        <v>711</v>
      </c>
      <c r="L33" s="206">
        <v>719</v>
      </c>
      <c r="M33" s="206">
        <v>722</v>
      </c>
    </row>
    <row r="34" spans="1:13" x14ac:dyDescent="0.25">
      <c r="A34" s="207" t="s">
        <v>1293</v>
      </c>
      <c r="B34" s="208">
        <v>7</v>
      </c>
      <c r="C34" s="208">
        <v>8</v>
      </c>
      <c r="D34" s="208">
        <v>13</v>
      </c>
      <c r="E34" s="208">
        <v>8</v>
      </c>
      <c r="F34" s="208">
        <v>8</v>
      </c>
      <c r="G34" s="208">
        <v>8</v>
      </c>
      <c r="H34" s="208">
        <v>8</v>
      </c>
      <c r="I34" s="208">
        <v>9</v>
      </c>
      <c r="J34" s="208">
        <v>10</v>
      </c>
      <c r="K34" s="208">
        <v>7</v>
      </c>
      <c r="L34" s="208">
        <v>8</v>
      </c>
      <c r="M34" s="208">
        <v>8</v>
      </c>
    </row>
    <row r="35" spans="1:13" x14ac:dyDescent="0.25">
      <c r="A35" s="207" t="s">
        <v>1294</v>
      </c>
      <c r="B35" s="208">
        <v>326</v>
      </c>
      <c r="C35" s="208">
        <v>331</v>
      </c>
      <c r="D35" s="208">
        <v>350</v>
      </c>
      <c r="E35" s="208">
        <v>478</v>
      </c>
      <c r="F35" s="208">
        <v>511</v>
      </c>
      <c r="G35" s="208">
        <v>511</v>
      </c>
      <c r="H35" s="208">
        <v>605</v>
      </c>
      <c r="I35" s="208">
        <v>614</v>
      </c>
      <c r="J35" s="208">
        <v>635</v>
      </c>
      <c r="K35" s="208">
        <v>657</v>
      </c>
      <c r="L35" s="208">
        <v>657</v>
      </c>
      <c r="M35" s="208">
        <v>660</v>
      </c>
    </row>
    <row r="36" spans="1:13" x14ac:dyDescent="0.25">
      <c r="A36" s="207" t="s">
        <v>1295</v>
      </c>
      <c r="B36" s="208">
        <v>12</v>
      </c>
      <c r="C36" s="208">
        <v>11</v>
      </c>
      <c r="D36" s="208">
        <v>11</v>
      </c>
      <c r="E36" s="208">
        <v>11</v>
      </c>
      <c r="F36" s="208">
        <v>13</v>
      </c>
      <c r="G36" s="208">
        <v>13</v>
      </c>
      <c r="H36" s="208">
        <v>14</v>
      </c>
      <c r="I36" s="208">
        <v>9</v>
      </c>
      <c r="J36" s="208">
        <v>10</v>
      </c>
      <c r="K36" s="208">
        <v>9</v>
      </c>
      <c r="L36" s="208">
        <v>10</v>
      </c>
      <c r="M36" s="208">
        <v>10</v>
      </c>
    </row>
    <row r="37" spans="1:13" x14ac:dyDescent="0.25">
      <c r="A37" s="207" t="s">
        <v>1296</v>
      </c>
      <c r="B37" s="208">
        <v>9</v>
      </c>
      <c r="C37" s="208">
        <v>10</v>
      </c>
      <c r="D37" s="208">
        <v>15</v>
      </c>
      <c r="E37" s="208">
        <v>12</v>
      </c>
      <c r="F37" s="208">
        <v>12</v>
      </c>
      <c r="G37" s="208">
        <v>12</v>
      </c>
      <c r="H37" s="208">
        <v>12</v>
      </c>
      <c r="I37" s="208">
        <v>14</v>
      </c>
      <c r="J37" s="208">
        <v>14</v>
      </c>
      <c r="K37" s="208">
        <v>13</v>
      </c>
      <c r="L37" s="208">
        <v>16</v>
      </c>
      <c r="M37" s="208">
        <v>16</v>
      </c>
    </row>
    <row r="38" spans="1:13" x14ac:dyDescent="0.25">
      <c r="A38" s="205" t="s">
        <v>1298</v>
      </c>
      <c r="B38" s="206">
        <v>112</v>
      </c>
      <c r="C38" s="206">
        <v>115</v>
      </c>
      <c r="D38" s="206">
        <v>120</v>
      </c>
      <c r="E38" s="206">
        <v>102</v>
      </c>
      <c r="F38" s="206">
        <v>106</v>
      </c>
      <c r="G38" s="206">
        <v>106</v>
      </c>
      <c r="H38" s="206">
        <v>104</v>
      </c>
      <c r="I38" s="206">
        <v>106</v>
      </c>
      <c r="J38" s="206">
        <v>110</v>
      </c>
      <c r="K38" s="206">
        <v>109</v>
      </c>
      <c r="L38" s="206">
        <v>104</v>
      </c>
      <c r="M38" s="206">
        <v>104</v>
      </c>
    </row>
    <row r="39" spans="1:13" x14ac:dyDescent="0.25">
      <c r="A39" s="205" t="s">
        <v>1299</v>
      </c>
      <c r="B39" s="206">
        <v>216</v>
      </c>
      <c r="C39" s="206">
        <v>219</v>
      </c>
      <c r="D39" s="206">
        <v>230</v>
      </c>
      <c r="E39" s="206">
        <v>247</v>
      </c>
      <c r="F39" s="206">
        <v>256</v>
      </c>
      <c r="G39" s="206">
        <v>256</v>
      </c>
      <c r="H39" s="206">
        <v>270</v>
      </c>
      <c r="I39" s="206">
        <v>275</v>
      </c>
      <c r="J39" s="206">
        <v>277</v>
      </c>
      <c r="K39" s="206">
        <v>290</v>
      </c>
      <c r="L39" s="206">
        <v>299</v>
      </c>
      <c r="M39" s="206">
        <v>309</v>
      </c>
    </row>
    <row r="40" spans="1:13" x14ac:dyDescent="0.25">
      <c r="A40" s="207" t="s">
        <v>1300</v>
      </c>
      <c r="B40" s="208">
        <v>116</v>
      </c>
      <c r="C40" s="208">
        <v>121</v>
      </c>
      <c r="D40" s="208">
        <v>126</v>
      </c>
      <c r="E40" s="208">
        <v>143</v>
      </c>
      <c r="F40" s="208">
        <v>150</v>
      </c>
      <c r="G40" s="208">
        <v>150</v>
      </c>
      <c r="H40" s="208">
        <v>149</v>
      </c>
      <c r="I40" s="208">
        <v>150</v>
      </c>
      <c r="J40" s="208">
        <v>157</v>
      </c>
      <c r="K40" s="208">
        <v>158</v>
      </c>
      <c r="L40" s="208">
        <v>155</v>
      </c>
      <c r="M40" s="208">
        <v>165</v>
      </c>
    </row>
    <row r="41" spans="1:13" x14ac:dyDescent="0.25">
      <c r="A41" s="207" t="s">
        <v>1301</v>
      </c>
      <c r="B41" s="208">
        <v>86</v>
      </c>
      <c r="C41" s="208">
        <v>76</v>
      </c>
      <c r="D41" s="208">
        <v>83</v>
      </c>
      <c r="E41" s="208">
        <v>66</v>
      </c>
      <c r="F41" s="208">
        <v>66</v>
      </c>
      <c r="G41" s="208">
        <v>66</v>
      </c>
      <c r="H41" s="208">
        <v>70</v>
      </c>
      <c r="I41" s="208">
        <v>69</v>
      </c>
      <c r="J41" s="208">
        <v>74</v>
      </c>
      <c r="K41" s="208">
        <v>73</v>
      </c>
      <c r="L41" s="208">
        <v>77</v>
      </c>
      <c r="M41" s="208">
        <v>77</v>
      </c>
    </row>
    <row r="42" spans="1:13" x14ac:dyDescent="0.25">
      <c r="A42" s="207" t="s">
        <v>1302</v>
      </c>
      <c r="B42" s="208">
        <v>186</v>
      </c>
      <c r="C42" s="208">
        <v>194</v>
      </c>
      <c r="D42" s="208">
        <v>196</v>
      </c>
      <c r="E42" s="208">
        <v>290</v>
      </c>
      <c r="F42" s="208">
        <v>303</v>
      </c>
      <c r="G42" s="208">
        <v>303</v>
      </c>
      <c r="H42" s="208">
        <v>323</v>
      </c>
      <c r="I42" s="208">
        <v>325</v>
      </c>
      <c r="J42" s="208">
        <v>328</v>
      </c>
      <c r="K42" s="208">
        <v>327</v>
      </c>
      <c r="L42" s="208">
        <v>322</v>
      </c>
      <c r="M42" s="208">
        <v>332</v>
      </c>
    </row>
    <row r="43" spans="1:13" x14ac:dyDescent="0.25">
      <c r="A43" s="209" t="s">
        <v>1303</v>
      </c>
      <c r="B43" s="208">
        <v>377</v>
      </c>
      <c r="C43" s="208">
        <v>378</v>
      </c>
      <c r="D43" s="208">
        <v>436</v>
      </c>
      <c r="E43" s="208">
        <v>499</v>
      </c>
      <c r="F43" s="208">
        <v>495</v>
      </c>
      <c r="G43" s="208">
        <v>575</v>
      </c>
      <c r="H43" s="208">
        <v>576</v>
      </c>
      <c r="I43" s="208">
        <v>590</v>
      </c>
      <c r="J43" s="208">
        <v>598</v>
      </c>
      <c r="K43" s="208">
        <v>630</v>
      </c>
      <c r="L43" s="208">
        <v>630</v>
      </c>
      <c r="M43" s="208">
        <v>640</v>
      </c>
    </row>
    <row r="44" spans="1:13" x14ac:dyDescent="0.25">
      <c r="A44" s="205" t="s">
        <v>1304</v>
      </c>
      <c r="B44" s="206">
        <v>182</v>
      </c>
      <c r="C44" s="206">
        <v>187</v>
      </c>
      <c r="D44" s="206">
        <v>190</v>
      </c>
      <c r="E44" s="206">
        <v>197</v>
      </c>
      <c r="F44" s="206">
        <v>201</v>
      </c>
      <c r="G44" s="206">
        <v>201</v>
      </c>
      <c r="H44" s="206">
        <v>224</v>
      </c>
      <c r="I44" s="206">
        <v>232</v>
      </c>
      <c r="J44" s="206">
        <v>248</v>
      </c>
      <c r="K44" s="206">
        <v>246</v>
      </c>
      <c r="L44" s="206">
        <v>259</v>
      </c>
      <c r="M44" s="206">
        <v>259</v>
      </c>
    </row>
    <row r="45" spans="1:13" x14ac:dyDescent="0.25">
      <c r="A45" s="209" t="s">
        <v>1305</v>
      </c>
      <c r="B45" s="262">
        <v>276</v>
      </c>
      <c r="C45" s="262">
        <v>280</v>
      </c>
      <c r="D45" s="262">
        <v>306</v>
      </c>
      <c r="E45" s="262">
        <v>386</v>
      </c>
      <c r="F45" s="262">
        <v>405</v>
      </c>
      <c r="G45" s="262">
        <v>506</v>
      </c>
      <c r="H45" s="262">
        <v>463</v>
      </c>
      <c r="I45" s="262">
        <v>470</v>
      </c>
      <c r="J45" s="262">
        <v>482</v>
      </c>
      <c r="K45" s="262">
        <v>487</v>
      </c>
      <c r="L45" s="262">
        <v>483</v>
      </c>
      <c r="M45" s="262">
        <v>493</v>
      </c>
    </row>
    <row r="46" spans="1:13" x14ac:dyDescent="0.25">
      <c r="A46" s="207" t="s">
        <v>1306</v>
      </c>
      <c r="B46" s="263">
        <v>79</v>
      </c>
      <c r="C46" s="263">
        <v>77</v>
      </c>
      <c r="D46" s="263">
        <v>78</v>
      </c>
      <c r="E46" s="263">
        <v>99</v>
      </c>
      <c r="F46" s="263">
        <v>109</v>
      </c>
      <c r="G46" s="263">
        <v>109</v>
      </c>
      <c r="H46" s="263">
        <v>98</v>
      </c>
      <c r="I46" s="263">
        <v>92</v>
      </c>
      <c r="J46" s="263">
        <v>98</v>
      </c>
      <c r="K46" s="263">
        <v>98</v>
      </c>
      <c r="L46" s="263">
        <v>98</v>
      </c>
      <c r="M46" s="263">
        <v>98</v>
      </c>
    </row>
    <row r="47" spans="1:13" x14ac:dyDescent="0.25">
      <c r="A47" s="207" t="s">
        <v>1307</v>
      </c>
      <c r="B47" s="208">
        <v>46</v>
      </c>
      <c r="C47" s="208">
        <v>42</v>
      </c>
      <c r="D47" s="208">
        <v>46</v>
      </c>
      <c r="E47" s="208">
        <v>41</v>
      </c>
      <c r="F47" s="208">
        <v>50</v>
      </c>
      <c r="G47" s="208">
        <v>50</v>
      </c>
      <c r="H47" s="208">
        <v>50</v>
      </c>
      <c r="I47" s="208">
        <v>56</v>
      </c>
      <c r="J47" s="208">
        <v>59</v>
      </c>
      <c r="K47" s="208">
        <v>63</v>
      </c>
      <c r="L47" s="208">
        <v>68</v>
      </c>
      <c r="M47" s="208">
        <v>68</v>
      </c>
    </row>
    <row r="48" spans="1:13" x14ac:dyDescent="0.25">
      <c r="A48" s="207" t="s">
        <v>1315</v>
      </c>
      <c r="B48" s="208">
        <v>18</v>
      </c>
      <c r="C48" s="208">
        <v>13</v>
      </c>
      <c r="D48" s="208">
        <v>11</v>
      </c>
      <c r="E48" s="208">
        <v>13</v>
      </c>
      <c r="F48" s="208">
        <v>15</v>
      </c>
      <c r="G48" s="208">
        <v>15</v>
      </c>
      <c r="H48" s="208">
        <v>15</v>
      </c>
      <c r="I48" s="208">
        <v>17</v>
      </c>
      <c r="J48" s="208">
        <v>18</v>
      </c>
      <c r="K48" s="208">
        <v>21</v>
      </c>
      <c r="L48" s="208">
        <v>24</v>
      </c>
      <c r="M48" s="208">
        <v>24</v>
      </c>
    </row>
    <row r="49" spans="1:13" x14ac:dyDescent="0.25">
      <c r="A49" s="207" t="s">
        <v>1316</v>
      </c>
      <c r="B49" s="208">
        <v>78</v>
      </c>
      <c r="C49" s="208">
        <v>87</v>
      </c>
      <c r="D49" s="208">
        <v>106</v>
      </c>
      <c r="E49" s="208">
        <v>145</v>
      </c>
      <c r="F49" s="208">
        <v>153</v>
      </c>
      <c r="G49" s="208">
        <v>153</v>
      </c>
      <c r="H49" s="208">
        <v>183</v>
      </c>
      <c r="I49" s="208">
        <v>192</v>
      </c>
      <c r="J49" s="208">
        <v>191</v>
      </c>
      <c r="K49" s="208">
        <v>204</v>
      </c>
      <c r="L49" s="208">
        <v>204</v>
      </c>
      <c r="M49" s="208">
        <v>204</v>
      </c>
    </row>
    <row r="50" spans="1:13" ht="12.75" customHeight="1" x14ac:dyDescent="0.3">
      <c r="A50" s="336"/>
      <c r="B50" s="336"/>
      <c r="C50" s="336"/>
      <c r="D50" s="336"/>
      <c r="E50" s="336"/>
      <c r="F50" s="336"/>
      <c r="G50" s="336"/>
      <c r="H50" s="336"/>
      <c r="I50" s="336"/>
      <c r="J50" s="336"/>
      <c r="K50" s="336"/>
      <c r="L50" s="336"/>
      <c r="M50" s="336"/>
    </row>
    <row r="51" spans="1:13" x14ac:dyDescent="0.25">
      <c r="A51" s="207" t="s">
        <v>593</v>
      </c>
      <c r="B51" s="208">
        <f t="shared" ref="B51:G51" si="1">SUM(B4:B49)</f>
        <v>8250</v>
      </c>
      <c r="C51" s="208">
        <f t="shared" si="1"/>
        <v>8462</v>
      </c>
      <c r="D51" s="208">
        <f t="shared" si="1"/>
        <v>9148</v>
      </c>
      <c r="E51" s="208">
        <f t="shared" si="1"/>
        <v>10316</v>
      </c>
      <c r="F51" s="208">
        <f t="shared" si="1"/>
        <v>10551</v>
      </c>
      <c r="G51" s="208">
        <f t="shared" si="1"/>
        <v>11459</v>
      </c>
      <c r="H51" s="208">
        <f t="shared" ref="H51:M51" si="2">SUM(H4:H49)</f>
        <v>11570</v>
      </c>
      <c r="I51" s="208">
        <f t="shared" si="2"/>
        <v>11641</v>
      </c>
      <c r="J51" s="208">
        <f t="shared" si="2"/>
        <v>11995</v>
      </c>
      <c r="K51" s="208">
        <f t="shared" si="2"/>
        <v>12227</v>
      </c>
      <c r="L51" s="208">
        <f t="shared" si="2"/>
        <v>12272</v>
      </c>
      <c r="M51" s="208">
        <f t="shared" si="2"/>
        <v>12337</v>
      </c>
    </row>
    <row r="52" spans="1:13" x14ac:dyDescent="0.25">
      <c r="A52" s="207" t="s">
        <v>1318</v>
      </c>
      <c r="B52" s="208">
        <v>1637</v>
      </c>
      <c r="C52" s="208">
        <v>1639</v>
      </c>
      <c r="D52" s="208">
        <v>2001</v>
      </c>
      <c r="E52" s="208">
        <v>2083</v>
      </c>
      <c r="F52" s="208">
        <v>2068</v>
      </c>
      <c r="G52" s="208">
        <v>2374</v>
      </c>
      <c r="H52" s="208">
        <v>2360</v>
      </c>
      <c r="I52" s="208">
        <v>2330</v>
      </c>
      <c r="J52" s="208">
        <v>2349</v>
      </c>
      <c r="K52" s="208">
        <v>2360</v>
      </c>
      <c r="L52" s="208">
        <v>2375</v>
      </c>
      <c r="M52" s="208">
        <v>2317</v>
      </c>
    </row>
    <row r="53" spans="1:13" x14ac:dyDescent="0.25">
      <c r="A53" s="207" t="s">
        <v>1260</v>
      </c>
      <c r="B53" s="208">
        <v>60</v>
      </c>
      <c r="C53" s="208">
        <v>67</v>
      </c>
      <c r="D53" s="208">
        <v>85</v>
      </c>
      <c r="E53" s="208">
        <v>92</v>
      </c>
      <c r="F53" s="208">
        <v>94</v>
      </c>
      <c r="G53" s="208">
        <v>95</v>
      </c>
      <c r="H53" s="208">
        <v>108</v>
      </c>
      <c r="I53" s="208">
        <v>124</v>
      </c>
      <c r="J53" s="208">
        <v>136</v>
      </c>
      <c r="K53" s="208">
        <v>142</v>
      </c>
      <c r="L53" s="208">
        <v>147</v>
      </c>
      <c r="M53" s="208">
        <v>161</v>
      </c>
    </row>
    <row r="54" spans="1:13" ht="12.75" customHeight="1" x14ac:dyDescent="0.3">
      <c r="A54" s="336"/>
      <c r="B54" s="336"/>
      <c r="C54" s="336"/>
      <c r="D54" s="336"/>
      <c r="E54" s="336"/>
      <c r="F54" s="336"/>
      <c r="G54" s="336"/>
      <c r="H54" s="336"/>
      <c r="I54" s="336"/>
      <c r="J54" s="336"/>
      <c r="K54" s="336"/>
      <c r="L54" s="336"/>
      <c r="M54" s="336"/>
    </row>
    <row r="55" spans="1:13" x14ac:dyDescent="0.25">
      <c r="A55" s="205" t="s">
        <v>1003</v>
      </c>
      <c r="B55" s="206">
        <f t="shared" ref="B55:G55" si="3">SUM(B51:B53)</f>
        <v>9947</v>
      </c>
      <c r="C55" s="206">
        <f t="shared" si="3"/>
        <v>10168</v>
      </c>
      <c r="D55" s="206">
        <f t="shared" si="3"/>
        <v>11234</v>
      </c>
      <c r="E55" s="206">
        <f t="shared" si="3"/>
        <v>12491</v>
      </c>
      <c r="F55" s="206">
        <f t="shared" si="3"/>
        <v>12713</v>
      </c>
      <c r="G55" s="206">
        <f t="shared" si="3"/>
        <v>13928</v>
      </c>
      <c r="H55" s="206">
        <f t="shared" ref="H55:M55" si="4">SUM(H51:H53)</f>
        <v>14038</v>
      </c>
      <c r="I55" s="206">
        <f t="shared" si="4"/>
        <v>14095</v>
      </c>
      <c r="J55" s="206">
        <f t="shared" si="4"/>
        <v>14480</v>
      </c>
      <c r="K55" s="206">
        <f t="shared" si="4"/>
        <v>14729</v>
      </c>
      <c r="L55" s="206">
        <f t="shared" si="4"/>
        <v>14794</v>
      </c>
      <c r="M55" s="206">
        <f t="shared" si="4"/>
        <v>14815</v>
      </c>
    </row>
    <row r="56" spans="1:13" x14ac:dyDescent="0.25">
      <c r="G56" s="210"/>
    </row>
  </sheetData>
  <mergeCells count="1">
    <mergeCell ref="A1:M1"/>
  </mergeCells>
  <phoneticPr fontId="16" type="noConversion"/>
  <printOptions horizontalCentered="1" verticalCentered="1"/>
  <pageMargins left="0.75" right="0.75" top="1" bottom="1" header="0.5" footer="0.25"/>
  <pageSetup scale="89" orientation="portrait" horizontalDpi="4294967292" verticalDpi="4294967292" r:id="rId1"/>
  <headerFooter alignWithMargins="0">
    <oddFooter xml:space="preserve">&amp;LSource: Office of Alumni Affairs
</oddFooter>
  </headerFooter>
  <webPublishItems count="1">
    <webPublishItem id="31672" divId="2001_2002 FACT BOOK FINAL COPY_31672" sourceType="sheet" destinationFile="C:\Documents and Settings\mkirkpatrick\My Documents\2004-2005 FACT BOOK\2004-2005 fact book WEB PAGES\04_05alumnibyCOUNTY.htm"/>
  </webPublishItem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
  <sheetViews>
    <sheetView topLeftCell="H1" workbookViewId="0">
      <selection sqref="A1:F1"/>
    </sheetView>
  </sheetViews>
  <sheetFormatPr defaultColWidth="6.6640625" defaultRowHeight="13.2" x14ac:dyDescent="0.25"/>
  <cols>
    <col min="1" max="1" width="11.6640625" style="775" hidden="1" customWidth="1"/>
    <col min="2" max="5" width="15.6640625" style="775" hidden="1" customWidth="1"/>
    <col min="6" max="6" width="11.6640625" style="775" hidden="1" customWidth="1"/>
    <col min="7" max="7" width="10.6640625" style="775" hidden="1" customWidth="1"/>
    <col min="8" max="8" width="10.6640625" style="775" customWidth="1"/>
    <col min="9" max="9" width="9.109375" style="775" customWidth="1"/>
    <col min="10" max="16384" width="6.6640625" style="775"/>
  </cols>
  <sheetData>
    <row r="1" spans="1:17" ht="39.9" customHeight="1" x14ac:dyDescent="0.35">
      <c r="A1" s="2229" t="s">
        <v>1375</v>
      </c>
      <c r="B1" s="2229"/>
      <c r="C1" s="2229"/>
      <c r="D1" s="2229"/>
      <c r="E1" s="2229"/>
      <c r="F1" s="2229"/>
      <c r="G1" s="776"/>
      <c r="H1" s="2225" t="s">
        <v>1675</v>
      </c>
      <c r="I1" s="2225"/>
      <c r="J1" s="2225"/>
      <c r="K1" s="2225"/>
      <c r="L1" s="2225"/>
      <c r="M1" s="2225"/>
      <c r="N1" s="2225"/>
      <c r="O1" s="2225"/>
      <c r="P1" s="2225"/>
      <c r="Q1" s="2225"/>
    </row>
    <row r="3" spans="1:17" ht="20.100000000000001" customHeight="1" x14ac:dyDescent="0.25">
      <c r="B3" s="2230" t="s">
        <v>1200</v>
      </c>
      <c r="C3" s="2232" t="s">
        <v>1376</v>
      </c>
      <c r="D3" s="2234" t="s">
        <v>1377</v>
      </c>
      <c r="E3" s="2234" t="s">
        <v>1378</v>
      </c>
      <c r="F3" s="777"/>
    </row>
    <row r="4" spans="1:17" ht="20.100000000000001" customHeight="1" x14ac:dyDescent="0.25">
      <c r="B4" s="2231"/>
      <c r="C4" s="2233"/>
      <c r="D4" s="2235"/>
      <c r="E4" s="2235"/>
      <c r="F4" s="777"/>
    </row>
    <row r="5" spans="1:17" x14ac:dyDescent="0.25">
      <c r="B5" s="778"/>
      <c r="C5" s="779"/>
      <c r="D5" s="780"/>
      <c r="E5" s="780"/>
      <c r="F5" s="777"/>
    </row>
    <row r="6" spans="1:17" x14ac:dyDescent="0.25">
      <c r="B6" s="781">
        <v>2007</v>
      </c>
      <c r="C6" s="1079">
        <v>2177</v>
      </c>
      <c r="D6" s="1083">
        <v>97.46</v>
      </c>
      <c r="E6" s="1080">
        <f>C6/D6</f>
        <v>22.337369177098299</v>
      </c>
      <c r="F6" s="777"/>
    </row>
    <row r="7" spans="1:17" x14ac:dyDescent="0.25">
      <c r="B7" s="823"/>
      <c r="C7" s="1081"/>
      <c r="D7" s="1084"/>
      <c r="E7" s="1082"/>
      <c r="F7" s="777"/>
    </row>
    <row r="8" spans="1:17" x14ac:dyDescent="0.25">
      <c r="B8" s="781">
        <v>2008</v>
      </c>
      <c r="C8" s="1079">
        <v>2377</v>
      </c>
      <c r="D8" s="1083">
        <v>93.67</v>
      </c>
      <c r="E8" s="1080">
        <f>C8/D8</f>
        <v>25.376321127362015</v>
      </c>
      <c r="F8" s="777"/>
    </row>
    <row r="9" spans="1:17" x14ac:dyDescent="0.25">
      <c r="B9" s="823"/>
      <c r="C9" s="1081"/>
      <c r="D9" s="1084"/>
      <c r="E9" s="1082"/>
      <c r="F9" s="777"/>
    </row>
    <row r="10" spans="1:17" x14ac:dyDescent="0.25">
      <c r="B10" s="781">
        <v>2009</v>
      </c>
      <c r="C10" s="1079">
        <v>2647</v>
      </c>
      <c r="D10" s="1083">
        <v>92.58</v>
      </c>
      <c r="E10" s="1080">
        <f>C10/D10</f>
        <v>28.591488442428172</v>
      </c>
      <c r="F10" s="777"/>
    </row>
    <row r="11" spans="1:17" x14ac:dyDescent="0.25">
      <c r="B11" s="823"/>
      <c r="C11" s="1081"/>
      <c r="D11" s="1084"/>
      <c r="E11" s="1082"/>
      <c r="F11" s="777"/>
    </row>
    <row r="12" spans="1:17" x14ac:dyDescent="0.25">
      <c r="B12" s="781">
        <v>2010</v>
      </c>
      <c r="C12" s="1079">
        <v>2851</v>
      </c>
      <c r="D12" s="1083">
        <v>103.46</v>
      </c>
      <c r="E12" s="1080">
        <f>C12/D12</f>
        <v>27.556543591726271</v>
      </c>
      <c r="F12" s="777"/>
    </row>
    <row r="13" spans="1:17" x14ac:dyDescent="0.25">
      <c r="B13" s="823"/>
      <c r="C13" s="1081"/>
      <c r="D13" s="1084"/>
      <c r="E13" s="1082"/>
      <c r="F13" s="777"/>
    </row>
    <row r="14" spans="1:17" x14ac:dyDescent="0.25">
      <c r="B14" s="781">
        <v>2011</v>
      </c>
      <c r="C14" s="1079">
        <v>2849</v>
      </c>
      <c r="D14" s="1083">
        <v>112.79</v>
      </c>
      <c r="E14" s="1080">
        <f>C14/D14</f>
        <v>25.259331501019592</v>
      </c>
      <c r="F14" s="777"/>
    </row>
    <row r="15" spans="1:17" x14ac:dyDescent="0.25">
      <c r="H15" s="783"/>
    </row>
  </sheetData>
  <mergeCells count="6">
    <mergeCell ref="H1:Q1"/>
    <mergeCell ref="A1:F1"/>
    <mergeCell ref="B3:B4"/>
    <mergeCell ref="C3:C4"/>
    <mergeCell ref="D3:D4"/>
    <mergeCell ref="E3:E4"/>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5"/>
  <sheetViews>
    <sheetView topLeftCell="H1" workbookViewId="0">
      <selection sqref="A1:G1"/>
    </sheetView>
  </sheetViews>
  <sheetFormatPr defaultColWidth="6.6640625" defaultRowHeight="13.2" x14ac:dyDescent="0.25"/>
  <cols>
    <col min="1" max="1" width="35.6640625" style="775" hidden="1" customWidth="1"/>
    <col min="2" max="7" width="14.6640625" style="775" hidden="1" customWidth="1"/>
    <col min="8" max="16384" width="6.6640625" style="775"/>
  </cols>
  <sheetData>
    <row r="1" spans="1:17" ht="39.6" customHeight="1" x14ac:dyDescent="0.35">
      <c r="A1" s="2236" t="s">
        <v>1379</v>
      </c>
      <c r="B1" s="2236"/>
      <c r="C1" s="2236"/>
      <c r="D1" s="2236"/>
      <c r="E1" s="2236"/>
      <c r="F1" s="2236"/>
      <c r="G1" s="2236"/>
      <c r="H1" s="2225" t="s">
        <v>1675</v>
      </c>
      <c r="I1" s="2225"/>
      <c r="J1" s="2225"/>
      <c r="K1" s="2225"/>
      <c r="L1" s="2225"/>
      <c r="M1" s="2225"/>
      <c r="N1" s="2225"/>
      <c r="O1" s="2225"/>
      <c r="P1" s="2225"/>
      <c r="Q1" s="2225"/>
    </row>
    <row r="2" spans="1:17" x14ac:dyDescent="0.25">
      <c r="A2" s="786"/>
      <c r="B2" s="786"/>
      <c r="C2" s="786"/>
      <c r="D2" s="786"/>
      <c r="E2" s="786"/>
      <c r="F2" s="786"/>
      <c r="G2" s="786"/>
    </row>
    <row r="3" spans="1:17" x14ac:dyDescent="0.25">
      <c r="A3" s="787" t="s">
        <v>1380</v>
      </c>
      <c r="B3" s="788" t="s">
        <v>1381</v>
      </c>
      <c r="C3" s="788" t="s">
        <v>1382</v>
      </c>
      <c r="D3" s="788" t="s">
        <v>1383</v>
      </c>
      <c r="E3" s="788" t="s">
        <v>1384</v>
      </c>
      <c r="F3" s="789" t="s">
        <v>1385</v>
      </c>
      <c r="G3" s="789" t="s">
        <v>835</v>
      </c>
    </row>
    <row r="4" spans="1:17" x14ac:dyDescent="0.25">
      <c r="A4" s="790"/>
      <c r="B4" s="791"/>
      <c r="C4" s="791"/>
      <c r="D4" s="792"/>
      <c r="E4" s="792"/>
      <c r="F4" s="793"/>
      <c r="G4" s="793"/>
    </row>
    <row r="5" spans="1:17" x14ac:dyDescent="0.25">
      <c r="A5" s="794" t="s">
        <v>1386</v>
      </c>
      <c r="B5" s="795">
        <v>1</v>
      </c>
      <c r="C5" s="795">
        <v>1</v>
      </c>
      <c r="D5" s="796">
        <v>2</v>
      </c>
      <c r="E5" s="796"/>
      <c r="F5" s="797"/>
      <c r="G5" s="798">
        <f>SUM(B5:F5)</f>
        <v>4</v>
      </c>
    </row>
    <row r="6" spans="1:17" x14ac:dyDescent="0.25">
      <c r="A6" s="790"/>
      <c r="B6" s="791"/>
      <c r="C6" s="791"/>
      <c r="D6" s="792"/>
      <c r="E6" s="792"/>
      <c r="F6" s="793"/>
      <c r="G6" s="793"/>
    </row>
    <row r="7" spans="1:17" x14ac:dyDescent="0.25">
      <c r="A7" s="794" t="s">
        <v>1110</v>
      </c>
      <c r="B7" s="795">
        <v>2</v>
      </c>
      <c r="C7" s="795">
        <v>1</v>
      </c>
      <c r="D7" s="796">
        <v>4</v>
      </c>
      <c r="E7" s="796">
        <v>2</v>
      </c>
      <c r="F7" s="797">
        <v>1</v>
      </c>
      <c r="G7" s="798">
        <f>SUM(B7:F7)</f>
        <v>10</v>
      </c>
    </row>
    <row r="8" spans="1:17" x14ac:dyDescent="0.25">
      <c r="A8" s="790"/>
      <c r="B8" s="791"/>
      <c r="C8" s="791"/>
      <c r="D8" s="792"/>
      <c r="E8" s="792"/>
      <c r="F8" s="793"/>
      <c r="G8" s="793"/>
    </row>
    <row r="9" spans="1:17" x14ac:dyDescent="0.25">
      <c r="A9" s="794" t="s">
        <v>1387</v>
      </c>
      <c r="B9" s="795">
        <v>4</v>
      </c>
      <c r="C9" s="795">
        <v>2</v>
      </c>
      <c r="D9" s="796">
        <v>7</v>
      </c>
      <c r="E9" s="796">
        <v>2</v>
      </c>
      <c r="F9" s="797"/>
      <c r="G9" s="798">
        <f>SUM(B9:F9)</f>
        <v>15</v>
      </c>
    </row>
    <row r="10" spans="1:17" x14ac:dyDescent="0.25">
      <c r="A10" s="790"/>
      <c r="B10" s="791"/>
      <c r="C10" s="791"/>
      <c r="D10" s="792"/>
      <c r="E10" s="792"/>
      <c r="F10" s="793"/>
      <c r="G10" s="793"/>
    </row>
    <row r="11" spans="1:17" x14ac:dyDescent="0.25">
      <c r="A11" s="794" t="s">
        <v>1388</v>
      </c>
      <c r="B11" s="795">
        <v>3</v>
      </c>
      <c r="C11" s="795">
        <v>4</v>
      </c>
      <c r="D11" s="796">
        <v>2</v>
      </c>
      <c r="E11" s="796">
        <v>4</v>
      </c>
      <c r="F11" s="797">
        <v>1</v>
      </c>
      <c r="G11" s="798">
        <f>SUM(B11:F11)</f>
        <v>14</v>
      </c>
    </row>
    <row r="12" spans="1:17" x14ac:dyDescent="0.25">
      <c r="A12" s="790"/>
      <c r="B12" s="791"/>
      <c r="C12" s="791"/>
      <c r="D12" s="792"/>
      <c r="E12" s="792"/>
      <c r="F12" s="793"/>
      <c r="G12" s="793"/>
    </row>
    <row r="13" spans="1:17" x14ac:dyDescent="0.25">
      <c r="A13" s="794" t="s">
        <v>1389</v>
      </c>
      <c r="B13" s="795">
        <v>1</v>
      </c>
      <c r="C13" s="795">
        <v>5</v>
      </c>
      <c r="D13" s="796">
        <v>5</v>
      </c>
      <c r="E13" s="796">
        <v>4</v>
      </c>
      <c r="F13" s="797"/>
      <c r="G13" s="798">
        <f>SUM(B13:F13)</f>
        <v>15</v>
      </c>
    </row>
    <row r="14" spans="1:17" x14ac:dyDescent="0.25">
      <c r="A14" s="790"/>
      <c r="B14" s="791"/>
      <c r="C14" s="791"/>
      <c r="D14" s="792"/>
      <c r="E14" s="792"/>
      <c r="F14" s="793"/>
      <c r="G14" s="793"/>
    </row>
    <row r="15" spans="1:17" x14ac:dyDescent="0.25">
      <c r="A15" s="794" t="s">
        <v>1390</v>
      </c>
      <c r="B15" s="795">
        <v>5</v>
      </c>
      <c r="C15" s="795">
        <v>1</v>
      </c>
      <c r="D15" s="796">
        <v>1</v>
      </c>
      <c r="E15" s="796"/>
      <c r="F15" s="797"/>
      <c r="G15" s="798">
        <f>SUM(B15:F15)</f>
        <v>7</v>
      </c>
    </row>
    <row r="16" spans="1:17" x14ac:dyDescent="0.25">
      <c r="A16" s="790"/>
      <c r="B16" s="791"/>
      <c r="C16" s="791"/>
      <c r="D16" s="792"/>
      <c r="E16" s="792"/>
      <c r="F16" s="793"/>
      <c r="G16" s="793"/>
    </row>
    <row r="17" spans="1:7" x14ac:dyDescent="0.25">
      <c r="A17" s="794" t="s">
        <v>1058</v>
      </c>
      <c r="B17" s="795">
        <v>1</v>
      </c>
      <c r="C17" s="795">
        <v>2</v>
      </c>
      <c r="D17" s="796">
        <v>2</v>
      </c>
      <c r="E17" s="796"/>
      <c r="F17" s="797"/>
      <c r="G17" s="798">
        <f>SUM(B17:F17)</f>
        <v>5</v>
      </c>
    </row>
    <row r="18" spans="1:7" x14ac:dyDescent="0.25">
      <c r="A18" s="790"/>
      <c r="B18" s="791"/>
      <c r="C18" s="791"/>
      <c r="D18" s="792"/>
      <c r="E18" s="792"/>
      <c r="F18" s="793"/>
      <c r="G18" s="793"/>
    </row>
    <row r="19" spans="1:7" x14ac:dyDescent="0.25">
      <c r="A19" s="794" t="s">
        <v>1391</v>
      </c>
      <c r="B19" s="795">
        <v>3</v>
      </c>
      <c r="C19" s="795">
        <v>1</v>
      </c>
      <c r="D19" s="796">
        <v>3</v>
      </c>
      <c r="E19" s="796">
        <v>4</v>
      </c>
      <c r="F19" s="797"/>
      <c r="G19" s="798">
        <f>SUM(B19:F19)</f>
        <v>11</v>
      </c>
    </row>
    <row r="20" spans="1:7" x14ac:dyDescent="0.25">
      <c r="A20" s="790"/>
      <c r="B20" s="791"/>
      <c r="C20" s="791"/>
      <c r="D20" s="792"/>
      <c r="E20" s="792"/>
      <c r="F20" s="793"/>
      <c r="G20" s="793"/>
    </row>
    <row r="21" spans="1:7" x14ac:dyDescent="0.25">
      <c r="A21" s="794" t="s">
        <v>1125</v>
      </c>
      <c r="B21" s="795">
        <v>2</v>
      </c>
      <c r="C21" s="795">
        <v>1</v>
      </c>
      <c r="D21" s="796">
        <v>2</v>
      </c>
      <c r="E21" s="796">
        <v>1</v>
      </c>
      <c r="F21" s="797"/>
      <c r="G21" s="798">
        <f>SUM(B21:F21)</f>
        <v>6</v>
      </c>
    </row>
    <row r="22" spans="1:7" x14ac:dyDescent="0.25">
      <c r="A22" s="790"/>
      <c r="B22" s="791"/>
      <c r="C22" s="791"/>
      <c r="D22" s="792"/>
      <c r="E22" s="792"/>
      <c r="F22" s="793"/>
      <c r="G22" s="793"/>
    </row>
    <row r="23" spans="1:7" x14ac:dyDescent="0.25">
      <c r="A23" s="794" t="s">
        <v>1050</v>
      </c>
      <c r="B23" s="795">
        <v>1</v>
      </c>
      <c r="C23" s="795">
        <v>3</v>
      </c>
      <c r="D23" s="796">
        <v>1</v>
      </c>
      <c r="E23" s="796">
        <v>3</v>
      </c>
      <c r="F23" s="797">
        <v>1</v>
      </c>
      <c r="G23" s="798">
        <f>SUM(B23:F23)</f>
        <v>9</v>
      </c>
    </row>
    <row r="24" spans="1:7" x14ac:dyDescent="0.25">
      <c r="A24" s="790"/>
      <c r="B24" s="791"/>
      <c r="C24" s="791"/>
      <c r="D24" s="792"/>
      <c r="E24" s="792"/>
      <c r="F24" s="793"/>
      <c r="G24" s="793"/>
    </row>
    <row r="25" spans="1:7" x14ac:dyDescent="0.25">
      <c r="A25" s="799" t="s">
        <v>1059</v>
      </c>
      <c r="B25" s="795"/>
      <c r="C25" s="795">
        <v>2</v>
      </c>
      <c r="D25" s="796">
        <v>3</v>
      </c>
      <c r="E25" s="796">
        <v>1</v>
      </c>
      <c r="F25" s="797">
        <v>1</v>
      </c>
      <c r="G25" s="798">
        <f>SUM(B25:F25)</f>
        <v>7</v>
      </c>
    </row>
    <row r="26" spans="1:7" x14ac:dyDescent="0.25">
      <c r="A26" s="790"/>
      <c r="B26" s="791"/>
      <c r="C26" s="791"/>
      <c r="D26" s="792"/>
      <c r="E26" s="792"/>
      <c r="F26" s="793"/>
      <c r="G26" s="793"/>
    </row>
    <row r="27" spans="1:7" x14ac:dyDescent="0.25">
      <c r="A27" s="794" t="s">
        <v>1392</v>
      </c>
      <c r="B27" s="795">
        <v>2</v>
      </c>
      <c r="C27" s="795">
        <v>1</v>
      </c>
      <c r="D27" s="796">
        <v>5</v>
      </c>
      <c r="E27" s="796">
        <v>2</v>
      </c>
      <c r="F27" s="797">
        <v>2</v>
      </c>
      <c r="G27" s="798">
        <f>SUM(B27:F27)</f>
        <v>12</v>
      </c>
    </row>
    <row r="28" spans="1:7" x14ac:dyDescent="0.25">
      <c r="A28" s="790"/>
      <c r="B28" s="791"/>
      <c r="C28" s="791"/>
      <c r="D28" s="792"/>
      <c r="E28" s="792"/>
      <c r="F28" s="793"/>
      <c r="G28" s="793"/>
    </row>
    <row r="29" spans="1:7" x14ac:dyDescent="0.25">
      <c r="A29" s="794" t="s">
        <v>1393</v>
      </c>
      <c r="B29" s="795">
        <v>2</v>
      </c>
      <c r="C29" s="795"/>
      <c r="D29" s="796">
        <v>4</v>
      </c>
      <c r="E29" s="796">
        <v>2</v>
      </c>
      <c r="F29" s="797"/>
      <c r="G29" s="798">
        <f>SUM(B29:F29)</f>
        <v>8</v>
      </c>
    </row>
    <row r="30" spans="1:7" x14ac:dyDescent="0.25">
      <c r="A30" s="790"/>
      <c r="B30" s="791"/>
      <c r="C30" s="791"/>
      <c r="D30" s="792"/>
      <c r="E30" s="792"/>
      <c r="F30" s="793"/>
      <c r="G30" s="793"/>
    </row>
    <row r="31" spans="1:7" x14ac:dyDescent="0.25">
      <c r="A31" s="794" t="s">
        <v>1101</v>
      </c>
      <c r="B31" s="795">
        <v>3</v>
      </c>
      <c r="C31" s="795"/>
      <c r="D31" s="796">
        <v>2</v>
      </c>
      <c r="E31" s="796"/>
      <c r="F31" s="797"/>
      <c r="G31" s="798">
        <f>SUM(B31:F31)</f>
        <v>5</v>
      </c>
    </row>
    <row r="32" spans="1:7" x14ac:dyDescent="0.25">
      <c r="A32" s="790"/>
      <c r="B32" s="791"/>
      <c r="C32" s="791"/>
      <c r="D32" s="792"/>
      <c r="E32" s="792"/>
      <c r="F32" s="793"/>
      <c r="G32" s="793"/>
    </row>
    <row r="33" spans="1:7" x14ac:dyDescent="0.25">
      <c r="A33" s="800" t="s">
        <v>835</v>
      </c>
      <c r="B33" s="801">
        <f t="shared" ref="B33:G33" si="0">SUM(B4:B32)</f>
        <v>30</v>
      </c>
      <c r="C33" s="801">
        <f t="shared" si="0"/>
        <v>24</v>
      </c>
      <c r="D33" s="802">
        <f t="shared" si="0"/>
        <v>43</v>
      </c>
      <c r="E33" s="802">
        <f t="shared" si="0"/>
        <v>25</v>
      </c>
      <c r="F33" s="798">
        <f t="shared" si="0"/>
        <v>6</v>
      </c>
      <c r="G33" s="803">
        <f t="shared" si="0"/>
        <v>128</v>
      </c>
    </row>
    <row r="35" spans="1:7" x14ac:dyDescent="0.25">
      <c r="A35" s="804"/>
    </row>
  </sheetData>
  <mergeCells count="2">
    <mergeCell ref="A1:G1"/>
    <mergeCell ref="H1:Q1"/>
  </mergeCells>
  <printOptions horizontalCentered="1" verticalCentered="1"/>
  <pageMargins left="0.5" right="0.5" top="1" bottom="1" header="0.5" footer="0.5"/>
  <pageSetup orientation="landscape" r:id="rId1"/>
  <headerFooter alignWithMargins="0">
    <oddFooter>&amp;R&amp;8Source: Office of the Budget Director</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topLeftCell="E1" workbookViewId="0"/>
  </sheetViews>
  <sheetFormatPr defaultColWidth="6.6640625" defaultRowHeight="13.2" x14ac:dyDescent="0.25"/>
  <cols>
    <col min="1" max="1" width="35.6640625" style="775" hidden="1" customWidth="1"/>
    <col min="2" max="4" width="10.6640625" style="775" hidden="1" customWidth="1"/>
    <col min="5" max="16384" width="6.6640625" style="775"/>
  </cols>
  <sheetData>
    <row r="1" spans="1:14" ht="39.6" customHeight="1" x14ac:dyDescent="0.35">
      <c r="A1" s="805" t="s">
        <v>1394</v>
      </c>
      <c r="B1" s="805"/>
      <c r="C1" s="805"/>
      <c r="D1" s="805"/>
      <c r="E1" s="2225" t="s">
        <v>1675</v>
      </c>
      <c r="F1" s="2225"/>
      <c r="G1" s="2225"/>
      <c r="H1" s="2225"/>
      <c r="I1" s="2225"/>
      <c r="J1" s="2225"/>
      <c r="K1" s="2225"/>
      <c r="L1" s="2225"/>
      <c r="M1" s="2225"/>
      <c r="N1" s="2225"/>
    </row>
    <row r="2" spans="1:14" ht="17.399999999999999" x14ac:dyDescent="0.25">
      <c r="A2" s="805" t="s">
        <v>1395</v>
      </c>
      <c r="B2" s="805"/>
      <c r="C2" s="805"/>
      <c r="D2" s="805"/>
      <c r="E2" s="786"/>
    </row>
    <row r="3" spans="1:14" ht="17.399999999999999" x14ac:dyDescent="0.25">
      <c r="A3" s="805" t="s">
        <v>1396</v>
      </c>
      <c r="B3" s="805"/>
      <c r="C3" s="805"/>
      <c r="D3" s="805"/>
      <c r="E3" s="786"/>
    </row>
    <row r="4" spans="1:14" ht="13.8" thickBot="1" x14ac:dyDescent="0.3">
      <c r="A4" s="786"/>
      <c r="B4" s="806"/>
      <c r="C4" s="806"/>
      <c r="D4" s="806"/>
      <c r="E4" s="786"/>
    </row>
    <row r="5" spans="1:14" x14ac:dyDescent="0.25">
      <c r="A5" s="807" t="s">
        <v>1397</v>
      </c>
      <c r="B5" s="808" t="s">
        <v>1398</v>
      </c>
      <c r="C5" s="808" t="s">
        <v>1399</v>
      </c>
      <c r="D5" s="809" t="s">
        <v>1400</v>
      </c>
      <c r="E5" s="786"/>
    </row>
    <row r="6" spans="1:14" x14ac:dyDescent="0.25">
      <c r="A6" s="810"/>
      <c r="B6" s="791"/>
      <c r="C6" s="811"/>
      <c r="D6" s="812"/>
      <c r="E6" s="786"/>
    </row>
    <row r="7" spans="1:14" x14ac:dyDescent="0.25">
      <c r="A7" s="813" t="s">
        <v>1386</v>
      </c>
      <c r="B7" s="795">
        <f>2+2</f>
        <v>4</v>
      </c>
      <c r="C7" s="814">
        <v>2</v>
      </c>
      <c r="D7" s="815">
        <v>4</v>
      </c>
      <c r="E7" s="786"/>
    </row>
    <row r="8" spans="1:14" x14ac:dyDescent="0.25">
      <c r="A8" s="810"/>
      <c r="B8" s="791"/>
      <c r="C8" s="811"/>
      <c r="D8" s="812"/>
      <c r="E8" s="786"/>
    </row>
    <row r="9" spans="1:14" x14ac:dyDescent="0.25">
      <c r="A9" s="813" t="s">
        <v>1110</v>
      </c>
      <c r="B9" s="795">
        <v>10</v>
      </c>
      <c r="C9" s="814">
        <v>3</v>
      </c>
      <c r="D9" s="815">
        <v>6</v>
      </c>
      <c r="E9" s="786"/>
    </row>
    <row r="10" spans="1:14" x14ac:dyDescent="0.25">
      <c r="A10" s="810"/>
      <c r="B10" s="791"/>
      <c r="C10" s="811"/>
      <c r="D10" s="812"/>
      <c r="E10" s="786"/>
    </row>
    <row r="11" spans="1:14" x14ac:dyDescent="0.25">
      <c r="A11" s="813" t="s">
        <v>1387</v>
      </c>
      <c r="B11" s="795">
        <f>3+5+7</f>
        <v>15</v>
      </c>
      <c r="C11" s="814">
        <v>5</v>
      </c>
      <c r="D11" s="815">
        <v>10</v>
      </c>
      <c r="E11" s="786"/>
    </row>
    <row r="12" spans="1:14" x14ac:dyDescent="0.25">
      <c r="A12" s="810"/>
      <c r="B12" s="791"/>
      <c r="C12" s="811"/>
      <c r="D12" s="812"/>
      <c r="E12" s="786"/>
    </row>
    <row r="13" spans="1:14" x14ac:dyDescent="0.25">
      <c r="A13" s="813" t="s">
        <v>1388</v>
      </c>
      <c r="B13" s="795">
        <f>4+4+6</f>
        <v>14</v>
      </c>
      <c r="C13" s="814">
        <v>4</v>
      </c>
      <c r="D13" s="815">
        <v>7</v>
      </c>
      <c r="E13" s="786"/>
    </row>
    <row r="14" spans="1:14" x14ac:dyDescent="0.25">
      <c r="A14" s="810"/>
      <c r="B14" s="791"/>
      <c r="C14" s="811"/>
      <c r="D14" s="812"/>
      <c r="E14" s="786"/>
    </row>
    <row r="15" spans="1:14" x14ac:dyDescent="0.25">
      <c r="A15" s="813" t="s">
        <v>1389</v>
      </c>
      <c r="B15" s="795">
        <f>4+4+7</f>
        <v>15</v>
      </c>
      <c r="C15" s="814">
        <v>4</v>
      </c>
      <c r="D15" s="815">
        <v>10</v>
      </c>
      <c r="E15" s="786"/>
    </row>
    <row r="16" spans="1:14" x14ac:dyDescent="0.25">
      <c r="A16" s="810"/>
      <c r="B16" s="791"/>
      <c r="C16" s="811"/>
      <c r="D16" s="812"/>
      <c r="E16" s="786"/>
    </row>
    <row r="17" spans="1:5" x14ac:dyDescent="0.25">
      <c r="A17" s="813" t="s">
        <v>1390</v>
      </c>
      <c r="B17" s="795">
        <v>6</v>
      </c>
      <c r="C17" s="814">
        <v>6</v>
      </c>
      <c r="D17" s="815">
        <v>7</v>
      </c>
      <c r="E17" s="786"/>
    </row>
    <row r="18" spans="1:5" x14ac:dyDescent="0.25">
      <c r="A18" s="810"/>
      <c r="B18" s="791"/>
      <c r="C18" s="811"/>
      <c r="D18" s="812"/>
      <c r="E18" s="786"/>
    </row>
    <row r="19" spans="1:5" x14ac:dyDescent="0.25">
      <c r="A19" s="813" t="s">
        <v>1058</v>
      </c>
      <c r="B19" s="795">
        <f>1+2+2+1</f>
        <v>6</v>
      </c>
      <c r="C19" s="814">
        <v>2</v>
      </c>
      <c r="D19" s="815">
        <v>4</v>
      </c>
      <c r="E19" s="786"/>
    </row>
    <row r="20" spans="1:5" x14ac:dyDescent="0.25">
      <c r="A20" s="810"/>
      <c r="B20" s="791"/>
      <c r="C20" s="811"/>
      <c r="D20" s="812"/>
      <c r="E20" s="786"/>
    </row>
    <row r="21" spans="1:5" x14ac:dyDescent="0.25">
      <c r="A21" s="813" t="s">
        <v>1391</v>
      </c>
      <c r="B21" s="795">
        <f>3+3+5</f>
        <v>11</v>
      </c>
      <c r="C21" s="814">
        <v>3</v>
      </c>
      <c r="D21" s="815">
        <v>4</v>
      </c>
      <c r="E21" s="786"/>
    </row>
    <row r="22" spans="1:5" x14ac:dyDescent="0.25">
      <c r="A22" s="810"/>
      <c r="B22" s="791"/>
      <c r="C22" s="811"/>
      <c r="D22" s="812"/>
      <c r="E22" s="786"/>
    </row>
    <row r="23" spans="1:5" x14ac:dyDescent="0.25">
      <c r="A23" s="813" t="s">
        <v>1125</v>
      </c>
      <c r="B23" s="795">
        <f>3+3</f>
        <v>6</v>
      </c>
      <c r="C23" s="814">
        <v>3</v>
      </c>
      <c r="D23" s="815">
        <v>5</v>
      </c>
      <c r="E23" s="786"/>
    </row>
    <row r="24" spans="1:5" x14ac:dyDescent="0.25">
      <c r="A24" s="810"/>
      <c r="B24" s="791"/>
      <c r="C24" s="811"/>
      <c r="D24" s="812"/>
      <c r="E24" s="786"/>
    </row>
    <row r="25" spans="1:5" x14ac:dyDescent="0.25">
      <c r="A25" s="813" t="s">
        <v>1050</v>
      </c>
      <c r="B25" s="795">
        <f>2+2+5</f>
        <v>9</v>
      </c>
      <c r="C25" s="814">
        <v>2</v>
      </c>
      <c r="D25" s="815">
        <v>2</v>
      </c>
      <c r="E25" s="786"/>
    </row>
    <row r="26" spans="1:5" x14ac:dyDescent="0.25">
      <c r="A26" s="810"/>
      <c r="B26" s="791"/>
      <c r="C26" s="811"/>
      <c r="D26" s="812"/>
      <c r="E26" s="786"/>
    </row>
    <row r="27" spans="1:5" x14ac:dyDescent="0.25">
      <c r="A27" s="813" t="s">
        <v>1059</v>
      </c>
      <c r="B27" s="795">
        <f>2+1+4</f>
        <v>7</v>
      </c>
      <c r="C27" s="814">
        <v>1</v>
      </c>
      <c r="D27" s="815">
        <v>3</v>
      </c>
      <c r="E27" s="786"/>
    </row>
    <row r="28" spans="1:5" x14ac:dyDescent="0.25">
      <c r="A28" s="810"/>
      <c r="B28" s="791"/>
      <c r="C28" s="811"/>
      <c r="D28" s="812"/>
      <c r="E28" s="786"/>
    </row>
    <row r="29" spans="1:5" x14ac:dyDescent="0.25">
      <c r="A29" s="813" t="s">
        <v>1401</v>
      </c>
      <c r="B29" s="795">
        <f>4+2+6</f>
        <v>12</v>
      </c>
      <c r="C29" s="814">
        <v>2</v>
      </c>
      <c r="D29" s="815">
        <v>7</v>
      </c>
      <c r="E29" s="786"/>
    </row>
    <row r="30" spans="1:5" x14ac:dyDescent="0.25">
      <c r="A30" s="810"/>
      <c r="B30" s="791"/>
      <c r="C30" s="811"/>
      <c r="D30" s="812"/>
      <c r="E30" s="786"/>
    </row>
    <row r="31" spans="1:5" x14ac:dyDescent="0.25">
      <c r="A31" s="813" t="s">
        <v>1393</v>
      </c>
      <c r="B31" s="795">
        <f>5+2+1</f>
        <v>8</v>
      </c>
      <c r="C31" s="814">
        <v>2</v>
      </c>
      <c r="D31" s="815">
        <v>5</v>
      </c>
      <c r="E31" s="786"/>
    </row>
    <row r="32" spans="1:5" x14ac:dyDescent="0.25">
      <c r="A32" s="810"/>
      <c r="B32" s="791"/>
      <c r="C32" s="811"/>
      <c r="D32" s="812"/>
      <c r="E32" s="786"/>
    </row>
    <row r="33" spans="1:5" x14ac:dyDescent="0.25">
      <c r="A33" s="813" t="s">
        <v>1101</v>
      </c>
      <c r="B33" s="795">
        <f>1+3+1</f>
        <v>5</v>
      </c>
      <c r="C33" s="814">
        <v>3</v>
      </c>
      <c r="D33" s="815">
        <v>4</v>
      </c>
      <c r="E33" s="786"/>
    </row>
    <row r="34" spans="1:5" x14ac:dyDescent="0.25">
      <c r="A34" s="810"/>
      <c r="B34" s="791"/>
      <c r="C34" s="811"/>
      <c r="D34" s="812"/>
      <c r="E34" s="786"/>
    </row>
    <row r="35" spans="1:5" ht="13.8" thickBot="1" x14ac:dyDescent="0.3">
      <c r="A35" s="816" t="s">
        <v>835</v>
      </c>
      <c r="B35" s="817">
        <f>SUM(B7:B34)</f>
        <v>128</v>
      </c>
      <c r="C35" s="817">
        <f>SUM(C7:C34)</f>
        <v>42</v>
      </c>
      <c r="D35" s="818">
        <f>SUM(D7:D34)</f>
        <v>78</v>
      </c>
      <c r="E35" s="786"/>
    </row>
    <row r="39" spans="1:5" x14ac:dyDescent="0.25">
      <c r="B39" s="819"/>
      <c r="C39" s="819"/>
      <c r="D39" s="819"/>
    </row>
    <row r="40" spans="1:5" x14ac:dyDescent="0.25">
      <c r="B40" s="819"/>
      <c r="C40" s="819"/>
      <c r="D40" s="819"/>
    </row>
  </sheetData>
  <mergeCells count="1">
    <mergeCell ref="E1:N1"/>
  </mergeCells>
  <printOptions horizontalCentered="1" verticalCentered="1"/>
  <pageMargins left="0.75" right="0.75" top="1" bottom="1" header="0.5" footer="0.5"/>
  <pageSetup orientation="portrait" r:id="rId1"/>
  <headerFooter alignWithMargins="0">
    <oddFooter>&amp;L&amp;7Source: Office of the Budget Director</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topLeftCell="J1" workbookViewId="0"/>
  </sheetViews>
  <sheetFormatPr defaultColWidth="6.6640625" defaultRowHeight="13.2" x14ac:dyDescent="0.25"/>
  <cols>
    <col min="1" max="2" width="6.6640625" style="775" hidden="1" customWidth="1"/>
    <col min="3" max="3" width="20.6640625" style="775" hidden="1" customWidth="1"/>
    <col min="4" max="6" width="7.88671875" style="775" hidden="1" customWidth="1"/>
    <col min="7" max="9" width="0" style="775" hidden="1" customWidth="1"/>
    <col min="10" max="16384" width="6.6640625" style="775"/>
  </cols>
  <sheetData>
    <row r="1" spans="2:19" ht="39.6" customHeight="1" x14ac:dyDescent="0.35">
      <c r="C1" s="2237" t="s">
        <v>1402</v>
      </c>
      <c r="D1" s="2237"/>
      <c r="E1" s="2237"/>
      <c r="F1" s="2237"/>
      <c r="J1" s="2225" t="s">
        <v>1675</v>
      </c>
      <c r="K1" s="2225"/>
      <c r="L1" s="2225"/>
      <c r="M1" s="2225"/>
      <c r="N1" s="2225"/>
      <c r="O1" s="2225"/>
      <c r="P1" s="2225"/>
      <c r="Q1" s="2225"/>
      <c r="R1" s="2225"/>
      <c r="S1" s="2225"/>
    </row>
    <row r="2" spans="2:19" ht="13.8" thickBot="1" x14ac:dyDescent="0.3"/>
    <row r="3" spans="2:19" x14ac:dyDescent="0.25">
      <c r="C3" s="820" t="s">
        <v>1403</v>
      </c>
      <c r="D3" s="821" t="s">
        <v>986</v>
      </c>
      <c r="E3" s="821" t="s">
        <v>987</v>
      </c>
      <c r="F3" s="822" t="s">
        <v>506</v>
      </c>
    </row>
    <row r="4" spans="2:19" x14ac:dyDescent="0.25">
      <c r="B4" s="777"/>
      <c r="C4" s="823"/>
      <c r="D4" s="824"/>
      <c r="E4" s="824"/>
      <c r="F4" s="825"/>
    </row>
    <row r="5" spans="2:19" x14ac:dyDescent="0.25">
      <c r="B5" s="777"/>
      <c r="C5" s="826" t="s">
        <v>1404</v>
      </c>
      <c r="D5" s="782">
        <v>23</v>
      </c>
      <c r="E5" s="782">
        <v>7</v>
      </c>
      <c r="F5" s="827">
        <f>SUM(D5:E5)</f>
        <v>30</v>
      </c>
    </row>
    <row r="6" spans="2:19" x14ac:dyDescent="0.25">
      <c r="B6" s="777"/>
      <c r="C6" s="823"/>
      <c r="D6" s="824"/>
      <c r="E6" s="824"/>
      <c r="F6" s="825"/>
    </row>
    <row r="7" spans="2:19" x14ac:dyDescent="0.25">
      <c r="B7" s="777"/>
      <c r="C7" s="826" t="s">
        <v>1405</v>
      </c>
      <c r="D7" s="782">
        <v>10</v>
      </c>
      <c r="E7" s="782">
        <v>14</v>
      </c>
      <c r="F7" s="827">
        <f>SUM(D7:E7)</f>
        <v>24</v>
      </c>
    </row>
    <row r="8" spans="2:19" x14ac:dyDescent="0.25">
      <c r="B8" s="777"/>
      <c r="C8" s="823"/>
      <c r="D8" s="824"/>
      <c r="E8" s="824"/>
      <c r="F8" s="825"/>
    </row>
    <row r="9" spans="2:19" x14ac:dyDescent="0.25">
      <c r="B9" s="777"/>
      <c r="C9" s="826" t="s">
        <v>1406</v>
      </c>
      <c r="D9" s="782">
        <v>23</v>
      </c>
      <c r="E9" s="782">
        <v>20</v>
      </c>
      <c r="F9" s="827">
        <f>SUM(D9:E9)</f>
        <v>43</v>
      </c>
    </row>
    <row r="10" spans="2:19" x14ac:dyDescent="0.25">
      <c r="B10" s="777"/>
      <c r="C10" s="823"/>
      <c r="D10" s="824"/>
      <c r="E10" s="824"/>
      <c r="F10" s="825"/>
    </row>
    <row r="11" spans="2:19" x14ac:dyDescent="0.25">
      <c r="B11" s="777"/>
      <c r="C11" s="826" t="s">
        <v>1407</v>
      </c>
      <c r="D11" s="782">
        <v>6</v>
      </c>
      <c r="E11" s="782">
        <v>19</v>
      </c>
      <c r="F11" s="827">
        <f>SUM(D11:E11)</f>
        <v>25</v>
      </c>
    </row>
    <row r="12" spans="2:19" x14ac:dyDescent="0.25">
      <c r="B12" s="777"/>
      <c r="C12" s="823"/>
      <c r="D12" s="824"/>
      <c r="E12" s="824"/>
      <c r="F12" s="825"/>
    </row>
    <row r="13" spans="2:19" x14ac:dyDescent="0.25">
      <c r="B13" s="777"/>
      <c r="C13" s="826" t="s">
        <v>1408</v>
      </c>
      <c r="D13" s="782">
        <v>2</v>
      </c>
      <c r="E13" s="782">
        <v>4</v>
      </c>
      <c r="F13" s="827">
        <f>SUM(D13:E13)</f>
        <v>6</v>
      </c>
    </row>
    <row r="14" spans="2:19" x14ac:dyDescent="0.25">
      <c r="B14" s="777"/>
      <c r="C14" s="823"/>
      <c r="D14" s="824"/>
      <c r="E14" s="824"/>
      <c r="F14" s="825"/>
    </row>
    <row r="15" spans="2:19" ht="13.8" thickBot="1" x14ac:dyDescent="0.3">
      <c r="B15" s="777"/>
      <c r="C15" s="828" t="s">
        <v>835</v>
      </c>
      <c r="D15" s="829">
        <f>SUM(D5:D13)</f>
        <v>64</v>
      </c>
      <c r="E15" s="829">
        <f>SUM(E5:E13)</f>
        <v>64</v>
      </c>
      <c r="F15" s="830">
        <f>SUM(F5:F13)</f>
        <v>128</v>
      </c>
    </row>
    <row r="16" spans="2:19" x14ac:dyDescent="0.25">
      <c r="B16" s="777"/>
      <c r="C16" s="777"/>
      <c r="D16" s="777"/>
      <c r="E16" s="777"/>
      <c r="F16" s="777"/>
    </row>
    <row r="17" spans="2:6" ht="33.75" customHeight="1" x14ac:dyDescent="0.25">
      <c r="B17" s="777"/>
      <c r="C17" s="2238" t="s">
        <v>1409</v>
      </c>
      <c r="D17" s="2238"/>
      <c r="E17" s="2238"/>
      <c r="F17" s="2238"/>
    </row>
    <row r="18" spans="2:6" x14ac:dyDescent="0.25">
      <c r="B18" s="777"/>
      <c r="C18" s="777"/>
      <c r="D18" s="777"/>
      <c r="E18" s="777"/>
      <c r="F18" s="777"/>
    </row>
    <row r="19" spans="2:6" x14ac:dyDescent="0.25">
      <c r="B19" s="784"/>
      <c r="C19" s="784"/>
      <c r="D19" s="785"/>
      <c r="E19" s="785"/>
      <c r="F19" s="832"/>
    </row>
    <row r="20" spans="2:6" x14ac:dyDescent="0.25">
      <c r="B20" s="784"/>
      <c r="C20" s="784"/>
      <c r="D20" s="785"/>
      <c r="E20" s="785"/>
      <c r="F20" s="832"/>
    </row>
    <row r="21" spans="2:6" x14ac:dyDescent="0.25">
      <c r="B21" s="784"/>
      <c r="C21" s="784"/>
      <c r="D21" s="785"/>
      <c r="E21" s="785"/>
      <c r="F21" s="832"/>
    </row>
    <row r="22" spans="2:6" x14ac:dyDescent="0.25">
      <c r="B22" s="784"/>
      <c r="C22" s="784"/>
      <c r="D22" s="785"/>
      <c r="E22" s="785"/>
      <c r="F22" s="832"/>
    </row>
    <row r="23" spans="2:6" x14ac:dyDescent="0.25">
      <c r="B23" s="784"/>
      <c r="C23" s="784"/>
      <c r="D23" s="785"/>
      <c r="E23" s="785"/>
      <c r="F23" s="832"/>
    </row>
    <row r="24" spans="2:6" x14ac:dyDescent="0.25">
      <c r="B24" s="784"/>
      <c r="C24" s="784"/>
      <c r="D24" s="785"/>
      <c r="E24" s="785"/>
      <c r="F24" s="832"/>
    </row>
    <row r="25" spans="2:6" x14ac:dyDescent="0.25">
      <c r="B25" s="784"/>
      <c r="C25" s="784"/>
      <c r="D25" s="785"/>
      <c r="E25" s="785"/>
      <c r="F25" s="832"/>
    </row>
    <row r="26" spans="2:6" x14ac:dyDescent="0.25">
      <c r="B26" s="784"/>
      <c r="C26" s="784"/>
      <c r="D26" s="785"/>
      <c r="E26" s="785"/>
      <c r="F26" s="832"/>
    </row>
    <row r="27" spans="2:6" x14ac:dyDescent="0.25">
      <c r="B27" s="784"/>
      <c r="C27" s="784"/>
      <c r="D27" s="785"/>
      <c r="E27" s="785"/>
      <c r="F27" s="832"/>
    </row>
    <row r="28" spans="2:6" x14ac:dyDescent="0.25">
      <c r="B28" s="784"/>
      <c r="C28" s="784"/>
      <c r="D28" s="785"/>
      <c r="E28" s="785"/>
      <c r="F28" s="832"/>
    </row>
    <row r="29" spans="2:6" x14ac:dyDescent="0.25">
      <c r="B29" s="784"/>
      <c r="C29" s="784"/>
      <c r="D29" s="785"/>
      <c r="E29" s="785"/>
      <c r="F29" s="832"/>
    </row>
    <row r="30" spans="2:6" x14ac:dyDescent="0.25">
      <c r="B30" s="784"/>
      <c r="C30" s="784"/>
      <c r="D30" s="785"/>
      <c r="E30" s="785"/>
      <c r="F30" s="832"/>
    </row>
    <row r="31" spans="2:6" x14ac:dyDescent="0.25">
      <c r="B31" s="784"/>
      <c r="C31" s="784"/>
      <c r="D31" s="785"/>
      <c r="E31" s="785"/>
      <c r="F31" s="832"/>
    </row>
    <row r="32" spans="2:6" x14ac:dyDescent="0.25">
      <c r="B32" s="784"/>
      <c r="C32" s="784"/>
      <c r="D32" s="785"/>
      <c r="E32" s="785"/>
      <c r="F32" s="832"/>
    </row>
    <row r="33" spans="2:6" x14ac:dyDescent="0.25">
      <c r="B33" s="784"/>
      <c r="C33" s="784"/>
      <c r="D33" s="785"/>
      <c r="E33" s="785"/>
      <c r="F33" s="832"/>
    </row>
    <row r="34" spans="2:6" x14ac:dyDescent="0.25">
      <c r="B34" s="784"/>
      <c r="C34" s="784"/>
      <c r="D34" s="785"/>
      <c r="E34" s="785"/>
      <c r="F34" s="832"/>
    </row>
    <row r="35" spans="2:6" x14ac:dyDescent="0.25">
      <c r="B35" s="784"/>
      <c r="C35" s="784"/>
      <c r="D35" s="785"/>
      <c r="E35" s="785"/>
      <c r="F35" s="832"/>
    </row>
  </sheetData>
  <mergeCells count="3">
    <mergeCell ref="C1:F1"/>
    <mergeCell ref="C17:F17"/>
    <mergeCell ref="J1:S1"/>
  </mergeCells>
  <printOptions horizontalCentered="1" verticalCentered="1"/>
  <pageMargins left="0.75" right="0.75" top="1" bottom="1" header="0.5" footer="0.5"/>
  <pageSetup orientation="portrait" r:id="rId1"/>
  <headerFooter alignWithMargins="0">
    <oddFooter>&amp;L&amp;7Source: Office of the Budget Director</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topLeftCell="H1" workbookViewId="0">
      <selection activeCell="H1" sqref="H1:Q1"/>
    </sheetView>
  </sheetViews>
  <sheetFormatPr defaultColWidth="6.6640625" defaultRowHeight="13.2" x14ac:dyDescent="0.25"/>
  <cols>
    <col min="1" max="1" width="20.6640625" style="775" hidden="1" customWidth="1"/>
    <col min="2" max="6" width="11.5546875" style="775" hidden="1" customWidth="1"/>
    <col min="7" max="7" width="0" style="775" hidden="1" customWidth="1"/>
    <col min="8" max="16384" width="6.6640625" style="775"/>
  </cols>
  <sheetData>
    <row r="1" spans="1:17" ht="35.1" customHeight="1" x14ac:dyDescent="0.35">
      <c r="A1" s="2237" t="s">
        <v>1410</v>
      </c>
      <c r="B1" s="2237"/>
      <c r="C1" s="2237"/>
      <c r="D1" s="2237"/>
      <c r="E1" s="2237"/>
      <c r="F1" s="2237"/>
      <c r="H1" s="2225" t="s">
        <v>1675</v>
      </c>
      <c r="I1" s="2225"/>
      <c r="J1" s="2225"/>
      <c r="K1" s="2225"/>
      <c r="L1" s="2225"/>
      <c r="M1" s="2225"/>
      <c r="N1" s="2225"/>
      <c r="O1" s="2225"/>
      <c r="P1" s="2225"/>
      <c r="Q1" s="2225"/>
    </row>
    <row r="3" spans="1:17" x14ac:dyDescent="0.25">
      <c r="A3" s="833"/>
      <c r="B3" s="833" t="s">
        <v>1105</v>
      </c>
      <c r="C3" s="834" t="s">
        <v>283</v>
      </c>
      <c r="D3" s="834" t="s">
        <v>1314</v>
      </c>
      <c r="E3" s="834" t="s">
        <v>372</v>
      </c>
      <c r="F3" s="834" t="s">
        <v>615</v>
      </c>
    </row>
    <row r="4" spans="1:17" x14ac:dyDescent="0.25">
      <c r="A4" s="780"/>
      <c r="B4" s="780"/>
      <c r="C4" s="780"/>
      <c r="D4" s="779"/>
      <c r="E4" s="780"/>
      <c r="F4" s="780"/>
    </row>
    <row r="5" spans="1:17" x14ac:dyDescent="0.25">
      <c r="A5" s="782" t="s">
        <v>1404</v>
      </c>
      <c r="B5" s="836">
        <v>57202</v>
      </c>
      <c r="C5" s="835">
        <v>58207</v>
      </c>
      <c r="D5" s="835">
        <v>61909</v>
      </c>
      <c r="E5" s="835">
        <v>66351</v>
      </c>
      <c r="F5" s="835">
        <v>65611</v>
      </c>
    </row>
    <row r="6" spans="1:17" x14ac:dyDescent="0.25">
      <c r="A6" s="780"/>
      <c r="B6" s="780"/>
      <c r="C6" s="779"/>
      <c r="D6" s="780"/>
      <c r="E6" s="780"/>
      <c r="F6" s="780"/>
    </row>
    <row r="7" spans="1:17" x14ac:dyDescent="0.25">
      <c r="A7" s="782" t="s">
        <v>1405</v>
      </c>
      <c r="B7" s="836">
        <v>51869</v>
      </c>
      <c r="C7" s="835">
        <v>52245</v>
      </c>
      <c r="D7" s="835">
        <v>51859</v>
      </c>
      <c r="E7" s="835">
        <v>55367</v>
      </c>
      <c r="F7" s="835">
        <v>54874</v>
      </c>
    </row>
    <row r="8" spans="1:17" x14ac:dyDescent="0.25">
      <c r="A8" s="780"/>
      <c r="B8" s="780"/>
      <c r="C8" s="779"/>
      <c r="D8" s="780"/>
      <c r="E8" s="780"/>
      <c r="F8" s="780"/>
    </row>
    <row r="9" spans="1:17" x14ac:dyDescent="0.25">
      <c r="A9" s="782" t="s">
        <v>1406</v>
      </c>
      <c r="B9" s="836">
        <v>42518</v>
      </c>
      <c r="C9" s="835">
        <v>44711</v>
      </c>
      <c r="D9" s="835">
        <v>46514</v>
      </c>
      <c r="E9" s="835">
        <v>47533</v>
      </c>
      <c r="F9" s="835">
        <v>48676</v>
      </c>
    </row>
    <row r="10" spans="1:17" x14ac:dyDescent="0.25">
      <c r="A10" s="780"/>
      <c r="B10" s="780"/>
      <c r="C10" s="779"/>
      <c r="D10" s="780"/>
      <c r="E10" s="780"/>
      <c r="F10" s="780"/>
    </row>
    <row r="11" spans="1:17" x14ac:dyDescent="0.25">
      <c r="A11" s="837" t="s">
        <v>1407</v>
      </c>
      <c r="B11" s="839">
        <v>34985</v>
      </c>
      <c r="C11" s="838">
        <v>36324</v>
      </c>
      <c r="D11" s="838">
        <v>37009</v>
      </c>
      <c r="E11" s="838">
        <v>37973</v>
      </c>
      <c r="F11" s="838">
        <v>40896</v>
      </c>
    </row>
    <row r="12" spans="1:17" x14ac:dyDescent="0.25">
      <c r="A12" s="777"/>
      <c r="B12" s="777"/>
      <c r="C12" s="777"/>
      <c r="D12" s="777"/>
      <c r="E12" s="777"/>
      <c r="F12" s="777"/>
    </row>
    <row r="13" spans="1:17" ht="33.75" customHeight="1" x14ac:dyDescent="0.25">
      <c r="A13" s="2239" t="s">
        <v>1411</v>
      </c>
      <c r="B13" s="2239"/>
      <c r="C13" s="2239"/>
      <c r="D13" s="777"/>
      <c r="E13" s="777"/>
      <c r="F13" s="777"/>
    </row>
    <row r="14" spans="1:17" ht="38.25" customHeight="1" x14ac:dyDescent="0.25">
      <c r="A14" s="831" t="s">
        <v>1412</v>
      </c>
      <c r="B14" s="831"/>
      <c r="C14" s="831"/>
      <c r="D14" s="831"/>
      <c r="E14" s="831"/>
      <c r="F14" s="831"/>
    </row>
    <row r="15" spans="1:17" x14ac:dyDescent="0.25">
      <c r="A15" s="777"/>
      <c r="B15" s="777"/>
      <c r="C15" s="777"/>
      <c r="D15" s="777"/>
      <c r="E15" s="777"/>
      <c r="F15" s="777"/>
    </row>
    <row r="16" spans="1:17" x14ac:dyDescent="0.25">
      <c r="A16" s="777"/>
      <c r="B16" s="777"/>
      <c r="C16" s="777"/>
      <c r="D16" s="777"/>
      <c r="E16" s="777"/>
      <c r="F16" s="777"/>
    </row>
    <row r="17" spans="1:6" x14ac:dyDescent="0.25">
      <c r="A17" s="777"/>
      <c r="B17" s="777"/>
      <c r="C17" s="777"/>
      <c r="D17" s="777"/>
      <c r="E17" s="777"/>
      <c r="F17" s="777"/>
    </row>
    <row r="18" spans="1:6" x14ac:dyDescent="0.25">
      <c r="A18" s="777"/>
      <c r="B18" s="777"/>
      <c r="C18" s="777"/>
      <c r="D18" s="777"/>
      <c r="E18" s="777"/>
      <c r="F18" s="777"/>
    </row>
    <row r="19" spans="1:6" x14ac:dyDescent="0.25">
      <c r="A19" s="777"/>
      <c r="B19" s="777"/>
      <c r="C19" s="777"/>
      <c r="D19" s="777"/>
      <c r="E19" s="777"/>
      <c r="F19" s="777"/>
    </row>
    <row r="20" spans="1:6" x14ac:dyDescent="0.25">
      <c r="A20" s="777"/>
      <c r="B20" s="777"/>
      <c r="C20" s="777"/>
      <c r="D20" s="777"/>
      <c r="E20" s="777"/>
      <c r="F20" s="777"/>
    </row>
    <row r="21" spans="1:6" x14ac:dyDescent="0.25">
      <c r="A21" s="777"/>
      <c r="B21" s="777"/>
      <c r="C21" s="777"/>
      <c r="D21" s="777"/>
      <c r="E21" s="777"/>
      <c r="F21" s="777"/>
    </row>
    <row r="22" spans="1:6" x14ac:dyDescent="0.25">
      <c r="A22" s="777"/>
      <c r="B22" s="777"/>
      <c r="C22" s="777"/>
      <c r="D22" s="777"/>
      <c r="E22" s="777"/>
      <c r="F22" s="777"/>
    </row>
    <row r="23" spans="1:6" x14ac:dyDescent="0.25">
      <c r="A23" s="777"/>
      <c r="B23" s="777"/>
      <c r="C23" s="777"/>
      <c r="D23" s="777"/>
      <c r="E23" s="777"/>
      <c r="F23" s="777"/>
    </row>
    <row r="24" spans="1:6" x14ac:dyDescent="0.25">
      <c r="A24" s="777"/>
      <c r="B24" s="777"/>
      <c r="C24" s="777"/>
      <c r="D24" s="777"/>
      <c r="E24" s="777"/>
      <c r="F24" s="777"/>
    </row>
    <row r="25" spans="1:6" x14ac:dyDescent="0.25">
      <c r="A25" s="777"/>
      <c r="B25" s="777"/>
      <c r="C25" s="777"/>
      <c r="D25" s="777"/>
      <c r="E25" s="777"/>
      <c r="F25" s="777"/>
    </row>
    <row r="26" spans="1:6" x14ac:dyDescent="0.25">
      <c r="A26" s="777"/>
      <c r="B26" s="777"/>
      <c r="C26" s="777"/>
      <c r="D26" s="777"/>
      <c r="E26" s="777"/>
      <c r="F26" s="777"/>
    </row>
    <row r="27" spans="1:6" x14ac:dyDescent="0.25">
      <c r="A27" s="777"/>
      <c r="B27" s="777"/>
      <c r="C27" s="777"/>
      <c r="D27" s="777"/>
      <c r="E27" s="777"/>
      <c r="F27" s="777"/>
    </row>
    <row r="28" spans="1:6" x14ac:dyDescent="0.25">
      <c r="A28" s="777"/>
      <c r="B28" s="777"/>
      <c r="C28" s="777"/>
      <c r="D28" s="777"/>
      <c r="E28" s="777"/>
      <c r="F28" s="777"/>
    </row>
    <row r="29" spans="1:6" x14ac:dyDescent="0.25">
      <c r="A29" s="777"/>
      <c r="B29" s="777"/>
      <c r="C29" s="777"/>
      <c r="D29" s="777"/>
      <c r="E29" s="777"/>
      <c r="F29" s="777"/>
    </row>
    <row r="30" spans="1:6" x14ac:dyDescent="0.25">
      <c r="A30" s="777"/>
      <c r="B30" s="777"/>
      <c r="C30" s="777"/>
      <c r="D30" s="777"/>
      <c r="E30" s="777"/>
      <c r="F30" s="777"/>
    </row>
    <row r="31" spans="1:6" x14ac:dyDescent="0.25">
      <c r="A31" s="777"/>
      <c r="B31" s="777"/>
      <c r="C31" s="777"/>
      <c r="D31" s="777"/>
      <c r="E31" s="777"/>
      <c r="F31" s="777"/>
    </row>
    <row r="32" spans="1:6" x14ac:dyDescent="0.25">
      <c r="A32" s="777"/>
      <c r="B32" s="777"/>
      <c r="C32" s="777"/>
      <c r="D32" s="777"/>
      <c r="E32" s="777"/>
      <c r="F32" s="777"/>
    </row>
    <row r="33" spans="1:6" x14ac:dyDescent="0.25">
      <c r="A33" s="777"/>
      <c r="B33" s="777"/>
      <c r="C33" s="777"/>
      <c r="D33" s="777"/>
      <c r="E33" s="777"/>
      <c r="F33" s="777"/>
    </row>
    <row r="34" spans="1:6" x14ac:dyDescent="0.25">
      <c r="A34" s="777"/>
      <c r="B34" s="777"/>
      <c r="C34" s="777"/>
      <c r="D34" s="777"/>
      <c r="E34" s="777"/>
      <c r="F34" s="777"/>
    </row>
    <row r="35" spans="1:6" x14ac:dyDescent="0.25">
      <c r="A35" s="777"/>
      <c r="B35" s="777"/>
      <c r="C35" s="777"/>
      <c r="D35" s="777"/>
      <c r="E35" s="777"/>
      <c r="F35" s="777"/>
    </row>
  </sheetData>
  <mergeCells count="3">
    <mergeCell ref="A1:F1"/>
    <mergeCell ref="A13:C13"/>
    <mergeCell ref="H1:Q1"/>
  </mergeCells>
  <printOptions horizontalCentered="1" verticalCentered="1"/>
  <pageMargins left="0.75" right="0.75" top="1" bottom="1" header="0.5" footer="0.5"/>
  <pageSetup scale="89" orientation="portrait" r:id="rId1"/>
  <headerFooter alignWithMargins="0">
    <oddFooter>&amp;L&amp;7Source: Office of the Budget Director</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zoomScale="120" zoomScaleNormal="120" workbookViewId="0">
      <selection activeCell="B18" sqref="B18:D18"/>
    </sheetView>
  </sheetViews>
  <sheetFormatPr defaultColWidth="6.6640625" defaultRowHeight="13.2" x14ac:dyDescent="0.25"/>
  <cols>
    <col min="1" max="1" width="15.109375" style="775" customWidth="1"/>
    <col min="2" max="2" width="11.5546875" style="775" customWidth="1"/>
    <col min="3" max="3" width="11.5546875" style="843" customWidth="1"/>
    <col min="4" max="4" width="11.5546875" style="775" customWidth="1"/>
    <col min="5" max="6" width="7.88671875" style="775" customWidth="1"/>
    <col min="7" max="16384" width="6.6640625" style="775"/>
  </cols>
  <sheetData>
    <row r="1" spans="1:6" ht="19.2" x14ac:dyDescent="0.25">
      <c r="A1" s="840" t="s">
        <v>1413</v>
      </c>
      <c r="B1" s="840"/>
      <c r="C1" s="840"/>
      <c r="D1" s="841"/>
      <c r="E1" s="841"/>
      <c r="F1" s="841"/>
    </row>
    <row r="2" spans="1:6" ht="19.2" x14ac:dyDescent="0.25">
      <c r="A2" s="840" t="s">
        <v>1414</v>
      </c>
      <c r="B2" s="840"/>
      <c r="C2" s="840"/>
      <c r="D2" s="841"/>
      <c r="E2" s="841"/>
      <c r="F2" s="841"/>
    </row>
    <row r="3" spans="1:6" x14ac:dyDescent="0.25">
      <c r="C3" s="842"/>
      <c r="D3" s="843"/>
      <c r="F3" s="777"/>
    </row>
    <row r="4" spans="1:6" ht="24.9" customHeight="1" x14ac:dyDescent="0.25">
      <c r="B4" s="844" t="s">
        <v>825</v>
      </c>
      <c r="C4" s="845" t="s">
        <v>1415</v>
      </c>
      <c r="D4" s="844" t="s">
        <v>1416</v>
      </c>
      <c r="E4" s="846"/>
      <c r="F4" s="777"/>
    </row>
    <row r="5" spans="1:6" hidden="1" x14ac:dyDescent="0.25">
      <c r="B5" s="824"/>
      <c r="C5" s="847"/>
      <c r="D5" s="824"/>
      <c r="E5" s="846"/>
      <c r="F5" s="777"/>
    </row>
    <row r="6" spans="1:6" hidden="1" x14ac:dyDescent="0.25">
      <c r="B6" s="833" t="s">
        <v>1447</v>
      </c>
      <c r="C6" s="849">
        <v>9144</v>
      </c>
      <c r="D6" s="850">
        <v>17304</v>
      </c>
      <c r="E6" s="848"/>
      <c r="F6" s="777"/>
    </row>
    <row r="7" spans="1:6" x14ac:dyDescent="0.25">
      <c r="B7" s="824"/>
      <c r="C7" s="847"/>
      <c r="D7" s="824"/>
      <c r="E7" s="848"/>
      <c r="F7" s="777"/>
    </row>
    <row r="8" spans="1:6" x14ac:dyDescent="0.25">
      <c r="B8" s="833" t="s">
        <v>1438</v>
      </c>
      <c r="C8" s="849">
        <v>9504</v>
      </c>
      <c r="D8" s="850">
        <v>17976</v>
      </c>
      <c r="E8" s="848"/>
      <c r="F8" s="777"/>
    </row>
    <row r="9" spans="1:6" x14ac:dyDescent="0.25">
      <c r="B9" s="824"/>
      <c r="C9" s="847"/>
      <c r="D9" s="824"/>
      <c r="E9" s="848"/>
      <c r="F9" s="777"/>
    </row>
    <row r="10" spans="1:6" x14ac:dyDescent="0.25">
      <c r="B10" s="833" t="s">
        <v>1549</v>
      </c>
      <c r="C10" s="849">
        <v>9792</v>
      </c>
      <c r="D10" s="850">
        <v>18552</v>
      </c>
      <c r="E10" s="851"/>
      <c r="F10" s="777"/>
    </row>
    <row r="11" spans="1:6" x14ac:dyDescent="0.25">
      <c r="B11" s="824"/>
      <c r="C11" s="847"/>
      <c r="D11" s="824"/>
      <c r="E11" s="852"/>
      <c r="F11" s="777"/>
    </row>
    <row r="12" spans="1:6" x14ac:dyDescent="0.25">
      <c r="B12" s="833" t="s">
        <v>1611</v>
      </c>
      <c r="C12" s="849">
        <v>10100</v>
      </c>
      <c r="D12" s="850">
        <v>19136</v>
      </c>
      <c r="E12" s="852"/>
      <c r="F12" s="777"/>
    </row>
    <row r="13" spans="1:6" x14ac:dyDescent="0.25">
      <c r="B13" s="824"/>
      <c r="C13" s="847"/>
      <c r="D13" s="824"/>
      <c r="E13" s="852"/>
      <c r="F13" s="777"/>
    </row>
    <row r="14" spans="1:6" x14ac:dyDescent="0.25">
      <c r="B14" s="833" t="s">
        <v>1639</v>
      </c>
      <c r="C14" s="849">
        <v>10418</v>
      </c>
      <c r="D14" s="850">
        <v>19738</v>
      </c>
      <c r="E14" s="852"/>
      <c r="F14" s="777"/>
    </row>
    <row r="15" spans="1:6" x14ac:dyDescent="0.25">
      <c r="B15" s="824"/>
      <c r="C15" s="847"/>
      <c r="D15" s="824"/>
      <c r="E15" s="852"/>
      <c r="F15" s="777"/>
    </row>
    <row r="16" spans="1:6" x14ac:dyDescent="0.25">
      <c r="B16" s="833" t="s">
        <v>1721</v>
      </c>
      <c r="C16" s="849">
        <v>10752</v>
      </c>
      <c r="D16" s="850">
        <v>20370</v>
      </c>
      <c r="E16" s="852"/>
      <c r="F16" s="777"/>
    </row>
    <row r="17" spans="1:6" x14ac:dyDescent="0.25">
      <c r="B17" s="2103"/>
      <c r="C17" s="2104"/>
      <c r="D17" s="2104"/>
      <c r="E17" s="852"/>
      <c r="F17" s="777"/>
    </row>
    <row r="18" spans="1:6" ht="26.25" customHeight="1" x14ac:dyDescent="0.25">
      <c r="A18" s="777"/>
      <c r="B18" s="2240" t="s">
        <v>1417</v>
      </c>
      <c r="C18" s="2240"/>
      <c r="D18" s="2240"/>
      <c r="E18" s="777"/>
      <c r="F18" s="777"/>
    </row>
    <row r="19" spans="1:6" x14ac:dyDescent="0.25">
      <c r="A19" s="777"/>
      <c r="B19" s="853"/>
      <c r="C19" s="777"/>
      <c r="D19" s="777"/>
      <c r="E19" s="777"/>
      <c r="F19" s="777"/>
    </row>
    <row r="20" spans="1:6" x14ac:dyDescent="0.25">
      <c r="B20" s="777"/>
      <c r="C20" s="777"/>
      <c r="D20" s="777"/>
      <c r="E20" s="777"/>
      <c r="F20" s="777"/>
    </row>
    <row r="21" spans="1:6" x14ac:dyDescent="0.25">
      <c r="B21" s="777"/>
      <c r="C21" s="777"/>
      <c r="D21" s="777"/>
      <c r="E21" s="777"/>
      <c r="F21" s="777"/>
    </row>
    <row r="22" spans="1:6" x14ac:dyDescent="0.25">
      <c r="B22" s="777"/>
      <c r="C22" s="777"/>
      <c r="D22" s="777"/>
      <c r="E22" s="777"/>
      <c r="F22" s="777"/>
    </row>
    <row r="23" spans="1:6" x14ac:dyDescent="0.25">
      <c r="B23" s="777"/>
      <c r="C23" s="777"/>
      <c r="D23" s="777"/>
      <c r="E23" s="777"/>
      <c r="F23" s="777"/>
    </row>
    <row r="24" spans="1:6" x14ac:dyDescent="0.25">
      <c r="B24" s="777"/>
      <c r="C24" s="777"/>
      <c r="D24" s="777"/>
      <c r="E24" s="777"/>
      <c r="F24" s="777"/>
    </row>
    <row r="25" spans="1:6" x14ac:dyDescent="0.25">
      <c r="B25" s="777"/>
      <c r="C25" s="777"/>
      <c r="D25" s="777"/>
      <c r="E25" s="777"/>
      <c r="F25" s="777"/>
    </row>
    <row r="26" spans="1:6" x14ac:dyDescent="0.25">
      <c r="B26" s="777"/>
      <c r="C26" s="777"/>
      <c r="D26" s="777"/>
      <c r="E26" s="777"/>
      <c r="F26" s="777"/>
    </row>
    <row r="27" spans="1:6" x14ac:dyDescent="0.25">
      <c r="B27" s="777"/>
      <c r="C27" s="777"/>
      <c r="D27" s="777"/>
      <c r="E27" s="777"/>
      <c r="F27" s="777"/>
    </row>
    <row r="28" spans="1:6" x14ac:dyDescent="0.25">
      <c r="B28" s="777"/>
      <c r="C28" s="777"/>
      <c r="D28" s="777"/>
      <c r="E28" s="777"/>
      <c r="F28" s="777"/>
    </row>
    <row r="29" spans="1:6" x14ac:dyDescent="0.25">
      <c r="B29" s="777"/>
      <c r="C29" s="777"/>
      <c r="D29" s="777"/>
      <c r="E29" s="777"/>
      <c r="F29" s="777"/>
    </row>
    <row r="30" spans="1:6" x14ac:dyDescent="0.25">
      <c r="B30" s="777"/>
      <c r="C30" s="777"/>
      <c r="D30" s="777"/>
      <c r="E30" s="777"/>
      <c r="F30" s="777"/>
    </row>
    <row r="31" spans="1:6" x14ac:dyDescent="0.25">
      <c r="B31" s="777"/>
      <c r="C31" s="777"/>
      <c r="D31" s="777"/>
      <c r="E31" s="777"/>
      <c r="F31" s="777"/>
    </row>
    <row r="32" spans="1:6" x14ac:dyDescent="0.25">
      <c r="B32" s="777"/>
      <c r="C32" s="777"/>
      <c r="D32" s="777"/>
      <c r="E32" s="777"/>
      <c r="F32" s="777"/>
    </row>
    <row r="33" spans="2:6" x14ac:dyDescent="0.25">
      <c r="B33" s="777"/>
      <c r="C33" s="777"/>
      <c r="D33" s="777"/>
      <c r="E33" s="777"/>
      <c r="F33" s="777"/>
    </row>
    <row r="34" spans="2:6" x14ac:dyDescent="0.25">
      <c r="B34" s="777"/>
      <c r="C34" s="777"/>
      <c r="D34" s="777"/>
      <c r="E34" s="777"/>
      <c r="F34" s="777"/>
    </row>
    <row r="35" spans="2:6" x14ac:dyDescent="0.25">
      <c r="B35" s="777"/>
      <c r="C35" s="777"/>
      <c r="D35" s="777"/>
      <c r="E35" s="777"/>
      <c r="F35" s="777"/>
    </row>
    <row r="36" spans="2:6" x14ac:dyDescent="0.25">
      <c r="B36" s="777"/>
      <c r="C36" s="777"/>
      <c r="D36" s="777"/>
      <c r="E36" s="777"/>
      <c r="F36" s="777"/>
    </row>
    <row r="37" spans="2:6" x14ac:dyDescent="0.25">
      <c r="C37" s="777"/>
      <c r="D37" s="777"/>
      <c r="E37" s="777"/>
      <c r="F37" s="777"/>
    </row>
    <row r="38" spans="2:6" x14ac:dyDescent="0.25">
      <c r="C38" s="777"/>
      <c r="D38" s="777"/>
      <c r="E38" s="777"/>
      <c r="F38" s="777"/>
    </row>
    <row r="39" spans="2:6" x14ac:dyDescent="0.25">
      <c r="C39" s="777"/>
      <c r="D39" s="777"/>
      <c r="E39" s="777"/>
      <c r="F39" s="777"/>
    </row>
  </sheetData>
  <mergeCells count="1">
    <mergeCell ref="B18:D18"/>
  </mergeCells>
  <printOptions horizontalCentered="1" verticalCentered="1"/>
  <pageMargins left="0.75" right="0.5" top="1" bottom="1" header="0.5" footer="0.5"/>
  <pageSetup scale="120" orientation="portrait" r:id="rId1"/>
  <headerFooter alignWithMargins="0">
    <oddFooter>&amp;L&amp;7Source: Office of the Budget Director</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Q28"/>
  <sheetViews>
    <sheetView workbookViewId="0">
      <selection sqref="A1:T1"/>
    </sheetView>
  </sheetViews>
  <sheetFormatPr defaultColWidth="6.6640625" defaultRowHeight="13.2" x14ac:dyDescent="0.25"/>
  <cols>
    <col min="1" max="1" width="23.6640625" style="1" customWidth="1"/>
    <col min="2" max="2" width="6.6640625" style="1" hidden="1" customWidth="1"/>
    <col min="3" max="3" width="15.109375" style="1" hidden="1" customWidth="1"/>
    <col min="4" max="4" width="6.6640625" style="1" hidden="1" customWidth="1"/>
    <col min="5" max="5" width="15.33203125" style="1" hidden="1" customWidth="1"/>
    <col min="6" max="6" width="6.6640625" style="1" hidden="1" customWidth="1"/>
    <col min="7" max="7" width="15.109375" style="1" hidden="1" customWidth="1"/>
    <col min="8" max="8" width="6.6640625" style="1" hidden="1" customWidth="1"/>
    <col min="9" max="9" width="15.33203125" style="1" hidden="1" customWidth="1"/>
    <col min="10" max="10" width="6.6640625" style="1" customWidth="1"/>
    <col min="11" max="11" width="15.33203125" style="1" customWidth="1"/>
    <col min="12" max="12" width="6.6640625" style="451" customWidth="1"/>
    <col min="13" max="13" width="13.44140625" style="415" customWidth="1"/>
    <col min="14" max="14" width="6.6640625" style="451" customWidth="1"/>
    <col min="15" max="15" width="13.44140625" style="415" customWidth="1"/>
    <col min="16" max="16" width="6.6640625" style="451" customWidth="1"/>
    <col min="17" max="17" width="17.33203125" style="415" bestFit="1" customWidth="1"/>
    <col min="18" max="18" width="6.6640625" style="1" customWidth="1"/>
    <col min="19" max="19" width="15.33203125" style="1" customWidth="1"/>
    <col min="20" max="20" width="10.5546875" style="1" customWidth="1"/>
    <col min="21" max="21" width="13.33203125" style="1" customWidth="1"/>
    <col min="22" max="22" width="15.109375" style="1" customWidth="1"/>
    <col min="23" max="23" width="14.109375" style="1" customWidth="1"/>
    <col min="24" max="24" width="17.6640625" style="1" customWidth="1"/>
    <col min="25" max="35" width="6.6640625" style="1" customWidth="1"/>
    <col min="36" max="36" width="23.5546875" style="1" customWidth="1"/>
    <col min="37" max="16384" width="6.6640625" style="1"/>
  </cols>
  <sheetData>
    <row r="1" spans="1:43" ht="17.399999999999999" x14ac:dyDescent="0.3">
      <c r="A1" s="2117" t="s">
        <v>618</v>
      </c>
      <c r="B1" s="2117"/>
      <c r="C1" s="2117"/>
      <c r="D1" s="2117"/>
      <c r="E1" s="2117"/>
      <c r="F1" s="2117"/>
      <c r="G1" s="2117"/>
      <c r="H1" s="2117"/>
      <c r="I1" s="2117"/>
      <c r="J1" s="2117"/>
      <c r="K1" s="2117"/>
      <c r="L1" s="2117"/>
      <c r="M1" s="2117"/>
      <c r="N1" s="2117"/>
      <c r="O1" s="2117"/>
      <c r="P1" s="2117"/>
      <c r="Q1" s="2117"/>
      <c r="R1" s="2117"/>
      <c r="S1" s="2117"/>
      <c r="T1" s="2117"/>
    </row>
    <row r="2" spans="1:43" ht="13.8" thickBot="1" x14ac:dyDescent="0.3">
      <c r="A2" s="405"/>
      <c r="B2" s="405"/>
      <c r="C2" s="405"/>
      <c r="D2" s="405"/>
      <c r="E2" s="405"/>
      <c r="F2" s="405"/>
      <c r="G2" s="405"/>
    </row>
    <row r="3" spans="1:43" x14ac:dyDescent="0.25">
      <c r="A3" s="452"/>
      <c r="B3" s="2243" t="s">
        <v>1350</v>
      </c>
      <c r="C3" s="2244"/>
      <c r="D3" s="2243" t="s">
        <v>1351</v>
      </c>
      <c r="E3" s="2244"/>
      <c r="F3" s="2243" t="s">
        <v>1352</v>
      </c>
      <c r="G3" s="2244"/>
      <c r="H3" s="2243" t="s">
        <v>795</v>
      </c>
      <c r="I3" s="2244"/>
      <c r="J3" s="2243" t="s">
        <v>652</v>
      </c>
      <c r="K3" s="2244"/>
      <c r="L3" s="2243" t="s">
        <v>1359</v>
      </c>
      <c r="M3" s="2244"/>
      <c r="N3" s="2243" t="s">
        <v>1105</v>
      </c>
      <c r="O3" s="2246"/>
      <c r="P3" s="2243" t="s">
        <v>283</v>
      </c>
      <c r="Q3" s="2245"/>
      <c r="R3" s="2241" t="s">
        <v>1314</v>
      </c>
      <c r="S3" s="2241"/>
      <c r="T3" s="2242"/>
    </row>
    <row r="4" spans="1:43" x14ac:dyDescent="0.25">
      <c r="A4" s="269" t="s">
        <v>619</v>
      </c>
      <c r="B4" s="78" t="s">
        <v>620</v>
      </c>
      <c r="C4" s="270" t="s">
        <v>621</v>
      </c>
      <c r="D4" s="78" t="s">
        <v>620</v>
      </c>
      <c r="E4" s="270" t="s">
        <v>621</v>
      </c>
      <c r="F4" s="78" t="s">
        <v>620</v>
      </c>
      <c r="G4" s="270" t="s">
        <v>621</v>
      </c>
      <c r="H4" s="78" t="s">
        <v>620</v>
      </c>
      <c r="I4" s="270" t="s">
        <v>621</v>
      </c>
      <c r="J4" s="78" t="s">
        <v>620</v>
      </c>
      <c r="K4" s="270" t="s">
        <v>621</v>
      </c>
      <c r="L4" s="78" t="s">
        <v>620</v>
      </c>
      <c r="M4" s="270" t="s">
        <v>621</v>
      </c>
      <c r="N4" s="78" t="s">
        <v>620</v>
      </c>
      <c r="O4" s="270" t="s">
        <v>621</v>
      </c>
      <c r="P4" s="78" t="s">
        <v>620</v>
      </c>
      <c r="Q4" s="270" t="s">
        <v>621</v>
      </c>
      <c r="R4" s="620" t="s">
        <v>620</v>
      </c>
      <c r="S4" s="621" t="s">
        <v>621</v>
      </c>
      <c r="T4" s="622" t="s">
        <v>851</v>
      </c>
    </row>
    <row r="5" spans="1:43" ht="20.100000000000001" customHeight="1" x14ac:dyDescent="0.25">
      <c r="A5" s="623" t="s">
        <v>622</v>
      </c>
      <c r="B5" s="332"/>
      <c r="C5" s="333"/>
      <c r="D5" s="332"/>
      <c r="E5" s="333"/>
      <c r="F5" s="332"/>
      <c r="G5" s="333"/>
      <c r="H5" s="332"/>
      <c r="I5" s="333"/>
      <c r="J5" s="332"/>
      <c r="K5" s="333"/>
      <c r="L5" s="332"/>
      <c r="M5" s="333"/>
      <c r="N5" s="332"/>
      <c r="O5" s="333"/>
      <c r="P5" s="332"/>
      <c r="Q5" s="333"/>
      <c r="R5" s="624"/>
      <c r="S5" s="332"/>
      <c r="T5" s="625"/>
    </row>
    <row r="6" spans="1:43" x14ac:dyDescent="0.25">
      <c r="A6" s="172" t="s">
        <v>623</v>
      </c>
      <c r="B6" s="110">
        <v>847</v>
      </c>
      <c r="C6" s="271">
        <v>1426922</v>
      </c>
      <c r="D6" s="110">
        <v>799</v>
      </c>
      <c r="E6" s="271">
        <v>1518043</v>
      </c>
      <c r="F6" s="110">
        <v>774</v>
      </c>
      <c r="G6" s="271">
        <v>1455623</v>
      </c>
      <c r="H6" s="110">
        <v>777</v>
      </c>
      <c r="I6" s="271">
        <v>1637935</v>
      </c>
      <c r="J6" s="110">
        <v>807</v>
      </c>
      <c r="K6" s="271">
        <v>1985684.39</v>
      </c>
      <c r="L6" s="110">
        <v>893</v>
      </c>
      <c r="M6" s="271">
        <v>2401526.31</v>
      </c>
      <c r="N6" s="110">
        <v>924</v>
      </c>
      <c r="O6" s="271">
        <v>2547851.4900000002</v>
      </c>
      <c r="P6" s="110">
        <v>964</v>
      </c>
      <c r="Q6" s="271">
        <v>2616732</v>
      </c>
      <c r="R6" s="430">
        <v>942</v>
      </c>
      <c r="S6" s="267">
        <v>2579503</v>
      </c>
      <c r="T6" s="626">
        <f t="shared" ref="T6:T13" si="0">S6/$S$24</f>
        <v>0.11703190378087697</v>
      </c>
    </row>
    <row r="7" spans="1:43" x14ac:dyDescent="0.25">
      <c r="A7" s="172" t="s">
        <v>624</v>
      </c>
      <c r="B7" s="110">
        <v>92</v>
      </c>
      <c r="C7" s="271">
        <v>73050</v>
      </c>
      <c r="D7" s="110">
        <v>164</v>
      </c>
      <c r="E7" s="271">
        <v>98745</v>
      </c>
      <c r="F7" s="110">
        <v>108</v>
      </c>
      <c r="G7" s="271">
        <v>100898</v>
      </c>
      <c r="H7" s="110">
        <v>78</v>
      </c>
      <c r="I7" s="271">
        <v>69418</v>
      </c>
      <c r="J7" s="110">
        <v>187</v>
      </c>
      <c r="K7" s="271">
        <v>150265</v>
      </c>
      <c r="L7" s="110">
        <v>161</v>
      </c>
      <c r="M7" s="271">
        <v>147448</v>
      </c>
      <c r="N7" s="110">
        <v>183</v>
      </c>
      <c r="O7" s="271">
        <v>165935</v>
      </c>
      <c r="P7" s="110">
        <v>223</v>
      </c>
      <c r="Q7" s="271">
        <v>190071</v>
      </c>
      <c r="R7" s="430">
        <v>198</v>
      </c>
      <c r="S7" s="267">
        <v>164185</v>
      </c>
      <c r="T7" s="626">
        <f t="shared" si="0"/>
        <v>7.44906407252222E-3</v>
      </c>
    </row>
    <row r="8" spans="1:43" s="321" customFormat="1" x14ac:dyDescent="0.25">
      <c r="A8" s="627" t="s">
        <v>625</v>
      </c>
      <c r="B8" s="628">
        <v>8</v>
      </c>
      <c r="C8" s="629">
        <v>11629</v>
      </c>
      <c r="D8" s="628">
        <v>6</v>
      </c>
      <c r="E8" s="629">
        <v>10031</v>
      </c>
      <c r="F8" s="628">
        <v>0</v>
      </c>
      <c r="G8" s="629">
        <v>0</v>
      </c>
      <c r="H8" s="628">
        <v>4</v>
      </c>
      <c r="I8" s="629">
        <v>13370</v>
      </c>
      <c r="J8" s="628">
        <v>7</v>
      </c>
      <c r="K8" s="629">
        <v>11177</v>
      </c>
      <c r="L8" s="628">
        <v>8</v>
      </c>
      <c r="M8" s="629">
        <v>31699</v>
      </c>
      <c r="N8" s="628">
        <v>15</v>
      </c>
      <c r="O8" s="629">
        <v>34315</v>
      </c>
      <c r="P8" s="628">
        <v>5</v>
      </c>
      <c r="Q8" s="629">
        <v>18898</v>
      </c>
      <c r="R8" s="630">
        <v>16</v>
      </c>
      <c r="S8" s="631">
        <f>22194</f>
        <v>22194</v>
      </c>
      <c r="T8" s="632">
        <f t="shared" si="0"/>
        <v>1.0069405123827278E-3</v>
      </c>
    </row>
    <row r="9" spans="1:43" x14ac:dyDescent="0.25">
      <c r="A9" s="172" t="s">
        <v>626</v>
      </c>
      <c r="B9" s="110">
        <v>29</v>
      </c>
      <c r="C9" s="271">
        <v>74608</v>
      </c>
      <c r="D9" s="110">
        <v>27</v>
      </c>
      <c r="E9" s="271">
        <v>58431</v>
      </c>
      <c r="F9" s="110">
        <v>22</v>
      </c>
      <c r="G9" s="271">
        <v>42323</v>
      </c>
      <c r="H9" s="110">
        <v>19</v>
      </c>
      <c r="I9" s="271">
        <v>52749</v>
      </c>
      <c r="J9" s="110">
        <v>20</v>
      </c>
      <c r="K9" s="271">
        <v>46350.75</v>
      </c>
      <c r="L9" s="110">
        <v>27</v>
      </c>
      <c r="M9" s="271">
        <v>69182.460000000006</v>
      </c>
      <c r="N9" s="110">
        <v>22</v>
      </c>
      <c r="O9" s="271">
        <v>49024</v>
      </c>
      <c r="P9" s="110">
        <v>12</v>
      </c>
      <c r="Q9" s="271">
        <v>23836</v>
      </c>
      <c r="R9" s="430">
        <v>16</v>
      </c>
      <c r="S9" s="267">
        <v>50432</v>
      </c>
      <c r="T9" s="626">
        <f t="shared" si="0"/>
        <v>2.2880969595604995E-3</v>
      </c>
    </row>
    <row r="10" spans="1:43" s="321" customFormat="1" x14ac:dyDescent="0.25">
      <c r="A10" s="627" t="s">
        <v>627</v>
      </c>
      <c r="B10" s="628">
        <v>378</v>
      </c>
      <c r="C10" s="629">
        <v>526204</v>
      </c>
      <c r="D10" s="628">
        <v>753</v>
      </c>
      <c r="E10" s="629">
        <v>1223534</v>
      </c>
      <c r="F10" s="628">
        <v>628</v>
      </c>
      <c r="G10" s="629">
        <v>1121555</v>
      </c>
      <c r="H10" s="628">
        <v>665</v>
      </c>
      <c r="I10" s="629">
        <v>1549904</v>
      </c>
      <c r="J10" s="628">
        <v>680</v>
      </c>
      <c r="K10" s="629">
        <v>1688991.6</v>
      </c>
      <c r="L10" s="628">
        <v>1093</v>
      </c>
      <c r="M10" s="629">
        <v>3869807.88</v>
      </c>
      <c r="N10" s="628">
        <v>1213</v>
      </c>
      <c r="O10" s="629">
        <v>4316103</v>
      </c>
      <c r="P10" s="628">
        <v>1425</v>
      </c>
      <c r="Q10" s="629">
        <v>4650133</v>
      </c>
      <c r="R10" s="630">
        <v>1390</v>
      </c>
      <c r="S10" s="631">
        <v>4546752</v>
      </c>
      <c r="T10" s="632">
        <f t="shared" si="0"/>
        <v>0.20628587855083322</v>
      </c>
      <c r="AI10" s="633"/>
      <c r="AJ10" s="634" t="s">
        <v>133</v>
      </c>
      <c r="AK10" s="635"/>
      <c r="AL10" s="634" t="s">
        <v>134</v>
      </c>
      <c r="AM10" s="635"/>
      <c r="AN10" s="634" t="s">
        <v>135</v>
      </c>
      <c r="AP10" s="321" t="s">
        <v>136</v>
      </c>
      <c r="AQ10" s="321" t="s">
        <v>137</v>
      </c>
    </row>
    <row r="11" spans="1:43" s="321" customFormat="1" x14ac:dyDescent="0.25">
      <c r="A11" s="627" t="s">
        <v>628</v>
      </c>
      <c r="B11" s="628">
        <v>163</v>
      </c>
      <c r="C11" s="629">
        <v>166047</v>
      </c>
      <c r="D11" s="628">
        <v>100</v>
      </c>
      <c r="E11" s="629">
        <v>118491</v>
      </c>
      <c r="F11" s="628">
        <v>170</v>
      </c>
      <c r="G11" s="629">
        <v>182618</v>
      </c>
      <c r="H11" s="628">
        <v>176</v>
      </c>
      <c r="I11" s="629">
        <v>198734</v>
      </c>
      <c r="J11" s="628">
        <v>190</v>
      </c>
      <c r="K11" s="629">
        <v>243065.87</v>
      </c>
      <c r="L11" s="628">
        <v>250</v>
      </c>
      <c r="M11" s="629">
        <v>399145.18</v>
      </c>
      <c r="N11" s="628">
        <v>252</v>
      </c>
      <c r="O11" s="629">
        <v>439805</v>
      </c>
      <c r="P11" s="628">
        <v>293</v>
      </c>
      <c r="Q11" s="629">
        <v>482265</v>
      </c>
      <c r="R11" s="630">
        <v>264</v>
      </c>
      <c r="S11" s="631">
        <v>448038</v>
      </c>
      <c r="T11" s="632">
        <f t="shared" si="0"/>
        <v>2.032745847016908E-2</v>
      </c>
      <c r="AI11" s="321" t="s">
        <v>138</v>
      </c>
      <c r="AJ11" s="636">
        <f>(M13-K13)/K13</f>
        <v>0.56472207586570844</v>
      </c>
      <c r="AK11" s="635"/>
      <c r="AL11" s="636">
        <f>(O13-M13)/M13</f>
        <v>8.8453210683869757E-2</v>
      </c>
      <c r="AM11" s="635"/>
      <c r="AN11" s="636">
        <f>(Q13-O13)/O13</f>
        <v>5.3308443540054484E-2</v>
      </c>
      <c r="AP11" s="636">
        <f>(S13-Q13)/Q13</f>
        <v>-7.5362702209111794E-3</v>
      </c>
      <c r="AQ11" s="637">
        <f>(S13-K13)/K13</f>
        <v>0.7803983550921233</v>
      </c>
    </row>
    <row r="12" spans="1:43" s="321" customFormat="1" x14ac:dyDescent="0.25">
      <c r="A12" s="627" t="s">
        <v>629</v>
      </c>
      <c r="B12" s="628">
        <v>535</v>
      </c>
      <c r="C12" s="629">
        <v>701830</v>
      </c>
      <c r="D12" s="628">
        <v>653</v>
      </c>
      <c r="E12" s="629">
        <v>868394</v>
      </c>
      <c r="F12" s="628">
        <v>661</v>
      </c>
      <c r="G12" s="629">
        <v>886343</v>
      </c>
      <c r="H12" s="628">
        <v>666</v>
      </c>
      <c r="I12" s="629">
        <v>932700</v>
      </c>
      <c r="J12" s="628">
        <v>627</v>
      </c>
      <c r="K12" s="629">
        <v>881474.06</v>
      </c>
      <c r="L12" s="628">
        <v>647</v>
      </c>
      <c r="M12" s="629">
        <v>915768.17</v>
      </c>
      <c r="N12" s="628">
        <v>654</v>
      </c>
      <c r="O12" s="629">
        <v>974537</v>
      </c>
      <c r="P12" s="628">
        <v>659</v>
      </c>
      <c r="Q12" s="629">
        <v>1000227</v>
      </c>
      <c r="R12" s="630">
        <v>714</v>
      </c>
      <c r="S12" s="631">
        <f>561690+541676</f>
        <v>1103366</v>
      </c>
      <c r="T12" s="632">
        <f t="shared" si="0"/>
        <v>5.0059652400904785E-2</v>
      </c>
      <c r="AI12" s="321" t="s">
        <v>139</v>
      </c>
      <c r="AJ12" s="636">
        <f>(M18-K18)/K18</f>
        <v>2.9260692981728446E-2</v>
      </c>
      <c r="AK12" s="635"/>
      <c r="AL12" s="636">
        <f>(O18-M18)/M18</f>
        <v>0.15583742178399074</v>
      </c>
      <c r="AM12" s="635"/>
      <c r="AN12" s="636">
        <f>(Q18-O18)/O18</f>
        <v>3.4063130603622586E-2</v>
      </c>
      <c r="AP12" s="636">
        <f>(S18-Q18)/Q18</f>
        <v>0.13604179028754718</v>
      </c>
      <c r="AQ12" s="637">
        <f>(S18-K18)/K18</f>
        <v>0.397537596391635</v>
      </c>
    </row>
    <row r="13" spans="1:43" s="7" customFormat="1" x14ac:dyDescent="0.25">
      <c r="A13" s="272" t="s">
        <v>631</v>
      </c>
      <c r="B13" s="266">
        <f t="shared" ref="B13:S13" si="1">SUM(B6:B12)</f>
        <v>2052</v>
      </c>
      <c r="C13" s="273">
        <f t="shared" si="1"/>
        <v>2980290</v>
      </c>
      <c r="D13" s="266">
        <f t="shared" si="1"/>
        <v>2502</v>
      </c>
      <c r="E13" s="273">
        <f t="shared" si="1"/>
        <v>3895669</v>
      </c>
      <c r="F13" s="266">
        <f t="shared" si="1"/>
        <v>2363</v>
      </c>
      <c r="G13" s="273">
        <f t="shared" si="1"/>
        <v>3789360</v>
      </c>
      <c r="H13" s="266">
        <f t="shared" si="1"/>
        <v>2385</v>
      </c>
      <c r="I13" s="273">
        <f t="shared" si="1"/>
        <v>4454810</v>
      </c>
      <c r="J13" s="266">
        <f t="shared" si="1"/>
        <v>2518</v>
      </c>
      <c r="K13" s="273">
        <f t="shared" si="1"/>
        <v>5007008.67</v>
      </c>
      <c r="L13" s="266">
        <f t="shared" si="1"/>
        <v>3079</v>
      </c>
      <c r="M13" s="273">
        <f t="shared" si="1"/>
        <v>7834577</v>
      </c>
      <c r="N13" s="266">
        <f t="shared" si="1"/>
        <v>3263</v>
      </c>
      <c r="O13" s="273">
        <f t="shared" si="1"/>
        <v>8527570.4900000002</v>
      </c>
      <c r="P13" s="266">
        <f t="shared" si="1"/>
        <v>3581</v>
      </c>
      <c r="Q13" s="273">
        <f t="shared" si="1"/>
        <v>8982162</v>
      </c>
      <c r="R13" s="601">
        <f t="shared" si="1"/>
        <v>3540</v>
      </c>
      <c r="S13" s="638">
        <f t="shared" si="1"/>
        <v>8914470</v>
      </c>
      <c r="T13" s="626">
        <f t="shared" si="0"/>
        <v>0.40444899474724949</v>
      </c>
      <c r="AI13" s="1" t="s">
        <v>140</v>
      </c>
      <c r="AJ13" s="91">
        <f>(M22-K22)/K22</f>
        <v>0.1035969344802861</v>
      </c>
      <c r="AK13" s="639"/>
      <c r="AL13" s="91">
        <f>(O22-M22)/M22</f>
        <v>6.7969236951040735E-2</v>
      </c>
      <c r="AM13" s="639"/>
      <c r="AN13" s="91">
        <f>(Q22-O22)/O22</f>
        <v>0.36780957914860218</v>
      </c>
      <c r="AO13" s="1"/>
      <c r="AP13" s="91">
        <f>(S22-Q22)/Q22</f>
        <v>-0.32923426087609609</v>
      </c>
      <c r="AQ13" s="640">
        <f>(S22-K22)/K22</f>
        <v>8.1348647058489681E-2</v>
      </c>
    </row>
    <row r="14" spans="1:43" ht="20.100000000000001" customHeight="1" x14ac:dyDescent="0.25">
      <c r="A14" s="623" t="s">
        <v>632</v>
      </c>
      <c r="B14" s="332"/>
      <c r="C14" s="333"/>
      <c r="D14" s="332"/>
      <c r="E14" s="333"/>
      <c r="F14" s="332"/>
      <c r="G14" s="333"/>
      <c r="H14" s="332"/>
      <c r="I14" s="333"/>
      <c r="J14" s="332"/>
      <c r="K14" s="333"/>
      <c r="L14" s="332"/>
      <c r="M14" s="333"/>
      <c r="N14" s="332"/>
      <c r="O14" s="333"/>
      <c r="P14" s="332"/>
      <c r="Q14" s="333"/>
      <c r="R14" s="624"/>
      <c r="S14" s="332"/>
      <c r="T14" s="625"/>
      <c r="AI14" s="1" t="s">
        <v>141</v>
      </c>
      <c r="AJ14" s="91">
        <f>(M23-K23)/K23</f>
        <v>3.9072323637984789</v>
      </c>
      <c r="AK14" s="639"/>
      <c r="AL14" s="91">
        <f>(O23-M23)/M23</f>
        <v>0.34425429272650848</v>
      </c>
      <c r="AM14" s="639"/>
      <c r="AN14" s="91">
        <f>(Q23-O23)/O23</f>
        <v>0.10534456207676461</v>
      </c>
      <c r="AP14" s="91">
        <f>(S23-Q23)/Q23</f>
        <v>-0.46665470186346741</v>
      </c>
      <c r="AQ14" s="640">
        <f>(S23-K23)/K23</f>
        <v>2.8888769774348595</v>
      </c>
    </row>
    <row r="15" spans="1:43" x14ac:dyDescent="0.25">
      <c r="A15" s="172" t="s">
        <v>633</v>
      </c>
      <c r="B15" s="110">
        <v>70</v>
      </c>
      <c r="C15" s="271">
        <v>195536</v>
      </c>
      <c r="D15" s="110">
        <v>56</v>
      </c>
      <c r="E15" s="271">
        <v>152800</v>
      </c>
      <c r="F15" s="110">
        <v>59</v>
      </c>
      <c r="G15" s="271">
        <v>208395</v>
      </c>
      <c r="H15" s="110">
        <v>53</v>
      </c>
      <c r="I15" s="271">
        <v>189267</v>
      </c>
      <c r="J15" s="110">
        <v>160</v>
      </c>
      <c r="K15" s="271">
        <v>265791</v>
      </c>
      <c r="L15" s="110">
        <v>131</v>
      </c>
      <c r="M15" s="271">
        <v>232251</v>
      </c>
      <c r="N15" s="110">
        <v>181</v>
      </c>
      <c r="O15" s="271">
        <v>308772</v>
      </c>
      <c r="P15" s="110">
        <v>285</v>
      </c>
      <c r="Q15" s="271">
        <v>450516</v>
      </c>
      <c r="R15" s="430">
        <v>192</v>
      </c>
      <c r="S15" s="267">
        <v>347107</v>
      </c>
      <c r="T15" s="626">
        <f>S15/$S$24</f>
        <v>1.5748224764874807E-2</v>
      </c>
      <c r="AI15" s="1" t="s">
        <v>142</v>
      </c>
      <c r="AJ15" s="91">
        <f>(M24-K24)/K24</f>
        <v>0.2565230208124496</v>
      </c>
      <c r="AK15" s="639"/>
      <c r="AL15" s="91">
        <f>(O24-M24)/M24</f>
        <v>0.13052497299719831</v>
      </c>
      <c r="AM15" s="639"/>
      <c r="AN15" s="91">
        <f>(Q24-O24)/O24</f>
        <v>5.5541708613405398E-2</v>
      </c>
      <c r="AP15" s="91">
        <f>(S24-Q24)/Q24</f>
        <v>2.9520406374490455E-2</v>
      </c>
      <c r="AQ15" s="640">
        <f>(S24-K24)/K24</f>
        <v>0.5436931177002563</v>
      </c>
    </row>
    <row r="16" spans="1:43" x14ac:dyDescent="0.25">
      <c r="A16" s="172" t="s">
        <v>634</v>
      </c>
      <c r="B16" s="110">
        <v>1994</v>
      </c>
      <c r="C16" s="271">
        <v>6239546</v>
      </c>
      <c r="D16" s="110">
        <v>1302</v>
      </c>
      <c r="E16" s="271">
        <v>5493593</v>
      </c>
      <c r="F16" s="110">
        <v>1761</v>
      </c>
      <c r="G16" s="271">
        <v>5733750</v>
      </c>
      <c r="H16" s="110">
        <v>1746</v>
      </c>
      <c r="I16" s="271">
        <v>5826810</v>
      </c>
      <c r="J16" s="110">
        <v>1919</v>
      </c>
      <c r="K16" s="271">
        <v>6333821</v>
      </c>
      <c r="L16" s="110">
        <v>2097</v>
      </c>
      <c r="M16" s="271">
        <v>6925543.8499999996</v>
      </c>
      <c r="N16" s="110">
        <v>2304</v>
      </c>
      <c r="O16" s="271">
        <v>7720474</v>
      </c>
      <c r="P16" s="110">
        <v>2269</v>
      </c>
      <c r="Q16" s="271">
        <v>7754756</v>
      </c>
      <c r="R16" s="630">
        <f>1261+996</f>
        <v>2257</v>
      </c>
      <c r="S16" s="267">
        <v>7961365</v>
      </c>
      <c r="T16" s="626">
        <f>S16/$S$24</f>
        <v>0.36120667533414058</v>
      </c>
      <c r="U16" s="641"/>
      <c r="AI16" s="1" t="s">
        <v>143</v>
      </c>
      <c r="AJ16" s="91">
        <v>0.13294797687861271</v>
      </c>
      <c r="AK16" s="91"/>
      <c r="AL16" s="91">
        <v>0.14795918367346939</v>
      </c>
      <c r="AM16" s="91"/>
      <c r="AN16" s="91">
        <v>8.4444444444444447E-2</v>
      </c>
      <c r="AO16" s="91"/>
      <c r="AP16" s="91">
        <v>0.125</v>
      </c>
      <c r="AQ16" s="640">
        <v>0.58670520231213874</v>
      </c>
    </row>
    <row r="17" spans="1:43" x14ac:dyDescent="0.25">
      <c r="A17" s="172" t="s">
        <v>635</v>
      </c>
      <c r="B17" s="110">
        <v>220</v>
      </c>
      <c r="C17" s="271">
        <v>887264</v>
      </c>
      <c r="D17" s="110">
        <v>204</v>
      </c>
      <c r="E17" s="271">
        <v>846105</v>
      </c>
      <c r="F17" s="110">
        <v>191</v>
      </c>
      <c r="G17" s="271">
        <v>829384</v>
      </c>
      <c r="H17" s="110">
        <v>222</v>
      </c>
      <c r="I17" s="271">
        <v>979948</v>
      </c>
      <c r="J17" s="110">
        <v>396</v>
      </c>
      <c r="K17" s="271">
        <v>2007645.53</v>
      </c>
      <c r="L17" s="110">
        <v>334</v>
      </c>
      <c r="M17" s="271">
        <v>1701317</v>
      </c>
      <c r="N17" s="110">
        <v>404</v>
      </c>
      <c r="O17" s="271">
        <v>2210447</v>
      </c>
      <c r="P17" s="110">
        <v>409</v>
      </c>
      <c r="Q17" s="271">
        <v>2383217</v>
      </c>
      <c r="R17" s="630">
        <f>311+196+41</f>
        <v>548</v>
      </c>
      <c r="S17" s="267">
        <f>2219712+1218657+168853+113272</f>
        <v>3720494</v>
      </c>
      <c r="T17" s="626">
        <f>S17/$S$24</f>
        <v>0.16879860028281807</v>
      </c>
      <c r="AI17" s="1" t="s">
        <v>144</v>
      </c>
      <c r="AJ17" s="91">
        <v>0.13239436619718309</v>
      </c>
      <c r="AK17" s="91"/>
      <c r="AL17" s="91">
        <v>0.14531509121061359</v>
      </c>
      <c r="AM17" s="91"/>
      <c r="AN17" s="91">
        <v>8.8144796380090498E-2</v>
      </c>
      <c r="AO17" s="91"/>
      <c r="AP17" s="91">
        <v>0.12508316699933467</v>
      </c>
      <c r="AQ17" s="640">
        <v>0.58779342723004691</v>
      </c>
    </row>
    <row r="18" spans="1:43" s="7" customFormat="1" x14ac:dyDescent="0.25">
      <c r="A18" s="272" t="s">
        <v>636</v>
      </c>
      <c r="B18" s="266">
        <v>1994</v>
      </c>
      <c r="C18" s="273">
        <f t="shared" ref="C18:S18" si="2">SUM(C15:C17)</f>
        <v>7322346</v>
      </c>
      <c r="D18" s="266">
        <f t="shared" si="2"/>
        <v>1562</v>
      </c>
      <c r="E18" s="273">
        <f t="shared" si="2"/>
        <v>6492498</v>
      </c>
      <c r="F18" s="266">
        <f t="shared" si="2"/>
        <v>2011</v>
      </c>
      <c r="G18" s="273">
        <f t="shared" si="2"/>
        <v>6771529</v>
      </c>
      <c r="H18" s="266">
        <f t="shared" si="2"/>
        <v>2021</v>
      </c>
      <c r="I18" s="273">
        <f t="shared" si="2"/>
        <v>6996025</v>
      </c>
      <c r="J18" s="266">
        <f t="shared" si="2"/>
        <v>2475</v>
      </c>
      <c r="K18" s="273">
        <f t="shared" si="2"/>
        <v>8607257.5299999993</v>
      </c>
      <c r="L18" s="266">
        <f t="shared" si="2"/>
        <v>2562</v>
      </c>
      <c r="M18" s="273">
        <f t="shared" si="2"/>
        <v>8859111.8499999996</v>
      </c>
      <c r="N18" s="266">
        <f t="shared" si="2"/>
        <v>2889</v>
      </c>
      <c r="O18" s="273">
        <f t="shared" si="2"/>
        <v>10239693</v>
      </c>
      <c r="P18" s="266">
        <f t="shared" si="2"/>
        <v>2963</v>
      </c>
      <c r="Q18" s="273">
        <f t="shared" si="2"/>
        <v>10588489</v>
      </c>
      <c r="R18" s="601">
        <f t="shared" si="2"/>
        <v>2997</v>
      </c>
      <c r="S18" s="638">
        <f t="shared" si="2"/>
        <v>12028966</v>
      </c>
      <c r="T18" s="626">
        <f>S18/$S$24</f>
        <v>0.54575350038183346</v>
      </c>
    </row>
    <row r="19" spans="1:43" ht="20.100000000000001" customHeight="1" x14ac:dyDescent="0.25">
      <c r="A19" s="623" t="s">
        <v>637</v>
      </c>
      <c r="B19" s="332"/>
      <c r="C19" s="333"/>
      <c r="D19" s="332"/>
      <c r="E19" s="333"/>
      <c r="F19" s="332"/>
      <c r="G19" s="333"/>
      <c r="H19" s="332"/>
      <c r="I19" s="333"/>
      <c r="J19" s="332"/>
      <c r="K19" s="333"/>
      <c r="L19" s="332"/>
      <c r="M19" s="333"/>
      <c r="N19" s="332"/>
      <c r="O19" s="333"/>
      <c r="P19" s="332"/>
      <c r="Q19" s="333"/>
      <c r="R19" s="624"/>
      <c r="S19" s="332"/>
      <c r="T19" s="625"/>
    </row>
    <row r="20" spans="1:43" x14ac:dyDescent="0.25">
      <c r="A20" s="172" t="s">
        <v>638</v>
      </c>
      <c r="B20" s="110">
        <v>170</v>
      </c>
      <c r="C20" s="271">
        <v>160562</v>
      </c>
      <c r="D20" s="110">
        <v>162</v>
      </c>
      <c r="E20" s="271">
        <v>150176</v>
      </c>
      <c r="F20" s="110">
        <v>149</v>
      </c>
      <c r="G20" s="271">
        <v>132033</v>
      </c>
      <c r="H20" s="110">
        <v>176</v>
      </c>
      <c r="I20" s="271">
        <v>143021</v>
      </c>
      <c r="J20" s="110">
        <v>181</v>
      </c>
      <c r="K20" s="271">
        <v>165086.49</v>
      </c>
      <c r="L20" s="110">
        <v>170</v>
      </c>
      <c r="M20" s="271">
        <v>166379.73000000001</v>
      </c>
      <c r="N20" s="110">
        <v>191</v>
      </c>
      <c r="O20" s="271">
        <v>193332</v>
      </c>
      <c r="P20" s="110">
        <v>178</v>
      </c>
      <c r="Q20" s="271">
        <v>277621</v>
      </c>
      <c r="R20" s="430">
        <v>147</v>
      </c>
      <c r="S20" s="267">
        <v>151564</v>
      </c>
      <c r="T20" s="626">
        <f>S20/$S$24</f>
        <v>6.8764500233745949E-3</v>
      </c>
    </row>
    <row r="21" spans="1:43" x14ac:dyDescent="0.25">
      <c r="A21" s="172" t="s">
        <v>639</v>
      </c>
      <c r="B21" s="110">
        <v>435</v>
      </c>
      <c r="C21" s="271">
        <v>401416</v>
      </c>
      <c r="D21" s="110">
        <v>340</v>
      </c>
      <c r="E21" s="271">
        <v>407411</v>
      </c>
      <c r="F21" s="110">
        <v>330</v>
      </c>
      <c r="G21" s="271">
        <v>395699</v>
      </c>
      <c r="H21" s="110">
        <v>305</v>
      </c>
      <c r="I21" s="271">
        <v>367641</v>
      </c>
      <c r="J21" s="110">
        <v>344</v>
      </c>
      <c r="K21" s="271">
        <v>363502.51</v>
      </c>
      <c r="L21" s="110">
        <v>356</v>
      </c>
      <c r="M21" s="271">
        <v>416969.47</v>
      </c>
      <c r="N21" s="110">
        <v>343</v>
      </c>
      <c r="O21" s="271">
        <v>429667</v>
      </c>
      <c r="P21" s="110">
        <v>295</v>
      </c>
      <c r="Q21" s="271">
        <v>574523</v>
      </c>
      <c r="R21" s="430">
        <v>233</v>
      </c>
      <c r="S21" s="267">
        <v>420025</v>
      </c>
      <c r="T21" s="626">
        <f>S21/$S$24</f>
        <v>1.9056510260140363E-2</v>
      </c>
    </row>
    <row r="22" spans="1:43" s="7" customFormat="1" x14ac:dyDescent="0.25">
      <c r="A22" s="272" t="s">
        <v>728</v>
      </c>
      <c r="B22" s="266">
        <f t="shared" ref="B22:S22" si="3">SUM(B20:B21)</f>
        <v>605</v>
      </c>
      <c r="C22" s="273">
        <f t="shared" si="3"/>
        <v>561978</v>
      </c>
      <c r="D22" s="266">
        <f t="shared" si="3"/>
        <v>502</v>
      </c>
      <c r="E22" s="273">
        <f t="shared" si="3"/>
        <v>557587</v>
      </c>
      <c r="F22" s="266">
        <f t="shared" si="3"/>
        <v>479</v>
      </c>
      <c r="G22" s="273">
        <f t="shared" si="3"/>
        <v>527732</v>
      </c>
      <c r="H22" s="266">
        <f t="shared" si="3"/>
        <v>481</v>
      </c>
      <c r="I22" s="273">
        <f t="shared" si="3"/>
        <v>510662</v>
      </c>
      <c r="J22" s="266">
        <f t="shared" si="3"/>
        <v>525</v>
      </c>
      <c r="K22" s="273">
        <f t="shared" si="3"/>
        <v>528589</v>
      </c>
      <c r="L22" s="266">
        <f t="shared" si="3"/>
        <v>526</v>
      </c>
      <c r="M22" s="273">
        <f t="shared" si="3"/>
        <v>583349.19999999995</v>
      </c>
      <c r="N22" s="266">
        <f t="shared" si="3"/>
        <v>534</v>
      </c>
      <c r="O22" s="273">
        <f t="shared" si="3"/>
        <v>622999</v>
      </c>
      <c r="P22" s="266">
        <f t="shared" si="3"/>
        <v>473</v>
      </c>
      <c r="Q22" s="273">
        <f t="shared" si="3"/>
        <v>852144</v>
      </c>
      <c r="R22" s="601">
        <f t="shared" si="3"/>
        <v>380</v>
      </c>
      <c r="S22" s="638">
        <f t="shared" si="3"/>
        <v>571589</v>
      </c>
      <c r="T22" s="626">
        <f>S22/$S$24</f>
        <v>2.5932960283514959E-2</v>
      </c>
    </row>
    <row r="23" spans="1:43" s="435" customFormat="1" ht="20.100000000000001" customHeight="1" x14ac:dyDescent="0.25">
      <c r="A23" s="642" t="s">
        <v>640</v>
      </c>
      <c r="B23" s="643">
        <v>183</v>
      </c>
      <c r="C23" s="644">
        <v>514099</v>
      </c>
      <c r="D23" s="643">
        <v>100</v>
      </c>
      <c r="E23" s="644">
        <v>391640</v>
      </c>
      <c r="F23" s="643">
        <v>69</v>
      </c>
      <c r="G23" s="644">
        <v>269623</v>
      </c>
      <c r="H23" s="643">
        <v>41</v>
      </c>
      <c r="I23" s="644">
        <v>156873</v>
      </c>
      <c r="J23" s="643">
        <v>53</v>
      </c>
      <c r="K23" s="644">
        <v>135257.29999999999</v>
      </c>
      <c r="L23" s="643">
        <v>176</v>
      </c>
      <c r="M23" s="644">
        <v>663739</v>
      </c>
      <c r="N23" s="643">
        <v>219</v>
      </c>
      <c r="O23" s="644">
        <v>892234</v>
      </c>
      <c r="P23" s="643">
        <v>232</v>
      </c>
      <c r="Q23" s="644">
        <v>986226</v>
      </c>
      <c r="R23" s="645">
        <v>203</v>
      </c>
      <c r="S23" s="646">
        <v>525999</v>
      </c>
      <c r="T23" s="632">
        <f>S23/$S$24</f>
        <v>2.3864544587402111E-2</v>
      </c>
    </row>
    <row r="24" spans="1:43" s="7" customFormat="1" ht="30" customHeight="1" thickBot="1" x14ac:dyDescent="0.3">
      <c r="A24" s="453" t="s">
        <v>641</v>
      </c>
      <c r="B24" s="454">
        <v>2151</v>
      </c>
      <c r="C24" s="455">
        <f>C13+C18+C22+C23</f>
        <v>11378713</v>
      </c>
      <c r="D24" s="454">
        <v>2095</v>
      </c>
      <c r="E24" s="455">
        <f>E13+E18+E22+E23</f>
        <v>11337394</v>
      </c>
      <c r="F24" s="454">
        <v>1966</v>
      </c>
      <c r="G24" s="455">
        <f>G13+G18+G22+G23</f>
        <v>11358244</v>
      </c>
      <c r="H24" s="454">
        <v>1966</v>
      </c>
      <c r="I24" s="455">
        <f>I13+I18+I22+I23</f>
        <v>12118370</v>
      </c>
      <c r="J24" s="454">
        <v>2065</v>
      </c>
      <c r="K24" s="455">
        <f>K13+K18+K22+K23</f>
        <v>14278112.5</v>
      </c>
      <c r="L24" s="456">
        <v>2066</v>
      </c>
      <c r="M24" s="455">
        <f>SUM(M23+M22+M18+M13)</f>
        <v>17940777.049999997</v>
      </c>
      <c r="N24" s="454">
        <v>2140</v>
      </c>
      <c r="O24" s="455">
        <f>SUM(O23+O22+O18+O13)</f>
        <v>20282496.490000002</v>
      </c>
      <c r="P24" s="454">
        <v>2140</v>
      </c>
      <c r="Q24" s="455">
        <f>SUM(Q23+Q22+Q18+Q13)</f>
        <v>21409021</v>
      </c>
      <c r="R24" s="647">
        <v>2382</v>
      </c>
      <c r="S24" s="648">
        <f>SUM(S23+S22+S18+S13)</f>
        <v>22041024</v>
      </c>
      <c r="T24" s="649">
        <f>S24/$S$24</f>
        <v>1</v>
      </c>
    </row>
    <row r="26" spans="1:43" x14ac:dyDescent="0.25">
      <c r="A26" s="173" t="s">
        <v>642</v>
      </c>
      <c r="I26" s="274"/>
      <c r="K26" s="274"/>
    </row>
    <row r="27" spans="1:43" x14ac:dyDescent="0.25">
      <c r="A27" s="173" t="s">
        <v>643</v>
      </c>
      <c r="J27" s="313"/>
    </row>
    <row r="28" spans="1:43" x14ac:dyDescent="0.25">
      <c r="A28" s="173" t="s">
        <v>644</v>
      </c>
    </row>
  </sheetData>
  <mergeCells count="10">
    <mergeCell ref="R3:T3"/>
    <mergeCell ref="A1:T1"/>
    <mergeCell ref="B3:C3"/>
    <mergeCell ref="D3:E3"/>
    <mergeCell ref="F3:G3"/>
    <mergeCell ref="H3:I3"/>
    <mergeCell ref="P3:Q3"/>
    <mergeCell ref="N3:O3"/>
    <mergeCell ref="L3:M3"/>
    <mergeCell ref="J3:K3"/>
  </mergeCells>
  <phoneticPr fontId="16" type="noConversion"/>
  <printOptions horizontalCentered="1" verticalCentered="1"/>
  <pageMargins left="0.75" right="0.75" top="1" bottom="1" header="0.5" footer="0.5"/>
  <pageSetup scale="84" orientation="landscape" horizontalDpi="4294967295" verticalDpi="300" r:id="rId1"/>
  <headerFooter alignWithMargins="0">
    <oddFooter>&amp;R&amp;8Source: Office of Financial Aid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B1:K56"/>
  <sheetViews>
    <sheetView workbookViewId="0"/>
  </sheetViews>
  <sheetFormatPr defaultColWidth="6.6640625" defaultRowHeight="13.2" x14ac:dyDescent="0.25"/>
  <cols>
    <col min="1" max="1" width="1.88671875" style="22" customWidth="1"/>
    <col min="2" max="2" width="24.6640625" style="22" customWidth="1"/>
    <col min="3" max="3" width="12.6640625" style="22" customWidth="1"/>
    <col min="4" max="4" width="16.109375" style="23" customWidth="1"/>
    <col min="5" max="5" width="12.6640625" style="22" customWidth="1"/>
    <col min="6" max="6" width="16.109375" style="23" customWidth="1"/>
    <col min="7" max="7" width="10.109375" style="22" customWidth="1"/>
    <col min="8" max="16384" width="6.6640625" style="22"/>
  </cols>
  <sheetData>
    <row r="1" spans="2:11" s="24" customFormat="1" ht="17.399999999999999" x14ac:dyDescent="0.3">
      <c r="B1" s="2111" t="s">
        <v>826</v>
      </c>
      <c r="C1" s="2111"/>
      <c r="D1" s="2111"/>
      <c r="E1" s="2111"/>
      <c r="F1" s="2111"/>
      <c r="G1" s="2111"/>
    </row>
    <row r="2" spans="2:11" s="24" customFormat="1" ht="18" thickBot="1" x14ac:dyDescent="0.35">
      <c r="B2" s="25"/>
      <c r="C2" s="25"/>
      <c r="D2" s="26"/>
      <c r="E2" s="25"/>
      <c r="F2" s="26"/>
      <c r="G2" s="25"/>
    </row>
    <row r="3" spans="2:11" x14ac:dyDescent="0.25">
      <c r="B3" s="27" t="s">
        <v>827</v>
      </c>
      <c r="C3" s="28" t="s">
        <v>828</v>
      </c>
      <c r="D3" s="29"/>
      <c r="E3" s="28" t="s">
        <v>830</v>
      </c>
      <c r="F3" s="30"/>
      <c r="G3" s="31" t="s">
        <v>831</v>
      </c>
      <c r="H3" s="32"/>
      <c r="I3" s="32"/>
      <c r="J3" s="32"/>
      <c r="K3" s="32"/>
    </row>
    <row r="4" spans="2:11" ht="13.8" thickBot="1" x14ac:dyDescent="0.3">
      <c r="B4" s="33" t="s">
        <v>832</v>
      </c>
      <c r="C4" s="34" t="s">
        <v>833</v>
      </c>
      <c r="D4" s="35" t="s">
        <v>834</v>
      </c>
      <c r="E4" s="34" t="s">
        <v>833</v>
      </c>
      <c r="F4" s="36" t="s">
        <v>834</v>
      </c>
      <c r="G4" s="37" t="s">
        <v>835</v>
      </c>
      <c r="H4" s="32"/>
      <c r="I4" s="32"/>
      <c r="J4" s="32"/>
      <c r="K4" s="32"/>
    </row>
    <row r="5" spans="2:11" hidden="1" x14ac:dyDescent="0.25">
      <c r="B5" s="359"/>
      <c r="C5" s="360"/>
      <c r="D5" s="361"/>
      <c r="E5" s="360"/>
      <c r="F5" s="362"/>
      <c r="G5" s="363"/>
      <c r="H5" s="32"/>
      <c r="I5" s="32"/>
      <c r="J5" s="32"/>
      <c r="K5" s="32"/>
    </row>
    <row r="6" spans="2:11" hidden="1" x14ac:dyDescent="0.25">
      <c r="B6" s="38">
        <v>2001</v>
      </c>
      <c r="C6" s="39">
        <v>526</v>
      </c>
      <c r="D6" s="40">
        <f>C6/G6</f>
        <v>0.36200963523743979</v>
      </c>
      <c r="E6" s="39">
        <v>927</v>
      </c>
      <c r="F6" s="41">
        <f>E6/G6</f>
        <v>0.63799036476256021</v>
      </c>
      <c r="G6" s="43">
        <f>SUM(C6,E6)</f>
        <v>1453</v>
      </c>
      <c r="H6" s="32"/>
      <c r="I6" s="32"/>
      <c r="J6" s="32"/>
      <c r="K6" s="32"/>
    </row>
    <row r="7" spans="2:11" hidden="1" x14ac:dyDescent="0.25">
      <c r="B7" s="390"/>
      <c r="C7" s="734"/>
      <c r="D7" s="361"/>
      <c r="E7" s="360"/>
      <c r="F7" s="735"/>
      <c r="G7" s="736"/>
      <c r="H7" s="32"/>
      <c r="I7" s="32"/>
      <c r="J7" s="32"/>
      <c r="K7" s="32"/>
    </row>
    <row r="8" spans="2:11" hidden="1" x14ac:dyDescent="0.25">
      <c r="B8" s="38">
        <v>2009</v>
      </c>
      <c r="C8" s="287">
        <v>761</v>
      </c>
      <c r="D8" s="288">
        <f>C8/G8</f>
        <v>0.2867370007535795</v>
      </c>
      <c r="E8" s="741">
        <v>1893</v>
      </c>
      <c r="F8" s="737">
        <f>E8/G8</f>
        <v>0.71326299924642045</v>
      </c>
      <c r="G8" s="738">
        <f>SUM(C8,E8)</f>
        <v>2654</v>
      </c>
      <c r="H8" s="32"/>
      <c r="I8" s="32"/>
      <c r="J8" s="32"/>
      <c r="K8" s="32"/>
    </row>
    <row r="9" spans="2:11" hidden="1" x14ac:dyDescent="0.25">
      <c r="B9" s="390"/>
      <c r="C9" s="734"/>
      <c r="D9" s="739"/>
      <c r="E9" s="740"/>
      <c r="F9" s="735"/>
      <c r="G9" s="736"/>
      <c r="H9" s="32"/>
      <c r="I9" s="32"/>
      <c r="J9" s="32"/>
      <c r="K9" s="32"/>
    </row>
    <row r="10" spans="2:11" hidden="1" x14ac:dyDescent="0.25">
      <c r="B10" s="38">
        <v>2010</v>
      </c>
      <c r="C10" s="287">
        <v>849</v>
      </c>
      <c r="D10" s="288">
        <f>C10/G10</f>
        <v>0.29265770423991727</v>
      </c>
      <c r="E10" s="741">
        <v>2052</v>
      </c>
      <c r="F10" s="737">
        <f>E10/G10</f>
        <v>0.70734229576008278</v>
      </c>
      <c r="G10" s="738">
        <f>SUM(C10,E10)</f>
        <v>2901</v>
      </c>
      <c r="H10" s="32"/>
      <c r="I10" s="32"/>
      <c r="J10" s="32"/>
      <c r="K10" s="32"/>
    </row>
    <row r="11" spans="2:11" x14ac:dyDescent="0.25">
      <c r="B11" s="390"/>
      <c r="C11" s="734"/>
      <c r="D11" s="739"/>
      <c r="E11" s="740"/>
      <c r="F11" s="735"/>
      <c r="G11" s="736"/>
      <c r="H11" s="32"/>
      <c r="I11" s="32"/>
      <c r="J11" s="32"/>
      <c r="K11" s="32"/>
    </row>
    <row r="12" spans="2:11" x14ac:dyDescent="0.25">
      <c r="B12" s="38">
        <v>2011</v>
      </c>
      <c r="C12" s="287">
        <v>870</v>
      </c>
      <c r="D12" s="40">
        <f>C12/G12</f>
        <v>0.27281279397930386</v>
      </c>
      <c r="E12" s="39">
        <v>2319</v>
      </c>
      <c r="F12" s="737">
        <f>E12/G12</f>
        <v>0.7271872060206962</v>
      </c>
      <c r="G12" s="738">
        <f>SUM(C12,E12)</f>
        <v>3189</v>
      </c>
      <c r="H12" s="32"/>
      <c r="I12" s="32"/>
      <c r="J12" s="32"/>
      <c r="K12" s="32"/>
    </row>
    <row r="13" spans="2:11" x14ac:dyDescent="0.25">
      <c r="B13" s="390"/>
      <c r="C13" s="734"/>
      <c r="D13" s="739"/>
      <c r="E13" s="740"/>
      <c r="F13" s="735"/>
      <c r="G13" s="736"/>
      <c r="H13" s="32"/>
      <c r="I13" s="32"/>
      <c r="J13" s="32"/>
      <c r="K13" s="32"/>
    </row>
    <row r="14" spans="2:11" x14ac:dyDescent="0.25">
      <c r="B14" s="38">
        <v>2012</v>
      </c>
      <c r="C14" s="287">
        <v>883</v>
      </c>
      <c r="D14" s="40">
        <f>C14/G14</f>
        <v>0.26366079426694533</v>
      </c>
      <c r="E14" s="39">
        <v>2466</v>
      </c>
      <c r="F14" s="737">
        <f>E14/G14</f>
        <v>0.73633920573305467</v>
      </c>
      <c r="G14" s="738">
        <f>SUM(C14,E14)</f>
        <v>3349</v>
      </c>
      <c r="H14" s="32"/>
      <c r="I14" s="32"/>
      <c r="J14" s="32"/>
      <c r="K14" s="32"/>
    </row>
    <row r="15" spans="2:11" x14ac:dyDescent="0.25">
      <c r="B15" s="390"/>
      <c r="C15" s="734"/>
      <c r="D15" s="739"/>
      <c r="E15" s="740"/>
      <c r="F15" s="735"/>
      <c r="G15" s="736"/>
      <c r="H15" s="32"/>
      <c r="I15" s="32"/>
      <c r="J15" s="32"/>
      <c r="K15" s="32"/>
    </row>
    <row r="16" spans="2:11" x14ac:dyDescent="0.25">
      <c r="B16" s="38">
        <v>2013</v>
      </c>
      <c r="C16" s="287">
        <v>822</v>
      </c>
      <c r="D16" s="40">
        <f>C16/G16</f>
        <v>0.26679649464459593</v>
      </c>
      <c r="E16" s="39">
        <v>2259</v>
      </c>
      <c r="F16" s="737">
        <f>E16/G16</f>
        <v>0.73320350535540413</v>
      </c>
      <c r="G16" s="738">
        <f>SUM(C16,E16)</f>
        <v>3081</v>
      </c>
      <c r="H16" s="32"/>
      <c r="I16" s="32"/>
      <c r="J16" s="32"/>
      <c r="K16" s="32"/>
    </row>
    <row r="17" spans="2:11" x14ac:dyDescent="0.25">
      <c r="B17" s="390"/>
      <c r="C17" s="734"/>
      <c r="D17" s="739"/>
      <c r="E17" s="740"/>
      <c r="F17" s="735"/>
      <c r="G17" s="736"/>
      <c r="H17" s="32"/>
      <c r="I17" s="32"/>
      <c r="J17" s="32"/>
      <c r="K17" s="32"/>
    </row>
    <row r="18" spans="2:11" x14ac:dyDescent="0.25">
      <c r="B18" s="1410">
        <v>2014</v>
      </c>
      <c r="C18" s="1411">
        <v>805</v>
      </c>
      <c r="D18" s="40">
        <f>C18/G18</f>
        <v>0.27168410394870063</v>
      </c>
      <c r="E18" s="1412">
        <v>2158</v>
      </c>
      <c r="F18" s="737">
        <f>E18/G18</f>
        <v>0.72831589605129932</v>
      </c>
      <c r="G18" s="1413">
        <f>SUM(C18,E18)</f>
        <v>2963</v>
      </c>
      <c r="H18" s="32"/>
      <c r="I18" s="32"/>
      <c r="J18" s="32"/>
      <c r="K18" s="32"/>
    </row>
    <row r="19" spans="2:11" x14ac:dyDescent="0.25">
      <c r="B19" s="390"/>
      <c r="C19" s="734"/>
      <c r="D19" s="739"/>
      <c r="E19" s="740"/>
      <c r="F19" s="735"/>
      <c r="G19" s="736"/>
      <c r="H19" s="32"/>
      <c r="I19" s="32"/>
      <c r="J19" s="32"/>
      <c r="K19" s="32"/>
    </row>
    <row r="20" spans="2:11" ht="13.8" thickBot="1" x14ac:dyDescent="0.3">
      <c r="B20" s="1410">
        <v>2015</v>
      </c>
      <c r="C20" s="1411">
        <v>656</v>
      </c>
      <c r="D20" s="40">
        <f>C20/G20</f>
        <v>0.25095638867635806</v>
      </c>
      <c r="E20" s="1412">
        <v>1958</v>
      </c>
      <c r="F20" s="737">
        <f>E20/G20</f>
        <v>0.74904361132364194</v>
      </c>
      <c r="G20" s="1413">
        <f>SUM(C20,E20)</f>
        <v>2614</v>
      </c>
      <c r="H20" s="32"/>
      <c r="I20" s="32"/>
      <c r="J20" s="32"/>
      <c r="K20" s="32"/>
    </row>
    <row r="21" spans="2:11" x14ac:dyDescent="0.25">
      <c r="B21" s="1414" t="s">
        <v>827</v>
      </c>
      <c r="C21" s="2112" t="s">
        <v>828</v>
      </c>
      <c r="D21" s="2113"/>
      <c r="E21" s="2114" t="s">
        <v>830</v>
      </c>
      <c r="F21" s="2115"/>
      <c r="G21" s="1415"/>
      <c r="H21" s="32"/>
      <c r="I21" s="32"/>
      <c r="J21" s="32"/>
      <c r="K21" s="32"/>
    </row>
    <row r="22" spans="2:11" ht="13.8" thickBot="1" x14ac:dyDescent="0.3">
      <c r="B22" s="1078" t="s">
        <v>836</v>
      </c>
      <c r="C22" s="44" t="s">
        <v>833</v>
      </c>
      <c r="D22" s="45" t="s">
        <v>834</v>
      </c>
      <c r="E22" s="44" t="s">
        <v>833</v>
      </c>
      <c r="F22" s="742" t="s">
        <v>834</v>
      </c>
      <c r="G22" s="743" t="s">
        <v>835</v>
      </c>
      <c r="H22" s="32"/>
      <c r="I22" s="32"/>
      <c r="J22" s="32"/>
      <c r="K22" s="32"/>
    </row>
    <row r="23" spans="2:11" hidden="1" x14ac:dyDescent="0.25">
      <c r="B23" s="399"/>
      <c r="C23" s="391"/>
      <c r="D23" s="392"/>
      <c r="E23" s="391"/>
      <c r="F23" s="744"/>
      <c r="G23" s="745"/>
      <c r="H23" s="32"/>
      <c r="I23" s="32"/>
      <c r="J23" s="32"/>
      <c r="K23" s="32"/>
    </row>
    <row r="24" spans="2:11" hidden="1" x14ac:dyDescent="0.25">
      <c r="B24" s="38">
        <v>2009</v>
      </c>
      <c r="C24" s="1408">
        <v>366</v>
      </c>
      <c r="D24" s="1409">
        <f>C24/G24</f>
        <v>0.29373996789727125</v>
      </c>
      <c r="E24" s="1408">
        <v>880</v>
      </c>
      <c r="F24" s="1407">
        <f>E24/G24</f>
        <v>0.7062600321027287</v>
      </c>
      <c r="G24" s="99">
        <f>SUM(C24,E24)</f>
        <v>1246</v>
      </c>
      <c r="H24" s="32"/>
      <c r="I24" s="32"/>
      <c r="J24" s="32"/>
      <c r="K24" s="32"/>
    </row>
    <row r="25" spans="2:11" hidden="1" x14ac:dyDescent="0.25">
      <c r="B25" s="390"/>
      <c r="C25" s="391"/>
      <c r="D25" s="392"/>
      <c r="E25" s="391"/>
      <c r="F25" s="744"/>
      <c r="G25" s="736"/>
      <c r="H25" s="32"/>
      <c r="I25" s="32"/>
      <c r="J25" s="32"/>
      <c r="K25" s="32"/>
    </row>
    <row r="26" spans="2:11" hidden="1" x14ac:dyDescent="0.25">
      <c r="B26" s="38">
        <v>2003</v>
      </c>
      <c r="C26" s="1408">
        <v>478</v>
      </c>
      <c r="D26" s="1409">
        <f>C26/G26</f>
        <v>0.35381199111769057</v>
      </c>
      <c r="E26" s="1408">
        <v>873</v>
      </c>
      <c r="F26" s="1407">
        <f>E26/G26</f>
        <v>0.64618800888230943</v>
      </c>
      <c r="G26" s="99">
        <f>SUM(C26,E26)</f>
        <v>1351</v>
      </c>
      <c r="H26" s="32"/>
      <c r="I26" s="32"/>
      <c r="J26" s="32"/>
      <c r="K26" s="32"/>
    </row>
    <row r="27" spans="2:11" hidden="1" x14ac:dyDescent="0.25">
      <c r="B27" s="390"/>
      <c r="C27" s="391"/>
      <c r="D27" s="392"/>
      <c r="E27" s="391"/>
      <c r="F27" s="744"/>
      <c r="G27" s="736"/>
      <c r="H27" s="32"/>
      <c r="I27" s="32"/>
      <c r="J27" s="32"/>
      <c r="K27" s="32"/>
    </row>
    <row r="28" spans="2:11" hidden="1" x14ac:dyDescent="0.25">
      <c r="B28" s="38">
        <v>2010</v>
      </c>
      <c r="C28" s="1408">
        <v>389</v>
      </c>
      <c r="D28" s="1409">
        <f>C28/G28</f>
        <v>0.29492039423805916</v>
      </c>
      <c r="E28" s="1408">
        <v>930</v>
      </c>
      <c r="F28" s="1407">
        <f>E28/G28</f>
        <v>0.70507960576194084</v>
      </c>
      <c r="G28" s="99">
        <f>SUM(C28,E28)</f>
        <v>1319</v>
      </c>
      <c r="H28" s="32"/>
      <c r="I28" s="32"/>
      <c r="J28" s="32"/>
      <c r="K28" s="32"/>
    </row>
    <row r="29" spans="2:11" x14ac:dyDescent="0.25">
      <c r="B29" s="390"/>
      <c r="C29" s="391"/>
      <c r="D29" s="392"/>
      <c r="E29" s="391"/>
      <c r="F29" s="744"/>
      <c r="G29" s="736"/>
      <c r="H29" s="32"/>
      <c r="I29" s="32"/>
      <c r="J29" s="32"/>
      <c r="K29" s="32"/>
    </row>
    <row r="30" spans="2:11" x14ac:dyDescent="0.25">
      <c r="B30" s="38">
        <v>2011</v>
      </c>
      <c r="C30" s="1408">
        <v>368</v>
      </c>
      <c r="D30" s="1409">
        <f>C30/G30</f>
        <v>0.27299703264094954</v>
      </c>
      <c r="E30" s="1408">
        <v>980</v>
      </c>
      <c r="F30" s="1407">
        <f>E30/G30</f>
        <v>0.72700296735905046</v>
      </c>
      <c r="G30" s="99">
        <f>SUM(C30,E30)</f>
        <v>1348</v>
      </c>
      <c r="H30" s="32"/>
      <c r="I30" s="32"/>
      <c r="J30" s="32"/>
      <c r="K30" s="32"/>
    </row>
    <row r="31" spans="2:11" x14ac:dyDescent="0.25">
      <c r="B31" s="390"/>
      <c r="C31" s="391"/>
      <c r="D31" s="392"/>
      <c r="E31" s="391"/>
      <c r="F31" s="744"/>
      <c r="G31" s="736"/>
      <c r="H31" s="32"/>
      <c r="I31" s="32"/>
      <c r="J31" s="32"/>
      <c r="K31" s="32"/>
    </row>
    <row r="32" spans="2:11" x14ac:dyDescent="0.25">
      <c r="B32" s="38">
        <v>2012</v>
      </c>
      <c r="C32" s="1408">
        <v>366</v>
      </c>
      <c r="D32" s="1409">
        <f>C32/G32</f>
        <v>0.25920679886685555</v>
      </c>
      <c r="E32" s="1408">
        <v>1046</v>
      </c>
      <c r="F32" s="1407">
        <f>E32/G32</f>
        <v>0.74079320113314451</v>
      </c>
      <c r="G32" s="99">
        <f>SUM(C32,E32)</f>
        <v>1412</v>
      </c>
      <c r="H32" s="32"/>
      <c r="I32" s="32"/>
      <c r="J32" s="32"/>
      <c r="K32" s="32"/>
    </row>
    <row r="33" spans="2:11" x14ac:dyDescent="0.25">
      <c r="B33" s="390"/>
      <c r="C33" s="391"/>
      <c r="D33" s="392"/>
      <c r="E33" s="391"/>
      <c r="F33" s="744"/>
      <c r="G33" s="736"/>
      <c r="H33" s="32"/>
      <c r="I33" s="32"/>
      <c r="J33" s="32"/>
      <c r="K33" s="32"/>
    </row>
    <row r="34" spans="2:11" x14ac:dyDescent="0.25">
      <c r="B34" s="38">
        <v>2013</v>
      </c>
      <c r="C34" s="1408">
        <v>355</v>
      </c>
      <c r="D34" s="1409">
        <f>C34/G34</f>
        <v>0.25502873563218392</v>
      </c>
      <c r="E34" s="1408">
        <v>1037</v>
      </c>
      <c r="F34" s="1407">
        <f>E34/G34</f>
        <v>0.74497126436781613</v>
      </c>
      <c r="G34" s="99">
        <f>SUM(C34,E34)</f>
        <v>1392</v>
      </c>
      <c r="H34" s="32"/>
      <c r="I34" s="32"/>
      <c r="J34" s="32"/>
      <c r="K34" s="32"/>
    </row>
    <row r="35" spans="2:11" x14ac:dyDescent="0.25">
      <c r="B35" s="390"/>
      <c r="C35" s="734"/>
      <c r="D35" s="739"/>
      <c r="E35" s="740"/>
      <c r="F35" s="735"/>
      <c r="G35" s="736"/>
      <c r="H35" s="32"/>
      <c r="I35" s="32"/>
      <c r="J35" s="32"/>
      <c r="K35" s="32"/>
    </row>
    <row r="36" spans="2:11" x14ac:dyDescent="0.25">
      <c r="B36" s="1410">
        <v>2014</v>
      </c>
      <c r="C36" s="1411">
        <v>483</v>
      </c>
      <c r="D36" s="40">
        <f>C36/G36</f>
        <v>0.28212616822429909</v>
      </c>
      <c r="E36" s="1412">
        <v>1229</v>
      </c>
      <c r="F36" s="737">
        <f>E36/G36</f>
        <v>0.71787383177570097</v>
      </c>
      <c r="G36" s="1413">
        <f>SUM(C36,E36)</f>
        <v>1712</v>
      </c>
      <c r="H36" s="32"/>
      <c r="I36" s="32"/>
      <c r="J36" s="32"/>
      <c r="K36" s="32"/>
    </row>
    <row r="37" spans="2:11" x14ac:dyDescent="0.25">
      <c r="B37" s="390"/>
      <c r="C37" s="734"/>
      <c r="D37" s="739"/>
      <c r="E37" s="740"/>
      <c r="F37" s="735"/>
      <c r="G37" s="736"/>
      <c r="H37" s="32"/>
      <c r="I37" s="32"/>
      <c r="J37" s="32"/>
      <c r="K37" s="32"/>
    </row>
    <row r="38" spans="2:11" ht="13.8" thickBot="1" x14ac:dyDescent="0.3">
      <c r="B38" s="1410">
        <v>2015</v>
      </c>
      <c r="C38" s="1411">
        <v>336</v>
      </c>
      <c r="D38" s="40">
        <f>C38/G38</f>
        <v>0.26188620420888542</v>
      </c>
      <c r="E38" s="1412">
        <v>947</v>
      </c>
      <c r="F38" s="737">
        <f>E38/G38</f>
        <v>0.73811379579111458</v>
      </c>
      <c r="G38" s="1413">
        <f>SUM(C38,E38)</f>
        <v>1283</v>
      </c>
      <c r="H38" s="32"/>
      <c r="I38" s="32"/>
      <c r="J38" s="32"/>
      <c r="K38" s="32"/>
    </row>
    <row r="39" spans="2:11" x14ac:dyDescent="0.25">
      <c r="B39" s="1414" t="s">
        <v>827</v>
      </c>
      <c r="C39" s="2112" t="s">
        <v>828</v>
      </c>
      <c r="D39" s="2113"/>
      <c r="E39" s="2114" t="s">
        <v>830</v>
      </c>
      <c r="F39" s="2115"/>
      <c r="G39" s="1416"/>
      <c r="H39" s="32"/>
      <c r="I39" s="32"/>
      <c r="J39" s="32"/>
      <c r="K39" s="32"/>
    </row>
    <row r="40" spans="2:11" ht="13.8" thickBot="1" x14ac:dyDescent="0.3">
      <c r="B40" s="1078" t="s">
        <v>837</v>
      </c>
      <c r="C40" s="44" t="s">
        <v>833</v>
      </c>
      <c r="D40" s="45" t="s">
        <v>834</v>
      </c>
      <c r="E40" s="44" t="s">
        <v>833</v>
      </c>
      <c r="F40" s="742" t="s">
        <v>834</v>
      </c>
      <c r="G40" s="743" t="s">
        <v>835</v>
      </c>
      <c r="H40" s="32"/>
      <c r="I40" s="32"/>
      <c r="J40" s="32"/>
      <c r="K40" s="32"/>
    </row>
    <row r="41" spans="2:11" hidden="1" x14ac:dyDescent="0.25">
      <c r="B41" s="399"/>
      <c r="C41" s="746"/>
      <c r="D41" s="361"/>
      <c r="E41" s="360"/>
      <c r="F41" s="735"/>
      <c r="G41" s="745"/>
      <c r="H41" s="32"/>
      <c r="I41" s="32"/>
      <c r="J41" s="32"/>
      <c r="K41" s="32"/>
    </row>
    <row r="42" spans="2:11" hidden="1" x14ac:dyDescent="0.25">
      <c r="B42" s="38">
        <v>2009</v>
      </c>
      <c r="C42" s="287">
        <v>176</v>
      </c>
      <c r="D42" s="288">
        <f>C42/G42</f>
        <v>0.30240549828178692</v>
      </c>
      <c r="E42" s="741">
        <v>406</v>
      </c>
      <c r="F42" s="1305">
        <f>E42/G42</f>
        <v>0.69759450171821302</v>
      </c>
      <c r="G42" s="99">
        <f>SUM(C42,E42)</f>
        <v>582</v>
      </c>
      <c r="H42" s="32"/>
      <c r="I42" s="32"/>
      <c r="J42" s="32"/>
      <c r="K42" s="32"/>
    </row>
    <row r="43" spans="2:11" hidden="1" x14ac:dyDescent="0.25">
      <c r="B43" s="390"/>
      <c r="C43" s="734"/>
      <c r="D43" s="361"/>
      <c r="E43" s="360"/>
      <c r="F43" s="735"/>
      <c r="G43" s="736"/>
      <c r="H43" s="32"/>
      <c r="I43" s="32"/>
      <c r="J43" s="32"/>
      <c r="K43" s="32"/>
    </row>
    <row r="44" spans="2:11" hidden="1" x14ac:dyDescent="0.25">
      <c r="B44" s="38">
        <v>2003</v>
      </c>
      <c r="C44" s="287">
        <v>190</v>
      </c>
      <c r="D44" s="40">
        <f>C44/G44</f>
        <v>0.34734917733089582</v>
      </c>
      <c r="E44" s="39">
        <v>357</v>
      </c>
      <c r="F44" s="1305">
        <f>E44/G44</f>
        <v>0.65265082266910424</v>
      </c>
      <c r="G44" s="99">
        <f>SUM(C44,E44)</f>
        <v>547</v>
      </c>
      <c r="H44" s="32"/>
      <c r="I44" s="32"/>
      <c r="J44" s="32"/>
      <c r="K44" s="32"/>
    </row>
    <row r="45" spans="2:11" hidden="1" x14ac:dyDescent="0.25">
      <c r="B45" s="390"/>
      <c r="C45" s="734"/>
      <c r="D45" s="739"/>
      <c r="E45" s="740"/>
      <c r="F45" s="735"/>
      <c r="G45" s="736"/>
      <c r="H45" s="32"/>
      <c r="I45" s="32"/>
      <c r="J45" s="32"/>
      <c r="K45" s="32"/>
    </row>
    <row r="46" spans="2:11" hidden="1" x14ac:dyDescent="0.25">
      <c r="B46" s="38">
        <v>2010</v>
      </c>
      <c r="C46" s="287">
        <v>210</v>
      </c>
      <c r="D46" s="288">
        <f>C46/G46</f>
        <v>0.30612244897959184</v>
      </c>
      <c r="E46" s="741">
        <v>476</v>
      </c>
      <c r="F46" s="1305">
        <f>E46/G46</f>
        <v>0.69387755102040816</v>
      </c>
      <c r="G46" s="99">
        <f>SUM(C46,E46)</f>
        <v>686</v>
      </c>
      <c r="H46" s="32"/>
      <c r="I46" s="32"/>
      <c r="J46" s="32"/>
      <c r="K46" s="32"/>
    </row>
    <row r="47" spans="2:11" x14ac:dyDescent="0.25">
      <c r="B47" s="390"/>
      <c r="C47" s="734"/>
      <c r="D47" s="739"/>
      <c r="E47" s="740"/>
      <c r="F47" s="735"/>
      <c r="G47" s="736"/>
    </row>
    <row r="48" spans="2:11" s="32" customFormat="1" x14ac:dyDescent="0.25">
      <c r="B48" s="38">
        <v>2011</v>
      </c>
      <c r="C48" s="287">
        <v>168</v>
      </c>
      <c r="D48" s="40">
        <f>C48/G48</f>
        <v>0.28235294117647058</v>
      </c>
      <c r="E48" s="39">
        <v>427</v>
      </c>
      <c r="F48" s="1305">
        <f>E48/G48</f>
        <v>0.71764705882352942</v>
      </c>
      <c r="G48" s="99">
        <f>SUM(C48,E48)</f>
        <v>595</v>
      </c>
    </row>
    <row r="49" spans="2:7" x14ac:dyDescent="0.25">
      <c r="B49" s="399"/>
      <c r="C49" s="1302"/>
      <c r="D49" s="1303"/>
      <c r="E49" s="1304"/>
      <c r="F49" s="735"/>
      <c r="G49" s="745"/>
    </row>
    <row r="50" spans="2:7" x14ac:dyDescent="0.25">
      <c r="B50" s="38">
        <v>2012</v>
      </c>
      <c r="C50" s="287">
        <v>155</v>
      </c>
      <c r="D50" s="40">
        <f>C50/G50</f>
        <v>0.27240773286467485</v>
      </c>
      <c r="E50" s="39">
        <v>414</v>
      </c>
      <c r="F50" s="1305">
        <f>E50/G50</f>
        <v>0.7275922671353251</v>
      </c>
      <c r="G50" s="99">
        <f>SUM(C50,E50)</f>
        <v>569</v>
      </c>
    </row>
    <row r="51" spans="2:7" x14ac:dyDescent="0.25">
      <c r="B51" s="399"/>
      <c r="C51" s="1302"/>
      <c r="D51" s="1303"/>
      <c r="E51" s="1304"/>
      <c r="F51" s="735"/>
      <c r="G51" s="745"/>
    </row>
    <row r="52" spans="2:7" x14ac:dyDescent="0.25">
      <c r="B52" s="38">
        <v>2013</v>
      </c>
      <c r="C52" s="287">
        <v>157</v>
      </c>
      <c r="D52" s="40">
        <f>C52/G52</f>
        <v>0.30367504835589942</v>
      </c>
      <c r="E52" s="39">
        <v>360</v>
      </c>
      <c r="F52" s="1305">
        <f>E52/G52</f>
        <v>0.69632495164410058</v>
      </c>
      <c r="G52" s="99">
        <f>SUM(C52,E52)</f>
        <v>517</v>
      </c>
    </row>
    <row r="53" spans="2:7" x14ac:dyDescent="0.25">
      <c r="B53" s="399"/>
      <c r="C53" s="1302"/>
      <c r="D53" s="1303"/>
      <c r="E53" s="1304"/>
      <c r="F53" s="735"/>
      <c r="G53" s="745"/>
    </row>
    <row r="54" spans="2:7" x14ac:dyDescent="0.25">
      <c r="B54" s="46">
        <v>2014</v>
      </c>
      <c r="C54" s="287">
        <v>182</v>
      </c>
      <c r="D54" s="40">
        <f>C54/G54</f>
        <v>0.32851985559566788</v>
      </c>
      <c r="E54" s="1854">
        <v>372</v>
      </c>
      <c r="F54" s="1305">
        <f>E54/G54</f>
        <v>0.67148014440433212</v>
      </c>
      <c r="G54" s="1855">
        <v>554</v>
      </c>
    </row>
    <row r="55" spans="2:7" x14ac:dyDescent="0.25">
      <c r="B55" s="399"/>
      <c r="C55" s="734"/>
      <c r="D55" s="739"/>
      <c r="E55" s="740"/>
      <c r="F55" s="735"/>
      <c r="G55" s="745"/>
    </row>
    <row r="56" spans="2:7" ht="13.8" thickBot="1" x14ac:dyDescent="0.3">
      <c r="B56" s="47">
        <v>2015</v>
      </c>
      <c r="C56" s="747">
        <v>162</v>
      </c>
      <c r="D56" s="1419">
        <f>C56/G56</f>
        <v>0.29032258064516131</v>
      </c>
      <c r="E56" s="1418">
        <v>396</v>
      </c>
      <c r="F56" s="1420">
        <f>E56/G56</f>
        <v>0.70967741935483875</v>
      </c>
      <c r="G56" s="1417">
        <f>SUM(C56,E56)</f>
        <v>558</v>
      </c>
    </row>
  </sheetData>
  <mergeCells count="5">
    <mergeCell ref="B1:G1"/>
    <mergeCell ref="C21:D21"/>
    <mergeCell ref="E21:F21"/>
    <mergeCell ref="C39:D39"/>
    <mergeCell ref="E39:F39"/>
  </mergeCells>
  <phoneticPr fontId="16" type="noConversion"/>
  <printOptions horizontalCentered="1" verticalCentered="1"/>
  <pageMargins left="0.75" right="0.75" top="0" bottom="0.05" header="0.25" footer="0.25"/>
  <pageSetup scale="84" orientation="portrait" r:id="rId1"/>
  <headerFooter alignWithMargins="0">
    <oddFooter>&amp;LSource: Office of Admissions</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3"/>
  <sheetViews>
    <sheetView workbookViewId="0">
      <selection sqref="A1:U1"/>
    </sheetView>
  </sheetViews>
  <sheetFormatPr defaultColWidth="9.109375" defaultRowHeight="13.2" x14ac:dyDescent="0.25"/>
  <cols>
    <col min="1" max="1" width="42" style="1146" customWidth="1"/>
    <col min="2" max="2" width="5" style="1146" bestFit="1" customWidth="1"/>
    <col min="3" max="3" width="11.109375" style="1146" bestFit="1" customWidth="1"/>
    <col min="4" max="4" width="7.5546875" style="1146" bestFit="1" customWidth="1"/>
    <col min="5" max="5" width="10" style="1146" bestFit="1" customWidth="1"/>
    <col min="6" max="6" width="5" style="1146" bestFit="1" customWidth="1"/>
    <col min="7" max="7" width="11.109375" style="1146" bestFit="1" customWidth="1"/>
    <col min="8" max="8" width="7.5546875" style="1146" bestFit="1" customWidth="1"/>
    <col min="9" max="9" width="10" style="1146" bestFit="1" customWidth="1"/>
    <col min="10" max="10" width="5" style="1146" bestFit="1" customWidth="1"/>
    <col min="11" max="11" width="11.109375" style="1146" bestFit="1" customWidth="1"/>
    <col min="12" max="12" width="7.5546875" style="1146" bestFit="1" customWidth="1"/>
    <col min="13" max="13" width="10" style="1146" bestFit="1" customWidth="1"/>
    <col min="14" max="14" width="5" style="1146" bestFit="1" customWidth="1"/>
    <col min="15" max="15" width="11.109375" style="1147" bestFit="1" customWidth="1"/>
    <col min="16" max="16" width="7.5546875" style="1147" bestFit="1" customWidth="1"/>
    <col min="17" max="17" width="10" style="1148" bestFit="1" customWidth="1"/>
    <col min="18" max="18" width="5" style="1146" bestFit="1" customWidth="1"/>
    <col min="19" max="19" width="11.109375" style="1146" bestFit="1" customWidth="1"/>
    <col min="20" max="20" width="6.5546875" style="1146" bestFit="1" customWidth="1"/>
    <col min="21" max="21" width="9.33203125" style="1146" customWidth="1"/>
    <col min="22" max="22" width="9.5546875" style="1146" hidden="1" customWidth="1"/>
    <col min="23" max="23" width="11.109375" style="1146" hidden="1" customWidth="1"/>
    <col min="24" max="24" width="6.5546875" style="1146" hidden="1" customWidth="1"/>
    <col min="25" max="25" width="9.33203125" style="1146" hidden="1" customWidth="1"/>
    <col min="26" max="26" width="9.5546875" style="1146" hidden="1" customWidth="1"/>
    <col min="27" max="27" width="11.109375" style="1146" hidden="1" customWidth="1"/>
    <col min="28" max="16384" width="9.109375" style="1149"/>
  </cols>
  <sheetData>
    <row r="1" spans="1:27" s="1101" customFormat="1" ht="23.25" customHeight="1" thickBot="1" x14ac:dyDescent="0.35">
      <c r="A1" s="2247" t="s">
        <v>1539</v>
      </c>
      <c r="B1" s="2248"/>
      <c r="C1" s="2248"/>
      <c r="D1" s="2248"/>
      <c r="E1" s="2248"/>
      <c r="F1" s="2248"/>
      <c r="G1" s="2248"/>
      <c r="H1" s="2248"/>
      <c r="I1" s="2248"/>
      <c r="J1" s="2248"/>
      <c r="K1" s="2248"/>
      <c r="L1" s="2248"/>
      <c r="M1" s="2248"/>
      <c r="N1" s="2248"/>
      <c r="O1" s="2248"/>
      <c r="P1" s="2248"/>
      <c r="Q1" s="2248"/>
      <c r="R1" s="2248"/>
      <c r="S1" s="2248"/>
      <c r="T1" s="2248"/>
      <c r="U1" s="2248"/>
      <c r="V1" s="1099"/>
      <c r="W1" s="1099"/>
      <c r="X1" s="1099"/>
      <c r="Y1" s="1099"/>
      <c r="Z1" s="1099"/>
      <c r="AA1" s="1100"/>
    </row>
    <row r="2" spans="1:27" s="1101" customFormat="1" x14ac:dyDescent="0.25">
      <c r="A2" s="1250" t="s">
        <v>1540</v>
      </c>
      <c r="B2" s="2249" t="s">
        <v>1438</v>
      </c>
      <c r="C2" s="2249"/>
      <c r="D2" s="2249"/>
      <c r="E2" s="2249"/>
      <c r="F2" s="2249" t="s">
        <v>1447</v>
      </c>
      <c r="G2" s="2249"/>
      <c r="H2" s="2249"/>
      <c r="I2" s="2249"/>
      <c r="J2" s="2249" t="s">
        <v>1446</v>
      </c>
      <c r="K2" s="2249"/>
      <c r="L2" s="2249"/>
      <c r="M2" s="2249"/>
      <c r="N2" s="2249" t="s">
        <v>615</v>
      </c>
      <c r="O2" s="2249"/>
      <c r="P2" s="2249"/>
      <c r="Q2" s="2249"/>
      <c r="R2" s="2249" t="s">
        <v>372</v>
      </c>
      <c r="S2" s="2249"/>
      <c r="T2" s="2249"/>
      <c r="U2" s="2249"/>
      <c r="V2" s="1103"/>
      <c r="W2" s="1103"/>
      <c r="X2" s="1103"/>
      <c r="Y2" s="1103"/>
      <c r="Z2" s="1103"/>
      <c r="AA2" s="1103"/>
    </row>
    <row r="3" spans="1:27" s="1107" customFormat="1" ht="17.25" customHeight="1" x14ac:dyDescent="0.3">
      <c r="A3" s="1102" t="s">
        <v>1541</v>
      </c>
      <c r="B3" s="1102" t="s">
        <v>620</v>
      </c>
      <c r="C3" s="1102" t="s">
        <v>621</v>
      </c>
      <c r="D3" s="1104" t="s">
        <v>1420</v>
      </c>
      <c r="E3" s="1105" t="s">
        <v>1421</v>
      </c>
      <c r="F3" s="1102" t="s">
        <v>620</v>
      </c>
      <c r="G3" s="1102" t="s">
        <v>621</v>
      </c>
      <c r="H3" s="1104" t="s">
        <v>1420</v>
      </c>
      <c r="I3" s="1105" t="s">
        <v>1421</v>
      </c>
      <c r="J3" s="1102" t="s">
        <v>620</v>
      </c>
      <c r="K3" s="1102" t="s">
        <v>621</v>
      </c>
      <c r="L3" s="1104" t="s">
        <v>1420</v>
      </c>
      <c r="M3" s="1105" t="s">
        <v>1421</v>
      </c>
      <c r="N3" s="1102" t="s">
        <v>620</v>
      </c>
      <c r="O3" s="1102" t="s">
        <v>621</v>
      </c>
      <c r="P3" s="1104" t="s">
        <v>1420</v>
      </c>
      <c r="Q3" s="1105" t="s">
        <v>1421</v>
      </c>
      <c r="R3" s="1102" t="s">
        <v>620</v>
      </c>
      <c r="S3" s="1102" t="s">
        <v>621</v>
      </c>
      <c r="T3" s="1104" t="s">
        <v>1420</v>
      </c>
      <c r="U3" s="1105" t="s">
        <v>1421</v>
      </c>
      <c r="V3" s="1106"/>
      <c r="W3" s="1106"/>
      <c r="X3" s="1106"/>
      <c r="Y3" s="1106"/>
      <c r="Z3" s="1106"/>
      <c r="AA3" s="1106"/>
    </row>
    <row r="4" spans="1:27" s="1113" customFormat="1" ht="12.75" customHeight="1" x14ac:dyDescent="0.25">
      <c r="A4" s="1108" t="s">
        <v>550</v>
      </c>
      <c r="B4" s="1109">
        <v>1574</v>
      </c>
      <c r="C4" s="1110">
        <v>6596692</v>
      </c>
      <c r="D4" s="1110">
        <f t="shared" ref="D4:D9" si="0">C4/B4</f>
        <v>4191.0368487928845</v>
      </c>
      <c r="E4" s="1111">
        <f>C4/C54</f>
        <v>0.16282685957535625</v>
      </c>
      <c r="F4" s="1109">
        <v>1551</v>
      </c>
      <c r="G4" s="1110">
        <v>6655948</v>
      </c>
      <c r="H4" s="1110">
        <f t="shared" ref="H4:H9" si="1">G4/F4</f>
        <v>4291.3913604126374</v>
      </c>
      <c r="I4" s="1111">
        <f>G4/G54</f>
        <v>0.16941963851634886</v>
      </c>
      <c r="J4" s="1109">
        <v>1376</v>
      </c>
      <c r="K4" s="1110">
        <v>5852357</v>
      </c>
      <c r="L4" s="1110">
        <f t="shared" ref="L4:L9" si="2">K4/J4</f>
        <v>4253.1664244186049</v>
      </c>
      <c r="M4" s="1111">
        <f>K4/K54</f>
        <v>0.16668758679038734</v>
      </c>
      <c r="N4" s="1109">
        <v>904</v>
      </c>
      <c r="O4" s="1110">
        <v>2573030</v>
      </c>
      <c r="P4" s="1110">
        <f t="shared" ref="P4:P9" si="3">O4/N4</f>
        <v>2846.2721238938052</v>
      </c>
      <c r="Q4" s="1111">
        <f>O4/O54</f>
        <v>0.10910293290112172</v>
      </c>
      <c r="R4" s="1109">
        <v>953</v>
      </c>
      <c r="S4" s="1112">
        <v>2634176</v>
      </c>
      <c r="T4" s="1112">
        <f t="shared" ref="T4:T9" si="4">S4/R4</f>
        <v>2764.0881427072404</v>
      </c>
      <c r="U4" s="1111">
        <f t="shared" ref="U4:U9" si="5">+S4/$S$54</f>
        <v>0.11305478820918202</v>
      </c>
      <c r="V4" s="1109">
        <v>1064</v>
      </c>
      <c r="W4" s="1112">
        <v>2623117.3199999998</v>
      </c>
      <c r="X4" s="1112">
        <f t="shared" ref="X4:X9" si="6">W4/V4</f>
        <v>2465.335827067669</v>
      </c>
      <c r="Y4" s="1112"/>
      <c r="Z4" s="1109">
        <v>972</v>
      </c>
      <c r="AA4" s="1112">
        <v>2646862.85</v>
      </c>
    </row>
    <row r="5" spans="1:27" s="1113" customFormat="1" ht="12.75" customHeight="1" x14ac:dyDescent="0.25">
      <c r="A5" s="1108" t="s">
        <v>576</v>
      </c>
      <c r="B5" s="1109">
        <v>0</v>
      </c>
      <c r="C5" s="1110">
        <v>0</v>
      </c>
      <c r="D5" s="1110" t="s">
        <v>1099</v>
      </c>
      <c r="E5" s="1111">
        <f>C5/C54</f>
        <v>0</v>
      </c>
      <c r="F5" s="1109">
        <v>420</v>
      </c>
      <c r="G5" s="1110">
        <v>323935</v>
      </c>
      <c r="H5" s="1110">
        <f t="shared" si="1"/>
        <v>771.27380952380952</v>
      </c>
      <c r="I5" s="1111">
        <f>G5/G54</f>
        <v>8.2453995438055514E-3</v>
      </c>
      <c r="J5" s="1109">
        <v>386</v>
      </c>
      <c r="K5" s="1110">
        <v>282751</v>
      </c>
      <c r="L5" s="1110">
        <f t="shared" si="2"/>
        <v>732.51554404145077</v>
      </c>
      <c r="M5" s="1111">
        <f>K5/K54</f>
        <v>8.0533504453964115E-3</v>
      </c>
      <c r="N5" s="1109">
        <v>189</v>
      </c>
      <c r="O5" s="1110">
        <v>130441</v>
      </c>
      <c r="P5" s="1110">
        <f t="shared" si="3"/>
        <v>690.16402116402116</v>
      </c>
      <c r="Q5" s="1111">
        <f>O5/O54</f>
        <v>5.5310259385064368E-3</v>
      </c>
      <c r="R5" s="1109">
        <v>157</v>
      </c>
      <c r="S5" s="1112">
        <v>114130</v>
      </c>
      <c r="T5" s="1112">
        <f t="shared" si="4"/>
        <v>726.9426751592357</v>
      </c>
      <c r="U5" s="1111">
        <f t="shared" si="5"/>
        <v>4.8982843129365475E-3</v>
      </c>
      <c r="V5" s="1109" t="s">
        <v>1099</v>
      </c>
      <c r="W5" s="1112"/>
      <c r="X5" s="1109" t="s">
        <v>1099</v>
      </c>
      <c r="Y5" s="1112"/>
      <c r="Z5" s="1109" t="s">
        <v>1099</v>
      </c>
      <c r="AA5" s="1112"/>
    </row>
    <row r="6" spans="1:27" s="1113" customFormat="1" ht="12.75" customHeight="1" x14ac:dyDescent="0.25">
      <c r="A6" s="1108" t="s">
        <v>551</v>
      </c>
      <c r="B6" s="1109">
        <v>145</v>
      </c>
      <c r="C6" s="1110">
        <v>109542</v>
      </c>
      <c r="D6" s="1110">
        <f t="shared" si="0"/>
        <v>755.46206896551723</v>
      </c>
      <c r="E6" s="1111">
        <f>C6/C54</f>
        <v>2.703836991571484E-3</v>
      </c>
      <c r="F6" s="1109">
        <v>316</v>
      </c>
      <c r="G6" s="1110">
        <v>110517</v>
      </c>
      <c r="H6" s="1110">
        <f t="shared" si="1"/>
        <v>349.73734177215192</v>
      </c>
      <c r="I6" s="1111">
        <f>G6/G54</f>
        <v>2.8130854072044025E-3</v>
      </c>
      <c r="J6" s="1109">
        <v>211</v>
      </c>
      <c r="K6" s="1110">
        <v>99500</v>
      </c>
      <c r="L6" s="1110">
        <f t="shared" si="2"/>
        <v>471.56398104265401</v>
      </c>
      <c r="M6" s="1111">
        <f>K6/K54</f>
        <v>2.8339718314592806E-3</v>
      </c>
      <c r="N6" s="1109">
        <v>137</v>
      </c>
      <c r="O6" s="1110">
        <v>129115</v>
      </c>
      <c r="P6" s="1110">
        <f t="shared" si="3"/>
        <v>942.44525547445255</v>
      </c>
      <c r="Q6" s="1111">
        <f>O6/O54</f>
        <v>5.4748002089086908E-3</v>
      </c>
      <c r="R6" s="1114">
        <v>188</v>
      </c>
      <c r="S6" s="1115">
        <v>166313</v>
      </c>
      <c r="T6" s="1112">
        <f t="shared" si="4"/>
        <v>884.64361702127655</v>
      </c>
      <c r="U6" s="1111">
        <f t="shared" si="5"/>
        <v>7.1378985274460358E-3</v>
      </c>
      <c r="V6" s="1114">
        <v>174</v>
      </c>
      <c r="W6" s="1115">
        <v>155019</v>
      </c>
      <c r="X6" s="1112">
        <f t="shared" si="6"/>
        <v>890.91379310344826</v>
      </c>
      <c r="Y6" s="1115"/>
      <c r="Z6" s="1114">
        <v>223</v>
      </c>
      <c r="AA6" s="1115">
        <v>190071</v>
      </c>
    </row>
    <row r="7" spans="1:27" s="1113" customFormat="1" ht="12.75" customHeight="1" x14ac:dyDescent="0.25">
      <c r="A7" s="1108" t="s">
        <v>1422</v>
      </c>
      <c r="B7" s="1109">
        <v>0</v>
      </c>
      <c r="C7" s="1110">
        <v>0</v>
      </c>
      <c r="D7" s="1110" t="s">
        <v>1099</v>
      </c>
      <c r="E7" s="1111">
        <f>C7/C54</f>
        <v>0</v>
      </c>
      <c r="F7" s="1109">
        <v>24</v>
      </c>
      <c r="G7" s="1110">
        <v>66775</v>
      </c>
      <c r="H7" s="1110">
        <f t="shared" si="1"/>
        <v>2782.2916666666665</v>
      </c>
      <c r="I7" s="1111">
        <f>G7/G54</f>
        <v>1.6996822033359029E-3</v>
      </c>
      <c r="J7" s="1109">
        <v>17</v>
      </c>
      <c r="K7" s="1110">
        <v>46000</v>
      </c>
      <c r="L7" s="1110">
        <f t="shared" si="2"/>
        <v>2705.8823529411766</v>
      </c>
      <c r="M7" s="1111">
        <f>K7/K54</f>
        <v>1.3101779321319285E-3</v>
      </c>
      <c r="N7" s="1109">
        <v>23</v>
      </c>
      <c r="O7" s="1110">
        <v>56000</v>
      </c>
      <c r="P7" s="1110">
        <f t="shared" si="3"/>
        <v>2434.782608695652</v>
      </c>
      <c r="Q7" s="1111">
        <f>O7/O54</f>
        <v>2.374540616496044E-3</v>
      </c>
      <c r="R7" s="1109">
        <v>18</v>
      </c>
      <c r="S7" s="1112">
        <v>57933</v>
      </c>
      <c r="T7" s="1112">
        <f t="shared" si="4"/>
        <v>3218.5</v>
      </c>
      <c r="U7" s="1111">
        <f t="shared" si="5"/>
        <v>2.4863953833466489E-3</v>
      </c>
      <c r="V7" s="1109" t="s">
        <v>1099</v>
      </c>
      <c r="W7" s="1112"/>
      <c r="X7" s="1109" t="s">
        <v>1099</v>
      </c>
      <c r="Y7" s="1112"/>
      <c r="Z7" s="1109" t="s">
        <v>1099</v>
      </c>
      <c r="AA7" s="1112"/>
    </row>
    <row r="8" spans="1:27" s="1113" customFormat="1" ht="12.75" customHeight="1" x14ac:dyDescent="0.25">
      <c r="A8" s="1108" t="s">
        <v>552</v>
      </c>
      <c r="B8" s="1109">
        <v>10</v>
      </c>
      <c r="C8" s="1110">
        <v>10800</v>
      </c>
      <c r="D8" s="1110">
        <f t="shared" si="0"/>
        <v>1080</v>
      </c>
      <c r="E8" s="1111">
        <f>C8/C54</f>
        <v>2.6657756393869044E-4</v>
      </c>
      <c r="F8" s="1109">
        <v>8</v>
      </c>
      <c r="G8" s="1110">
        <v>9500</v>
      </c>
      <c r="H8" s="1110">
        <f t="shared" si="1"/>
        <v>1187.5</v>
      </c>
      <c r="I8" s="1111">
        <f>G8/G54</f>
        <v>2.4181176984936094E-4</v>
      </c>
      <c r="J8" s="1109">
        <v>30</v>
      </c>
      <c r="K8" s="1110">
        <v>38816</v>
      </c>
      <c r="L8" s="1110">
        <f t="shared" si="2"/>
        <v>1293.8666666666666</v>
      </c>
      <c r="M8" s="1111">
        <f>K8/K54</f>
        <v>1.1055623176876726E-3</v>
      </c>
      <c r="N8" s="1109">
        <v>12</v>
      </c>
      <c r="O8" s="1110">
        <v>9400</v>
      </c>
      <c r="P8" s="1110">
        <f t="shared" si="3"/>
        <v>783.33333333333337</v>
      </c>
      <c r="Q8" s="1111">
        <f>O8/O54</f>
        <v>3.9858360348326449E-4</v>
      </c>
      <c r="R8" s="1109">
        <v>19</v>
      </c>
      <c r="S8" s="1112">
        <v>13300</v>
      </c>
      <c r="T8" s="1112">
        <f t="shared" si="4"/>
        <v>700</v>
      </c>
      <c r="U8" s="1111">
        <f t="shared" si="5"/>
        <v>5.7081557313638906E-4</v>
      </c>
      <c r="V8" s="1109">
        <v>2</v>
      </c>
      <c r="W8" s="1112">
        <v>800</v>
      </c>
      <c r="X8" s="1112">
        <f t="shared" si="6"/>
        <v>400</v>
      </c>
      <c r="Y8" s="1112"/>
      <c r="Z8" s="1109"/>
      <c r="AA8" s="1112"/>
    </row>
    <row r="9" spans="1:27" s="1113" customFormat="1" x14ac:dyDescent="0.25">
      <c r="A9" s="1102" t="s">
        <v>1542</v>
      </c>
      <c r="B9" s="1104">
        <f>SUM(B4:B8)</f>
        <v>1729</v>
      </c>
      <c r="C9" s="1116">
        <f>SUM(C4:C8)</f>
        <v>6717034</v>
      </c>
      <c r="D9" s="1110">
        <f t="shared" si="0"/>
        <v>3884.924233661076</v>
      </c>
      <c r="E9" s="1111">
        <f>C9/C54</f>
        <v>0.16579727413086642</v>
      </c>
      <c r="F9" s="1104">
        <f>SUM(F4:F8)</f>
        <v>2319</v>
      </c>
      <c r="G9" s="1116">
        <f>SUM(G4:G8)</f>
        <v>7166675</v>
      </c>
      <c r="H9" s="1110">
        <f t="shared" si="1"/>
        <v>3090.4161276412246</v>
      </c>
      <c r="I9" s="1111">
        <f>G9/G54</f>
        <v>0.18241961744054408</v>
      </c>
      <c r="J9" s="1104">
        <f>SUM(J4:J8)</f>
        <v>2020</v>
      </c>
      <c r="K9" s="1116">
        <f>SUM(K4:K8)</f>
        <v>6319424</v>
      </c>
      <c r="L9" s="1110">
        <f t="shared" si="2"/>
        <v>3128.4277227722773</v>
      </c>
      <c r="M9" s="1111">
        <f>K9/K54</f>
        <v>0.17999064931706263</v>
      </c>
      <c r="N9" s="1104">
        <f>SUM(N4:N8)</f>
        <v>1265</v>
      </c>
      <c r="O9" s="1116">
        <f>SUM(O4:O8)</f>
        <v>2897986</v>
      </c>
      <c r="P9" s="1110">
        <f t="shared" si="3"/>
        <v>2290.8980237154151</v>
      </c>
      <c r="Q9" s="1111">
        <f>O9/O54</f>
        <v>0.12288188326851615</v>
      </c>
      <c r="R9" s="1104">
        <f>SUM(R4:R8)</f>
        <v>1335</v>
      </c>
      <c r="S9" s="1117">
        <f>SUM(S4:S8)</f>
        <v>2985852</v>
      </c>
      <c r="T9" s="1112">
        <f t="shared" si="4"/>
        <v>2236.5932584269663</v>
      </c>
      <c r="U9" s="1111">
        <f t="shared" si="5"/>
        <v>0.12814818200604763</v>
      </c>
      <c r="V9" s="1104">
        <f>SUM(V4:V8)</f>
        <v>1240</v>
      </c>
      <c r="W9" s="1117">
        <f>SUM(W4:W8)</f>
        <v>2778936.32</v>
      </c>
      <c r="X9" s="1112">
        <f t="shared" si="6"/>
        <v>2241.0776774193546</v>
      </c>
      <c r="Y9" s="1117"/>
      <c r="Z9" s="1104">
        <f>SUM(Z4:Z8)</f>
        <v>1195</v>
      </c>
      <c r="AA9" s="1117">
        <f>SUM(AA4:AA8)</f>
        <v>2836933.85</v>
      </c>
    </row>
    <row r="10" spans="1:27" s="1113" customFormat="1" x14ac:dyDescent="0.25">
      <c r="A10" s="1250"/>
      <c r="B10" s="2249" t="s">
        <v>1438</v>
      </c>
      <c r="C10" s="2249"/>
      <c r="D10" s="2249"/>
      <c r="E10" s="2249"/>
      <c r="F10" s="2249" t="s">
        <v>1447</v>
      </c>
      <c r="G10" s="2249"/>
      <c r="H10" s="2249"/>
      <c r="I10" s="2249"/>
      <c r="J10" s="2249" t="s">
        <v>1446</v>
      </c>
      <c r="K10" s="2249"/>
      <c r="L10" s="2249"/>
      <c r="M10" s="2249"/>
      <c r="N10" s="2249" t="s">
        <v>615</v>
      </c>
      <c r="O10" s="2249"/>
      <c r="P10" s="2249"/>
      <c r="Q10" s="2249"/>
      <c r="R10" s="2249" t="s">
        <v>372</v>
      </c>
      <c r="S10" s="2249"/>
      <c r="T10" s="2249"/>
      <c r="U10" s="2249"/>
      <c r="V10" s="1119"/>
      <c r="W10" s="1120"/>
      <c r="X10" s="1112"/>
      <c r="Y10" s="1120"/>
      <c r="Z10" s="1119"/>
      <c r="AA10" s="1120"/>
    </row>
    <row r="11" spans="1:27" s="1113" customFormat="1" x14ac:dyDescent="0.25">
      <c r="A11" s="1102" t="s">
        <v>553</v>
      </c>
      <c r="B11" s="1102" t="s">
        <v>620</v>
      </c>
      <c r="C11" s="1102" t="s">
        <v>621</v>
      </c>
      <c r="D11" s="1104" t="s">
        <v>1420</v>
      </c>
      <c r="E11" s="1105" t="s">
        <v>1421</v>
      </c>
      <c r="F11" s="1102" t="s">
        <v>620</v>
      </c>
      <c r="G11" s="1102" t="s">
        <v>621</v>
      </c>
      <c r="H11" s="1104" t="s">
        <v>1420</v>
      </c>
      <c r="I11" s="1105" t="s">
        <v>1421</v>
      </c>
      <c r="J11" s="1102" t="s">
        <v>620</v>
      </c>
      <c r="K11" s="1102" t="s">
        <v>621</v>
      </c>
      <c r="L11" s="1104" t="s">
        <v>1420</v>
      </c>
      <c r="M11" s="1105" t="s">
        <v>1421</v>
      </c>
      <c r="N11" s="1102" t="s">
        <v>620</v>
      </c>
      <c r="O11" s="1102" t="s">
        <v>621</v>
      </c>
      <c r="P11" s="1104" t="s">
        <v>1420</v>
      </c>
      <c r="Q11" s="1105" t="s">
        <v>1421</v>
      </c>
      <c r="R11" s="1102" t="s">
        <v>620</v>
      </c>
      <c r="S11" s="1102" t="s">
        <v>621</v>
      </c>
      <c r="T11" s="1104" t="s">
        <v>1420</v>
      </c>
      <c r="U11" s="1105" t="s">
        <v>1421</v>
      </c>
      <c r="V11" s="1121" t="s">
        <v>1314</v>
      </c>
      <c r="W11" s="1122"/>
      <c r="X11" s="1112"/>
      <c r="Y11" s="1109"/>
      <c r="Z11" s="1121" t="s">
        <v>283</v>
      </c>
      <c r="AA11" s="1122"/>
    </row>
    <row r="12" spans="1:27" s="1113" customFormat="1" x14ac:dyDescent="0.25">
      <c r="A12" s="1108" t="s">
        <v>555</v>
      </c>
      <c r="B12" s="1109">
        <v>1939</v>
      </c>
      <c r="C12" s="1110">
        <v>7487506</v>
      </c>
      <c r="D12" s="1110">
        <f>C12/B12</f>
        <v>3861.5296544610624</v>
      </c>
      <c r="E12" s="1111">
        <f>C12/C54</f>
        <v>0.1848149175422526</v>
      </c>
      <c r="F12" s="1109">
        <v>1856</v>
      </c>
      <c r="G12" s="1110">
        <v>7132497</v>
      </c>
      <c r="H12" s="1110">
        <f>G12/F12</f>
        <v>3842.9401939655172</v>
      </c>
      <c r="I12" s="1111">
        <f>G12/G54</f>
        <v>0.18154965505423762</v>
      </c>
      <c r="J12" s="1109">
        <v>1710</v>
      </c>
      <c r="K12" s="1110">
        <v>6539070</v>
      </c>
      <c r="L12" s="1110">
        <f>K12/J12</f>
        <v>3824.0175438596493</v>
      </c>
      <c r="M12" s="1111">
        <f>K12/K54</f>
        <v>0.18624663501447675</v>
      </c>
      <c r="N12" s="1109">
        <v>1283</v>
      </c>
      <c r="O12" s="1110">
        <v>4717720</v>
      </c>
      <c r="P12" s="1110">
        <f>O12/N12</f>
        <v>3677.1005455962586</v>
      </c>
      <c r="Q12" s="1111">
        <f>O12/O54</f>
        <v>0.20004317423670923</v>
      </c>
      <c r="R12" s="1109">
        <v>1281</v>
      </c>
      <c r="S12" s="1112">
        <v>4302925</v>
      </c>
      <c r="T12" s="1112">
        <f>S12/R12</f>
        <v>3359.0359094457453</v>
      </c>
      <c r="U12" s="1111">
        <f>+S12/$S$54</f>
        <v>0.18467493233367646</v>
      </c>
      <c r="V12" s="1109">
        <v>2192</v>
      </c>
      <c r="W12" s="1112">
        <v>7547818.7699999996</v>
      </c>
      <c r="X12" s="1112">
        <f>W12/V12</f>
        <v>3443.3479790145984</v>
      </c>
      <c r="Y12" s="1112"/>
      <c r="Z12" s="1109">
        <v>2322</v>
      </c>
      <c r="AA12" s="1112">
        <v>8031385.3600000003</v>
      </c>
    </row>
    <row r="13" spans="1:27" s="1113" customFormat="1" x14ac:dyDescent="0.25">
      <c r="A13" s="1108" t="s">
        <v>556</v>
      </c>
      <c r="B13" s="1109">
        <v>1976</v>
      </c>
      <c r="C13" s="1110">
        <v>8150186</v>
      </c>
      <c r="D13" s="1110">
        <f>C13/B13</f>
        <v>4124.5880566801616</v>
      </c>
      <c r="E13" s="1111">
        <f>C13/C54</f>
        <v>0.20117191940066848</v>
      </c>
      <c r="F13" s="1109">
        <v>1921</v>
      </c>
      <c r="G13" s="1110">
        <v>7593150</v>
      </c>
      <c r="H13" s="1110">
        <f>G13/F13</f>
        <v>3952.7069234773558</v>
      </c>
      <c r="I13" s="1111">
        <f>G13/G54</f>
        <v>0.1932750568664921</v>
      </c>
      <c r="J13" s="1109">
        <v>1805</v>
      </c>
      <c r="K13" s="1110">
        <v>8250546</v>
      </c>
      <c r="L13" s="1110">
        <f>K13/J13</f>
        <v>4570.9396121883656</v>
      </c>
      <c r="M13" s="1111">
        <f>K13/K54</f>
        <v>0.23499311515737728</v>
      </c>
      <c r="N13" s="1109">
        <v>1051</v>
      </c>
      <c r="O13" s="1110">
        <v>3948988</v>
      </c>
      <c r="P13" s="1110">
        <f>O13/N13</f>
        <v>3757.3625118934347</v>
      </c>
      <c r="Q13" s="1111">
        <f>O13/O54</f>
        <v>0.16744700714384786</v>
      </c>
      <c r="R13" s="1109">
        <v>1081</v>
      </c>
      <c r="S13" s="1112">
        <v>4034212</v>
      </c>
      <c r="T13" s="1112">
        <f>S13/R13</f>
        <v>3731.9259944495839</v>
      </c>
      <c r="U13" s="1111">
        <f>+S13/$S$54</f>
        <v>0.1731421830777217</v>
      </c>
      <c r="V13" s="1109"/>
      <c r="W13" s="1112"/>
      <c r="X13" s="1109" t="s">
        <v>1099</v>
      </c>
      <c r="Y13" s="1112"/>
      <c r="Z13" s="1109"/>
      <c r="AA13" s="1112"/>
    </row>
    <row r="14" spans="1:27" s="1113" customFormat="1" x14ac:dyDescent="0.25">
      <c r="A14" s="1108" t="s">
        <v>557</v>
      </c>
      <c r="B14" s="1109">
        <v>642</v>
      </c>
      <c r="C14" s="1110">
        <v>4776806</v>
      </c>
      <c r="D14" s="1110">
        <f>C14/B14</f>
        <v>7440.5077881619936</v>
      </c>
      <c r="E14" s="1111">
        <f>C14/C54</f>
        <v>0.11790641730441852</v>
      </c>
      <c r="F14" s="1109">
        <v>608</v>
      </c>
      <c r="G14" s="1110">
        <v>4141953</v>
      </c>
      <c r="H14" s="1110">
        <f>G14/F14</f>
        <v>6812.4226973684208</v>
      </c>
      <c r="I14" s="1111">
        <f>G14/G54</f>
        <v>0.10542873532240737</v>
      </c>
      <c r="J14" s="1109">
        <v>298</v>
      </c>
      <c r="K14" s="1110">
        <v>2128533</v>
      </c>
      <c r="L14" s="1110">
        <f>K14/J14</f>
        <v>7142.7281879194634</v>
      </c>
      <c r="M14" s="1111">
        <f>K14/K54</f>
        <v>6.0625151400316747E-2</v>
      </c>
      <c r="N14" s="1109">
        <v>267</v>
      </c>
      <c r="O14" s="1110">
        <v>1709733</v>
      </c>
      <c r="P14" s="1110">
        <f>O14/N14</f>
        <v>6403.4943820224717</v>
      </c>
      <c r="Q14" s="1111">
        <f>O14/O54</f>
        <v>7.2496972354707687E-2</v>
      </c>
      <c r="R14" s="1109">
        <v>293</v>
      </c>
      <c r="S14" s="1112">
        <v>2048045</v>
      </c>
      <c r="T14" s="1112">
        <f>S14/R14</f>
        <v>6989.9146757679182</v>
      </c>
      <c r="U14" s="1111">
        <f>+S14/$S$54</f>
        <v>8.7898945901061357E-2</v>
      </c>
      <c r="V14" s="1109">
        <v>363</v>
      </c>
      <c r="W14" s="1112">
        <v>2636320.4900000002</v>
      </c>
      <c r="X14" s="1112">
        <f>W14/V14</f>
        <v>7262.5908815427001</v>
      </c>
      <c r="Y14" s="1112"/>
      <c r="Z14" s="1109">
        <v>256</v>
      </c>
      <c r="AA14" s="1112">
        <v>1652500.49</v>
      </c>
    </row>
    <row r="15" spans="1:27" s="1113" customFormat="1" x14ac:dyDescent="0.25">
      <c r="A15" s="1108" t="s">
        <v>554</v>
      </c>
      <c r="B15" s="1109">
        <v>90</v>
      </c>
      <c r="C15" s="1110">
        <v>190198</v>
      </c>
      <c r="D15" s="1110">
        <f>C15/B15</f>
        <v>2113.3111111111111</v>
      </c>
      <c r="E15" s="1111">
        <f>C15/C54</f>
        <v>4.694677732038059E-3</v>
      </c>
      <c r="F15" s="1109">
        <v>78</v>
      </c>
      <c r="G15" s="1110">
        <v>159898</v>
      </c>
      <c r="H15" s="1110">
        <f>G15/F15</f>
        <v>2049.9743589743589</v>
      </c>
      <c r="I15" s="1111">
        <f>G15/G54</f>
        <v>4.0700229868813808E-3</v>
      </c>
      <c r="J15" s="1109">
        <v>98</v>
      </c>
      <c r="K15" s="1110">
        <v>198092</v>
      </c>
      <c r="L15" s="1110">
        <f>K15/J15</f>
        <v>2021.3469387755101</v>
      </c>
      <c r="M15" s="1111">
        <f>K15/K54</f>
        <v>5.6420818898234347E-3</v>
      </c>
      <c r="N15" s="1109">
        <v>141</v>
      </c>
      <c r="O15" s="1110">
        <v>257494</v>
      </c>
      <c r="P15" s="1110">
        <f>O15/N15</f>
        <v>1826.1985815602836</v>
      </c>
      <c r="Q15" s="1111">
        <f>O15/O54</f>
        <v>1.0918392169714863E-2</v>
      </c>
      <c r="R15" s="1109">
        <v>169</v>
      </c>
      <c r="S15" s="1112">
        <v>310231</v>
      </c>
      <c r="T15" s="1112">
        <f>S15/R15</f>
        <v>1835.6863905325445</v>
      </c>
      <c r="U15" s="1111">
        <f>+S15/$S$54</f>
        <v>1.3314638050351513E-2</v>
      </c>
      <c r="V15" s="1109">
        <v>188</v>
      </c>
      <c r="W15" s="1112">
        <v>344125</v>
      </c>
      <c r="X15" s="1112">
        <f>W15/V15</f>
        <v>1830.4521276595744</v>
      </c>
      <c r="Y15" s="1112"/>
      <c r="Z15" s="1109">
        <v>278</v>
      </c>
      <c r="AA15" s="1112">
        <v>443016</v>
      </c>
    </row>
    <row r="16" spans="1:27" s="1113" customFormat="1" x14ac:dyDescent="0.25">
      <c r="A16" s="1102" t="s">
        <v>1542</v>
      </c>
      <c r="B16" s="1104">
        <f>SUM(B12:B15)</f>
        <v>4647</v>
      </c>
      <c r="C16" s="1116">
        <f>SUM(C12:C15)</f>
        <v>20604696</v>
      </c>
      <c r="D16" s="1110">
        <f>C16/B16</f>
        <v>4433.9780503550674</v>
      </c>
      <c r="E16" s="1111">
        <f>C16/C54</f>
        <v>0.50858793197937768</v>
      </c>
      <c r="F16" s="1104">
        <f>SUM(F12:F15)</f>
        <v>4463</v>
      </c>
      <c r="G16" s="1116">
        <f>SUM(G12:G15)</f>
        <v>19027498</v>
      </c>
      <c r="H16" s="1110">
        <f>G16/F16</f>
        <v>4263.3874075733811</v>
      </c>
      <c r="I16" s="1111">
        <f>G16/G54</f>
        <v>0.48432347023001848</v>
      </c>
      <c r="J16" s="1104">
        <f>SUM(J12:J15)</f>
        <v>3911</v>
      </c>
      <c r="K16" s="1116">
        <f>SUM(K12:K15)</f>
        <v>17116241</v>
      </c>
      <c r="L16" s="1110">
        <f>K16/J16</f>
        <v>4376.4359498849399</v>
      </c>
      <c r="M16" s="1111">
        <f>K16/K54</f>
        <v>0.48750698346199423</v>
      </c>
      <c r="N16" s="1104">
        <f>SUM(N12:N15)</f>
        <v>2742</v>
      </c>
      <c r="O16" s="1116">
        <f>SUM(O12:O15)</f>
        <v>10633935</v>
      </c>
      <c r="P16" s="1110">
        <f>O16/N16</f>
        <v>3878.1673960612693</v>
      </c>
      <c r="Q16" s="1111">
        <f>O16/O54</f>
        <v>0.45090554590497961</v>
      </c>
      <c r="R16" s="1104">
        <f t="shared" ref="R16:AA16" si="7">SUM(R12:R15)</f>
        <v>2824</v>
      </c>
      <c r="S16" s="1117">
        <f t="shared" si="7"/>
        <v>10695413</v>
      </c>
      <c r="T16" s="1112">
        <f>S16/R16</f>
        <v>3787.3275495750709</v>
      </c>
      <c r="U16" s="1111">
        <f>+S16/$S$54</f>
        <v>0.45903069936281105</v>
      </c>
      <c r="V16" s="1104">
        <f t="shared" si="7"/>
        <v>2743</v>
      </c>
      <c r="W16" s="1117">
        <f t="shared" si="7"/>
        <v>10528264.26</v>
      </c>
      <c r="X16" s="1112">
        <f>W16/V16</f>
        <v>3838.2297703244622</v>
      </c>
      <c r="Y16" s="1117"/>
      <c r="Z16" s="1104">
        <f t="shared" si="7"/>
        <v>2856</v>
      </c>
      <c r="AA16" s="1117">
        <f t="shared" si="7"/>
        <v>10126901.85</v>
      </c>
    </row>
    <row r="17" spans="1:27" s="1113" customFormat="1" x14ac:dyDescent="0.25">
      <c r="A17" s="1250"/>
      <c r="B17" s="2249" t="s">
        <v>1438</v>
      </c>
      <c r="C17" s="2249"/>
      <c r="D17" s="2249"/>
      <c r="E17" s="2249"/>
      <c r="F17" s="2249" t="s">
        <v>1447</v>
      </c>
      <c r="G17" s="2249"/>
      <c r="H17" s="2249"/>
      <c r="I17" s="2249"/>
      <c r="J17" s="2249" t="s">
        <v>1446</v>
      </c>
      <c r="K17" s="2249"/>
      <c r="L17" s="2249"/>
      <c r="M17" s="2249"/>
      <c r="N17" s="2249" t="s">
        <v>615</v>
      </c>
      <c r="O17" s="2249"/>
      <c r="P17" s="2249"/>
      <c r="Q17" s="2249"/>
      <c r="R17" s="2249" t="s">
        <v>372</v>
      </c>
      <c r="S17" s="2249"/>
      <c r="T17" s="2249"/>
      <c r="U17" s="2249"/>
      <c r="V17" s="1119"/>
      <c r="W17" s="1120"/>
      <c r="X17" s="1112"/>
      <c r="Y17" s="1120"/>
      <c r="Z17" s="1119"/>
      <c r="AA17" s="1120"/>
    </row>
    <row r="18" spans="1:27" s="1113" customFormat="1" x14ac:dyDescent="0.25">
      <c r="A18" s="1102" t="s">
        <v>558</v>
      </c>
      <c r="B18" s="1102" t="s">
        <v>620</v>
      </c>
      <c r="C18" s="1102" t="s">
        <v>621</v>
      </c>
      <c r="D18" s="1104" t="s">
        <v>1420</v>
      </c>
      <c r="E18" s="1105" t="s">
        <v>1421</v>
      </c>
      <c r="F18" s="1102" t="s">
        <v>620</v>
      </c>
      <c r="G18" s="1102" t="s">
        <v>621</v>
      </c>
      <c r="H18" s="1104" t="s">
        <v>1420</v>
      </c>
      <c r="I18" s="1105" t="s">
        <v>1421</v>
      </c>
      <c r="J18" s="1102" t="s">
        <v>620</v>
      </c>
      <c r="K18" s="1102" t="s">
        <v>621</v>
      </c>
      <c r="L18" s="1104" t="s">
        <v>1420</v>
      </c>
      <c r="M18" s="1105" t="s">
        <v>1421</v>
      </c>
      <c r="N18" s="1102" t="s">
        <v>620</v>
      </c>
      <c r="O18" s="1102" t="s">
        <v>621</v>
      </c>
      <c r="P18" s="1104" t="s">
        <v>1420</v>
      </c>
      <c r="Q18" s="1105" t="s">
        <v>1421</v>
      </c>
      <c r="R18" s="1102" t="s">
        <v>620</v>
      </c>
      <c r="S18" s="1102" t="s">
        <v>621</v>
      </c>
      <c r="T18" s="1104" t="s">
        <v>1420</v>
      </c>
      <c r="U18" s="1105" t="s">
        <v>1421</v>
      </c>
      <c r="V18" s="1121" t="s">
        <v>1314</v>
      </c>
      <c r="W18" s="1122"/>
      <c r="X18" s="1112"/>
      <c r="Y18" s="1109"/>
      <c r="Z18" s="1121" t="s">
        <v>283</v>
      </c>
      <c r="AA18" s="1122"/>
    </row>
    <row r="19" spans="1:27" s="1113" customFormat="1" x14ac:dyDescent="0.25">
      <c r="A19" s="1108" t="s">
        <v>1543</v>
      </c>
      <c r="B19" s="1119">
        <v>336</v>
      </c>
      <c r="C19" s="1120">
        <v>398329</v>
      </c>
      <c r="D19" s="1110">
        <f>C19/B19</f>
        <v>1185.5029761904761</v>
      </c>
      <c r="E19" s="1111">
        <f>C19/C54</f>
        <v>9.8319976357532056E-3</v>
      </c>
      <c r="F19" s="1114">
        <v>344</v>
      </c>
      <c r="G19" s="1110">
        <v>630588</v>
      </c>
      <c r="H19" s="1110">
        <f>G19/F19</f>
        <v>1833.1046511627908</v>
      </c>
      <c r="I19" s="1111">
        <f>G19/G54</f>
        <v>1.6050905297449351E-2</v>
      </c>
      <c r="J19" s="1114">
        <v>352</v>
      </c>
      <c r="K19" s="1110">
        <v>525260</v>
      </c>
      <c r="L19" s="1110">
        <f>K19/J19</f>
        <v>1492.215909090909</v>
      </c>
      <c r="M19" s="1111">
        <f>K19/K54</f>
        <v>1.4960523057209062E-2</v>
      </c>
      <c r="N19" s="1109">
        <v>325</v>
      </c>
      <c r="O19" s="1110">
        <v>514089</v>
      </c>
      <c r="P19" s="1110">
        <f>O19/N19</f>
        <v>1581.8123076923077</v>
      </c>
      <c r="Q19" s="1111">
        <f>O19/O54</f>
        <v>2.1798664482032763E-2</v>
      </c>
      <c r="R19" s="1109">
        <v>277</v>
      </c>
      <c r="S19" s="1112">
        <v>373270</v>
      </c>
      <c r="T19" s="1112">
        <f>S19/R19</f>
        <v>1347.5451263537907</v>
      </c>
      <c r="U19" s="1111">
        <f>+S19/$S$54</f>
        <v>1.6020175111625561E-2</v>
      </c>
      <c r="V19" s="1109">
        <v>238</v>
      </c>
      <c r="W19" s="1112">
        <v>419694</v>
      </c>
      <c r="X19" s="1112">
        <f>W19/V19</f>
        <v>1763.420168067227</v>
      </c>
      <c r="Y19" s="1112"/>
      <c r="Z19" s="1109">
        <v>319</v>
      </c>
      <c r="AA19" s="1112">
        <v>369518</v>
      </c>
    </row>
    <row r="20" spans="1:27" s="1113" customFormat="1" x14ac:dyDescent="0.25">
      <c r="A20" s="1108" t="s">
        <v>559</v>
      </c>
      <c r="B20" s="1114">
        <v>142</v>
      </c>
      <c r="C20" s="1110">
        <v>161919</v>
      </c>
      <c r="D20" s="1110">
        <f>C20/B20</f>
        <v>1140.2746478873239</v>
      </c>
      <c r="E20" s="1111">
        <f>C20/C54</f>
        <v>3.9966641273508161E-3</v>
      </c>
      <c r="F20" s="1114">
        <v>155</v>
      </c>
      <c r="G20" s="1110">
        <v>161918</v>
      </c>
      <c r="H20" s="1110">
        <f>G20/F20</f>
        <v>1044.6322580645162</v>
      </c>
      <c r="I20" s="1111">
        <f>G20/G54</f>
        <v>4.1214398053125078E-3</v>
      </c>
      <c r="J20" s="1114">
        <v>131</v>
      </c>
      <c r="K20" s="1110">
        <v>164032</v>
      </c>
      <c r="L20" s="1110">
        <f>K20/J20</f>
        <v>1252.1526717557251</v>
      </c>
      <c r="M20" s="1111">
        <f>K20/K54</f>
        <v>4.6719805774666197E-3</v>
      </c>
      <c r="N20" s="1109">
        <v>117</v>
      </c>
      <c r="O20" s="1110">
        <v>170298</v>
      </c>
      <c r="P20" s="1110">
        <f>O20/N20</f>
        <v>1455.5384615384614</v>
      </c>
      <c r="Q20" s="1111">
        <f>O20/O54</f>
        <v>7.2210628197864873E-3</v>
      </c>
      <c r="R20" s="1109">
        <v>160</v>
      </c>
      <c r="S20" s="1112">
        <v>200758</v>
      </c>
      <c r="T20" s="1112">
        <f>S20/R20</f>
        <v>1254.7375</v>
      </c>
      <c r="U20" s="1111">
        <f>+S20/$S$54</f>
        <v>8.6162250249409919E-3</v>
      </c>
      <c r="V20" s="1109">
        <v>127</v>
      </c>
      <c r="W20" s="1112">
        <v>159069</v>
      </c>
      <c r="X20" s="1112">
        <f>W20/V20</f>
        <v>1252.5118110236222</v>
      </c>
      <c r="Y20" s="1112"/>
      <c r="Z20" s="1109">
        <v>188</v>
      </c>
      <c r="AA20" s="1112">
        <v>187513</v>
      </c>
    </row>
    <row r="21" spans="1:27" s="1113" customFormat="1" x14ac:dyDescent="0.25">
      <c r="A21" s="1102" t="s">
        <v>1542</v>
      </c>
      <c r="B21" s="1104">
        <f>SUM(B19:B20)</f>
        <v>478</v>
      </c>
      <c r="C21" s="1116">
        <f>SUM(C19:C20)</f>
        <v>560248</v>
      </c>
      <c r="D21" s="1110">
        <f>C21/B21</f>
        <v>1172.0669456066946</v>
      </c>
      <c r="E21" s="1111">
        <f>C21/C54</f>
        <v>1.3828661763104022E-2</v>
      </c>
      <c r="F21" s="1104">
        <f>F19+F20</f>
        <v>499</v>
      </c>
      <c r="G21" s="1116">
        <v>792506</v>
      </c>
      <c r="H21" s="1110">
        <f>G21/F21</f>
        <v>1588.1883767535071</v>
      </c>
      <c r="I21" s="1111">
        <f>G21/G54</f>
        <v>2.0172345102761856E-2</v>
      </c>
      <c r="J21" s="1104">
        <f>J19+J20</f>
        <v>483</v>
      </c>
      <c r="K21" s="1116">
        <f>SUM(K19:K20)</f>
        <v>689292</v>
      </c>
      <c r="L21" s="1110">
        <f>K21/J21</f>
        <v>1427.1055900621118</v>
      </c>
      <c r="M21" s="1111">
        <f>K21/K54</f>
        <v>1.9632503634675683E-2</v>
      </c>
      <c r="N21" s="1104">
        <f>SUM(N19:N20)</f>
        <v>442</v>
      </c>
      <c r="O21" s="1116">
        <v>684387</v>
      </c>
      <c r="P21" s="1110">
        <f>O21/N21</f>
        <v>1548.3868778280544</v>
      </c>
      <c r="Q21" s="1111">
        <f>O21/O54</f>
        <v>2.9019727301819249E-2</v>
      </c>
      <c r="R21" s="1104">
        <f t="shared" ref="R21:AA21" si="8">SUM(R19:R20)</f>
        <v>437</v>
      </c>
      <c r="S21" s="1117">
        <f t="shared" si="8"/>
        <v>574028</v>
      </c>
      <c r="T21" s="1112">
        <f>S21/R21</f>
        <v>1313.5652173913043</v>
      </c>
      <c r="U21" s="1111">
        <f>+S21/$S$54</f>
        <v>2.4636400136566552E-2</v>
      </c>
      <c r="V21" s="1104">
        <f t="shared" si="8"/>
        <v>365</v>
      </c>
      <c r="W21" s="1117">
        <f t="shared" si="8"/>
        <v>578763</v>
      </c>
      <c r="X21" s="1112">
        <f>W21/V21</f>
        <v>1585.6520547945206</v>
      </c>
      <c r="Y21" s="1117"/>
      <c r="Z21" s="1104">
        <f t="shared" si="8"/>
        <v>507</v>
      </c>
      <c r="AA21" s="1117">
        <f t="shared" si="8"/>
        <v>557031</v>
      </c>
    </row>
    <row r="22" spans="1:27" s="1113" customFormat="1" x14ac:dyDescent="0.25">
      <c r="A22" s="1250"/>
      <c r="B22" s="2249" t="s">
        <v>1438</v>
      </c>
      <c r="C22" s="2249"/>
      <c r="D22" s="2249"/>
      <c r="E22" s="2249"/>
      <c r="F22" s="2249" t="s">
        <v>1447</v>
      </c>
      <c r="G22" s="2249"/>
      <c r="H22" s="2249"/>
      <c r="I22" s="2249"/>
      <c r="J22" s="2249" t="s">
        <v>1446</v>
      </c>
      <c r="K22" s="2249"/>
      <c r="L22" s="2249"/>
      <c r="M22" s="2249"/>
      <c r="N22" s="2249" t="s">
        <v>615</v>
      </c>
      <c r="O22" s="2249"/>
      <c r="P22" s="2249"/>
      <c r="Q22" s="2249"/>
      <c r="R22" s="2249" t="s">
        <v>372</v>
      </c>
      <c r="S22" s="2249"/>
      <c r="T22" s="2249"/>
      <c r="U22" s="2249"/>
      <c r="V22" s="1119"/>
      <c r="W22" s="1120"/>
      <c r="X22" s="1112"/>
      <c r="Y22" s="1120"/>
      <c r="Z22" s="1119"/>
      <c r="AA22" s="1120"/>
    </row>
    <row r="23" spans="1:27" s="1113" customFormat="1" x14ac:dyDescent="0.25">
      <c r="A23" s="1102" t="s">
        <v>560</v>
      </c>
      <c r="B23" s="1102" t="s">
        <v>620</v>
      </c>
      <c r="C23" s="1102" t="s">
        <v>621</v>
      </c>
      <c r="D23" s="1104" t="s">
        <v>1420</v>
      </c>
      <c r="E23" s="1105" t="s">
        <v>1421</v>
      </c>
      <c r="F23" s="1102" t="s">
        <v>620</v>
      </c>
      <c r="G23" s="1102" t="s">
        <v>621</v>
      </c>
      <c r="H23" s="1104" t="s">
        <v>1420</v>
      </c>
      <c r="I23" s="1105" t="s">
        <v>1421</v>
      </c>
      <c r="J23" s="1102" t="s">
        <v>620</v>
      </c>
      <c r="K23" s="1102" t="s">
        <v>621</v>
      </c>
      <c r="L23" s="1104" t="s">
        <v>1420</v>
      </c>
      <c r="M23" s="1105" t="s">
        <v>1421</v>
      </c>
      <c r="N23" s="1102" t="s">
        <v>620</v>
      </c>
      <c r="O23" s="1102" t="s">
        <v>621</v>
      </c>
      <c r="P23" s="1104" t="s">
        <v>1420</v>
      </c>
      <c r="Q23" s="1105" t="s">
        <v>1421</v>
      </c>
      <c r="R23" s="1102" t="s">
        <v>620</v>
      </c>
      <c r="S23" s="1102" t="s">
        <v>621</v>
      </c>
      <c r="T23" s="1104" t="s">
        <v>1420</v>
      </c>
      <c r="U23" s="1105" t="s">
        <v>1421</v>
      </c>
      <c r="V23" s="1121" t="s">
        <v>1314</v>
      </c>
      <c r="W23" s="1122"/>
      <c r="X23" s="1112"/>
      <c r="Y23" s="1109"/>
      <c r="Z23" s="1121" t="s">
        <v>283</v>
      </c>
      <c r="AA23" s="1122"/>
    </row>
    <row r="24" spans="1:27" s="1113" customFormat="1" x14ac:dyDescent="0.25">
      <c r="A24" s="1108" t="s">
        <v>563</v>
      </c>
      <c r="B24" s="1109">
        <v>835</v>
      </c>
      <c r="C24" s="1110">
        <v>3992503</v>
      </c>
      <c r="D24" s="1110">
        <f t="shared" ref="D24:D35" si="9">C24/B24</f>
        <v>4781.4407185628743</v>
      </c>
      <c r="E24" s="1111">
        <f>C24/C54</f>
        <v>9.8547381829436412E-2</v>
      </c>
      <c r="F24" s="1109">
        <v>845</v>
      </c>
      <c r="G24" s="1110">
        <v>4045068</v>
      </c>
      <c r="H24" s="1110">
        <f t="shared" ref="H24:H35" si="10">G24/F24</f>
        <v>4787.0627218934915</v>
      </c>
      <c r="I24" s="1111">
        <f>G24/G54</f>
        <v>0.10296263707800156</v>
      </c>
      <c r="J24" s="1109">
        <v>740</v>
      </c>
      <c r="K24" s="1110">
        <v>3558088</v>
      </c>
      <c r="L24" s="1110">
        <f t="shared" ref="L24:L35" si="11">K24/J24</f>
        <v>4808.2270270270274</v>
      </c>
      <c r="M24" s="1111">
        <f>K24/K54</f>
        <v>0.10134192126485717</v>
      </c>
      <c r="N24" s="1109">
        <v>576</v>
      </c>
      <c r="O24" s="1110">
        <v>2731593</v>
      </c>
      <c r="P24" s="1110">
        <f t="shared" ref="P24:P35" si="12">O24/N24</f>
        <v>4742.348958333333</v>
      </c>
      <c r="Q24" s="1111">
        <f>O24/O54</f>
        <v>0.11582640225421925</v>
      </c>
      <c r="R24" s="1123">
        <v>590</v>
      </c>
      <c r="S24" s="1112">
        <v>2811112</v>
      </c>
      <c r="T24" s="1112">
        <f>S24/R24</f>
        <v>4764.5966101694912</v>
      </c>
      <c r="U24" s="1111">
        <f>+S24/$S$54</f>
        <v>0.12064860958124669</v>
      </c>
      <c r="V24" s="1123">
        <v>642</v>
      </c>
      <c r="W24" s="1112">
        <v>3040552.27</v>
      </c>
      <c r="X24" s="1112">
        <f>W24/V24</f>
        <v>4736.0627258566974</v>
      </c>
      <c r="Y24" s="1112"/>
      <c r="Z24" s="1123">
        <v>652</v>
      </c>
      <c r="AA24" s="1112">
        <v>3080063</v>
      </c>
    </row>
    <row r="25" spans="1:27" s="1113" customFormat="1" x14ac:dyDescent="0.25">
      <c r="A25" s="1108" t="s">
        <v>562</v>
      </c>
      <c r="B25" s="1109">
        <v>391</v>
      </c>
      <c r="C25" s="1110">
        <v>499398</v>
      </c>
      <c r="D25" s="1110">
        <f t="shared" si="9"/>
        <v>1277.23273657289</v>
      </c>
      <c r="E25" s="1111">
        <f>C25/C54</f>
        <v>1.2326694655171678E-2</v>
      </c>
      <c r="F25" s="1109">
        <v>515</v>
      </c>
      <c r="G25" s="1110">
        <v>751106</v>
      </c>
      <c r="H25" s="1110">
        <f t="shared" si="10"/>
        <v>1458.4582524271846</v>
      </c>
      <c r="I25" s="1111">
        <f>G25/G54</f>
        <v>1.9118554863628852E-2</v>
      </c>
      <c r="J25" s="1109">
        <v>411</v>
      </c>
      <c r="K25" s="1110">
        <v>689307</v>
      </c>
      <c r="L25" s="1110">
        <f t="shared" si="11"/>
        <v>1677.1459854014599</v>
      </c>
      <c r="M25" s="1111">
        <f>K25/K54</f>
        <v>1.9632930866610072E-2</v>
      </c>
      <c r="N25" s="1109">
        <v>316</v>
      </c>
      <c r="O25" s="1110">
        <v>518008</v>
      </c>
      <c r="P25" s="1110">
        <f t="shared" si="12"/>
        <v>1639.2658227848101</v>
      </c>
      <c r="Q25" s="1111">
        <f>O25/O54</f>
        <v>2.1964839922676477E-2</v>
      </c>
      <c r="R25" s="1123">
        <v>432</v>
      </c>
      <c r="S25" s="1112">
        <v>524665</v>
      </c>
      <c r="T25" s="1112">
        <f>S25/R25</f>
        <v>1214.5023148148148</v>
      </c>
      <c r="U25" s="1111">
        <f>+S25/$S$54</f>
        <v>2.2517815990947637E-2</v>
      </c>
      <c r="V25" s="1123">
        <v>478</v>
      </c>
      <c r="W25" s="1112">
        <v>541106</v>
      </c>
      <c r="X25" s="1112">
        <f>W25/V25</f>
        <v>1132.0209205020919</v>
      </c>
      <c r="Y25" s="1112"/>
      <c r="Z25" s="1123">
        <v>452</v>
      </c>
      <c r="AA25" s="1112">
        <v>486419</v>
      </c>
    </row>
    <row r="26" spans="1:27" s="1113" customFormat="1" x14ac:dyDescent="0.25">
      <c r="A26" s="1108" t="s">
        <v>564</v>
      </c>
      <c r="B26" s="1109">
        <v>251</v>
      </c>
      <c r="C26" s="1110">
        <v>650930</v>
      </c>
      <c r="D26" s="1110">
        <f t="shared" si="9"/>
        <v>2593.3466135458166</v>
      </c>
      <c r="E26" s="1111">
        <f>C26/C54</f>
        <v>1.606697534209368E-2</v>
      </c>
      <c r="F26" s="1109">
        <v>259</v>
      </c>
      <c r="G26" s="1110">
        <v>670200</v>
      </c>
      <c r="H26" s="1110">
        <f t="shared" si="10"/>
        <v>2587.6447876447878</v>
      </c>
      <c r="I26" s="1111">
        <f>G26/G54</f>
        <v>1.7059184016109653E-2</v>
      </c>
      <c r="J26" s="1109">
        <v>218</v>
      </c>
      <c r="K26" s="1110">
        <v>560700</v>
      </c>
      <c r="L26" s="1110">
        <f t="shared" si="11"/>
        <v>2572.0183486238534</v>
      </c>
      <c r="M26" s="1111">
        <f>K26/K54</f>
        <v>1.5969929707529834E-2</v>
      </c>
      <c r="N26" s="1109">
        <v>158</v>
      </c>
      <c r="O26" s="1110">
        <v>398300</v>
      </c>
      <c r="P26" s="1110">
        <f t="shared" si="12"/>
        <v>2520.8860759493673</v>
      </c>
      <c r="Q26" s="1111">
        <f>O26/O54</f>
        <v>1.6888920134828112E-2</v>
      </c>
      <c r="R26" s="1123">
        <v>188</v>
      </c>
      <c r="S26" s="1112">
        <v>458450</v>
      </c>
      <c r="T26" s="1112">
        <f>S26/R26</f>
        <v>2438.5638297872342</v>
      </c>
      <c r="U26" s="1111">
        <f>+S26/$S$54</f>
        <v>1.9675969887547187E-2</v>
      </c>
      <c r="V26" s="1123">
        <v>193</v>
      </c>
      <c r="W26" s="1112">
        <v>467725</v>
      </c>
      <c r="X26" s="1112">
        <f>W26/V26</f>
        <v>2423.4455958549224</v>
      </c>
      <c r="Y26" s="1112"/>
      <c r="Z26" s="1123">
        <v>221</v>
      </c>
      <c r="AA26" s="1112">
        <v>539035</v>
      </c>
    </row>
    <row r="27" spans="1:27" s="1113" customFormat="1" x14ac:dyDescent="0.25">
      <c r="A27" s="1108" t="s">
        <v>565</v>
      </c>
      <c r="B27" s="1109">
        <v>34</v>
      </c>
      <c r="C27" s="1110">
        <v>171421</v>
      </c>
      <c r="D27" s="1110">
        <f t="shared" si="9"/>
        <v>5041.7941176470586</v>
      </c>
      <c r="E27" s="1111">
        <f>C27/C54</f>
        <v>4.2312030174013193E-3</v>
      </c>
      <c r="F27" s="1109">
        <v>31</v>
      </c>
      <c r="G27" s="1110">
        <v>154811</v>
      </c>
      <c r="H27" s="1110">
        <f t="shared" si="10"/>
        <v>4993.9032258064517</v>
      </c>
      <c r="I27" s="1111">
        <f>G27/G54</f>
        <v>3.940539147594675E-3</v>
      </c>
      <c r="J27" s="1109">
        <v>31</v>
      </c>
      <c r="K27" s="1110">
        <v>153344</v>
      </c>
      <c r="L27" s="1110">
        <f t="shared" si="11"/>
        <v>4946.5806451612907</v>
      </c>
      <c r="M27" s="1111">
        <f>K27/K54</f>
        <v>4.3675635831486627E-3</v>
      </c>
      <c r="N27" s="1109">
        <v>45</v>
      </c>
      <c r="O27" s="1110">
        <v>228075</v>
      </c>
      <c r="P27" s="1110">
        <f t="shared" si="12"/>
        <v>5068.333333333333</v>
      </c>
      <c r="Q27" s="1111">
        <f>O27/O54</f>
        <v>9.6709526983452723E-3</v>
      </c>
      <c r="R27" s="1123">
        <v>52</v>
      </c>
      <c r="S27" s="1112">
        <v>288269</v>
      </c>
      <c r="T27" s="1112">
        <f>S27/R27</f>
        <v>5543.6346153846152</v>
      </c>
      <c r="U27" s="1111">
        <f>+S27/$S$54</f>
        <v>1.2372062740785996E-2</v>
      </c>
      <c r="V27" s="1123">
        <v>62</v>
      </c>
      <c r="W27" s="1112">
        <v>325045</v>
      </c>
      <c r="X27" s="1112">
        <f>W27/V27</f>
        <v>5242.6612903225805</v>
      </c>
      <c r="Y27" s="1112"/>
      <c r="Z27" s="1123">
        <v>77</v>
      </c>
      <c r="AA27" s="1112">
        <v>392742</v>
      </c>
    </row>
    <row r="28" spans="1:27" s="1113" customFormat="1" x14ac:dyDescent="0.25">
      <c r="A28" s="1108" t="s">
        <v>1423</v>
      </c>
      <c r="B28" s="1109">
        <v>48</v>
      </c>
      <c r="C28" s="1110">
        <v>347200</v>
      </c>
      <c r="D28" s="1110">
        <f t="shared" si="9"/>
        <v>7233.333333333333</v>
      </c>
      <c r="E28" s="1111">
        <f>C28/C54</f>
        <v>8.5699750184734542E-3</v>
      </c>
      <c r="F28" s="1109">
        <v>48</v>
      </c>
      <c r="G28" s="1110">
        <v>330160</v>
      </c>
      <c r="H28" s="1110">
        <f t="shared" si="10"/>
        <v>6878.333333333333</v>
      </c>
      <c r="I28" s="1111">
        <f>G28/G54</f>
        <v>8.4038498877331592E-3</v>
      </c>
      <c r="J28" s="1109">
        <v>42</v>
      </c>
      <c r="K28" s="1110">
        <v>291665</v>
      </c>
      <c r="L28" s="1110">
        <f t="shared" si="11"/>
        <v>6944.4047619047615</v>
      </c>
      <c r="M28" s="1111">
        <f>K28/K54</f>
        <v>8.3072401429404117E-3</v>
      </c>
      <c r="N28" s="1109">
        <v>33</v>
      </c>
      <c r="O28" s="1110">
        <v>226765</v>
      </c>
      <c r="P28" s="1110">
        <f t="shared" si="12"/>
        <v>6871.666666666667</v>
      </c>
      <c r="Q28" s="1111">
        <f>O28/O54</f>
        <v>9.615405408923668E-3</v>
      </c>
      <c r="R28" s="1123">
        <v>24</v>
      </c>
      <c r="S28" s="1112">
        <v>160400</v>
      </c>
      <c r="T28" s="1112">
        <f>S28/R28</f>
        <v>6683.333333333333</v>
      </c>
      <c r="U28" s="1111">
        <f>+S28/$S$54</f>
        <v>6.8841216489531438E-3</v>
      </c>
      <c r="V28" s="1123">
        <v>27</v>
      </c>
      <c r="W28" s="1112">
        <v>178939.99</v>
      </c>
      <c r="X28" s="1112">
        <f>W28/V28</f>
        <v>6627.4070370370364</v>
      </c>
      <c r="Y28" s="1112"/>
      <c r="Z28" s="1123">
        <v>24</v>
      </c>
      <c r="AA28" s="1112">
        <v>158602</v>
      </c>
    </row>
    <row r="29" spans="1:27" s="1113" customFormat="1" x14ac:dyDescent="0.25">
      <c r="A29" s="1108" t="s">
        <v>1424</v>
      </c>
      <c r="B29" s="1109">
        <v>109</v>
      </c>
      <c r="C29" s="1110">
        <v>268750</v>
      </c>
      <c r="D29" s="1110">
        <f t="shared" si="9"/>
        <v>2465.5963302752293</v>
      </c>
      <c r="E29" s="1111">
        <f>C29/C54</f>
        <v>6.6335852137521341E-3</v>
      </c>
      <c r="F29" s="1109">
        <v>95</v>
      </c>
      <c r="G29" s="1110">
        <v>229856</v>
      </c>
      <c r="H29" s="1110">
        <f t="shared" si="10"/>
        <v>2419.5368421052631</v>
      </c>
      <c r="I29" s="1111">
        <f>G29/G54</f>
        <v>5.8507248600520746E-3</v>
      </c>
      <c r="J29" s="1109">
        <v>101</v>
      </c>
      <c r="K29" s="1110">
        <v>242981</v>
      </c>
      <c r="L29" s="1110">
        <f t="shared" si="11"/>
        <v>2405.7524752475247</v>
      </c>
      <c r="M29" s="1111">
        <f>K29/K54</f>
        <v>6.920616176681482E-3</v>
      </c>
      <c r="N29" s="1109">
        <v>87</v>
      </c>
      <c r="O29" s="1110">
        <v>211237</v>
      </c>
      <c r="P29" s="1110">
        <f t="shared" si="12"/>
        <v>2428.0114942528735</v>
      </c>
      <c r="Q29" s="1111">
        <f>O29/O54</f>
        <v>8.956979217978122E-3</v>
      </c>
      <c r="R29" s="1123" t="s">
        <v>1099</v>
      </c>
      <c r="S29" s="1123" t="s">
        <v>1099</v>
      </c>
      <c r="T29" s="1123" t="s">
        <v>1099</v>
      </c>
      <c r="U29" s="1123" t="s">
        <v>1099</v>
      </c>
      <c r="V29" s="1123"/>
      <c r="W29" s="1112"/>
      <c r="X29" s="1112"/>
      <c r="Y29" s="1112"/>
      <c r="Z29" s="1123"/>
      <c r="AA29" s="1112"/>
    </row>
    <row r="30" spans="1:27" s="1113" customFormat="1" x14ac:dyDescent="0.25">
      <c r="A30" s="1108" t="s">
        <v>566</v>
      </c>
      <c r="B30" s="1109">
        <v>44</v>
      </c>
      <c r="C30" s="1110">
        <v>182667</v>
      </c>
      <c r="D30" s="1110">
        <f t="shared" si="9"/>
        <v>4151.522727272727</v>
      </c>
      <c r="E30" s="1111">
        <f>C30/C54</f>
        <v>4.5087892474063671E-3</v>
      </c>
      <c r="F30" s="1109">
        <v>47</v>
      </c>
      <c r="G30" s="1110">
        <v>187769</v>
      </c>
      <c r="H30" s="1110">
        <f t="shared" si="10"/>
        <v>3995.0851063829787</v>
      </c>
      <c r="I30" s="1111">
        <f>G30/G54</f>
        <v>4.7794478118783849E-3</v>
      </c>
      <c r="J30" s="1109">
        <v>55</v>
      </c>
      <c r="K30" s="1110">
        <v>213774</v>
      </c>
      <c r="L30" s="1110">
        <f t="shared" si="11"/>
        <v>3886.8</v>
      </c>
      <c r="M30" s="1111">
        <f>K30/K54</f>
        <v>6.0887386361645852E-3</v>
      </c>
      <c r="N30" s="1109">
        <v>55</v>
      </c>
      <c r="O30" s="1110">
        <v>204079</v>
      </c>
      <c r="P30" s="1110">
        <f t="shared" si="12"/>
        <v>3710.5272727272727</v>
      </c>
      <c r="Q30" s="1111">
        <f>O30/O54</f>
        <v>8.6534620441767168E-3</v>
      </c>
      <c r="R30" s="1123">
        <v>42</v>
      </c>
      <c r="S30" s="1112">
        <v>180522</v>
      </c>
      <c r="T30" s="1112">
        <f>S30/R30</f>
        <v>4298.1428571428569</v>
      </c>
      <c r="U30" s="1111">
        <f>+S30/$S$54</f>
        <v>7.7477269844907692E-3</v>
      </c>
      <c r="V30" s="1123">
        <v>42</v>
      </c>
      <c r="W30" s="1112">
        <v>171353</v>
      </c>
      <c r="X30" s="1112">
        <f>W30/V30</f>
        <v>4079.8333333333335</v>
      </c>
      <c r="Y30" s="1112"/>
      <c r="Z30" s="1123">
        <v>47</v>
      </c>
      <c r="AA30" s="1112">
        <v>197365</v>
      </c>
    </row>
    <row r="31" spans="1:27" s="1113" customFormat="1" x14ac:dyDescent="0.25">
      <c r="A31" s="1108" t="s">
        <v>561</v>
      </c>
      <c r="B31" s="1114">
        <v>23</v>
      </c>
      <c r="C31" s="1110">
        <v>91693</v>
      </c>
      <c r="D31" s="1110">
        <f t="shared" si="9"/>
        <v>3986.6521739130435</v>
      </c>
      <c r="E31" s="1111">
        <f>C31/C54</f>
        <v>2.2632682009472538E-3</v>
      </c>
      <c r="F31" s="1114">
        <v>23</v>
      </c>
      <c r="G31" s="1110">
        <v>83220</v>
      </c>
      <c r="H31" s="1110">
        <f t="shared" si="10"/>
        <v>3618.2608695652175</v>
      </c>
      <c r="I31" s="1111">
        <f>G31/G54</f>
        <v>2.1182711038804018E-3</v>
      </c>
      <c r="J31" s="1114">
        <v>23</v>
      </c>
      <c r="K31" s="1110">
        <v>71506</v>
      </c>
      <c r="L31" s="1110">
        <f t="shared" si="11"/>
        <v>3108.9565217391305</v>
      </c>
      <c r="M31" s="1111">
        <f>K31/K54</f>
        <v>2.0366431133701235E-3</v>
      </c>
      <c r="N31" s="1109">
        <v>17</v>
      </c>
      <c r="O31" s="1110">
        <v>48344</v>
      </c>
      <c r="P31" s="1110">
        <f t="shared" si="12"/>
        <v>2843.7647058823532</v>
      </c>
      <c r="Q31" s="1111">
        <f>O31/O54</f>
        <v>2.0499069922122275E-3</v>
      </c>
      <c r="R31" s="1109">
        <v>19</v>
      </c>
      <c r="S31" s="1112">
        <v>58443</v>
      </c>
      <c r="T31" s="1112">
        <f>S31/R31</f>
        <v>3075.9473684210525</v>
      </c>
      <c r="U31" s="1111">
        <f>+S31/$S$54</f>
        <v>2.5082838000609013E-3</v>
      </c>
      <c r="V31" s="1109">
        <v>16</v>
      </c>
      <c r="W31" s="1112">
        <v>48657.82</v>
      </c>
      <c r="X31" s="1112">
        <f>W31/V31</f>
        <v>3041.11375</v>
      </c>
      <c r="Y31" s="1112"/>
      <c r="Z31" s="1109">
        <v>12</v>
      </c>
      <c r="AA31" s="1112">
        <v>23835</v>
      </c>
    </row>
    <row r="32" spans="1:27" s="1113" customFormat="1" x14ac:dyDescent="0.25">
      <c r="A32" s="1108" t="s">
        <v>1425</v>
      </c>
      <c r="B32" s="1109">
        <v>22</v>
      </c>
      <c r="C32" s="1110">
        <v>54150</v>
      </c>
      <c r="D32" s="1110">
        <f t="shared" si="9"/>
        <v>2461.3636363636365</v>
      </c>
      <c r="E32" s="1111">
        <f>C32/C54</f>
        <v>1.3365902858592672E-3</v>
      </c>
      <c r="F32" s="1109">
        <v>15</v>
      </c>
      <c r="G32" s="1110">
        <v>33608</v>
      </c>
      <c r="H32" s="1110">
        <f t="shared" si="10"/>
        <v>2240.5333333333333</v>
      </c>
      <c r="I32" s="1111">
        <f>G32/G54</f>
        <v>8.5545368011550758E-4</v>
      </c>
      <c r="J32" s="1109">
        <v>12</v>
      </c>
      <c r="K32" s="1110">
        <v>28450</v>
      </c>
      <c r="L32" s="1110">
        <f t="shared" si="11"/>
        <v>2370.8333333333335</v>
      </c>
      <c r="M32" s="1111">
        <f>K32/K54</f>
        <v>8.1031656889463848E-4</v>
      </c>
      <c r="N32" s="1109">
        <v>10</v>
      </c>
      <c r="O32" s="1110">
        <v>23967</v>
      </c>
      <c r="P32" s="1110">
        <f t="shared" si="12"/>
        <v>2396.6999999999998</v>
      </c>
      <c r="Q32" s="1111">
        <f>O32/O54</f>
        <v>1.016260981349298E-3</v>
      </c>
      <c r="R32" s="1123" t="s">
        <v>1099</v>
      </c>
      <c r="S32" s="1123" t="s">
        <v>1099</v>
      </c>
      <c r="T32" s="1123" t="s">
        <v>1099</v>
      </c>
      <c r="U32" s="1123" t="s">
        <v>1099</v>
      </c>
      <c r="V32" s="1123"/>
      <c r="W32" s="1112"/>
      <c r="X32" s="1112"/>
      <c r="Y32" s="1112"/>
      <c r="Z32" s="1123"/>
      <c r="AA32" s="1112"/>
    </row>
    <row r="33" spans="1:256" s="1113" customFormat="1" x14ac:dyDescent="0.25">
      <c r="A33" s="1108" t="s">
        <v>1426</v>
      </c>
      <c r="B33" s="1109">
        <v>19</v>
      </c>
      <c r="C33" s="1110">
        <v>77846</v>
      </c>
      <c r="D33" s="1110">
        <f t="shared" si="9"/>
        <v>4097.1578947368425</v>
      </c>
      <c r="E33" s="1111">
        <f>C33/C54</f>
        <v>1.9214812076269717E-3</v>
      </c>
      <c r="F33" s="1109">
        <v>15</v>
      </c>
      <c r="G33" s="1110">
        <v>58595</v>
      </c>
      <c r="H33" s="1110">
        <f t="shared" si="10"/>
        <v>3906.3333333333335</v>
      </c>
      <c r="I33" s="1111">
        <f>G33/G54</f>
        <v>1.4914695425603478E-3</v>
      </c>
      <c r="J33" s="1109">
        <v>17</v>
      </c>
      <c r="K33" s="1110">
        <v>65200</v>
      </c>
      <c r="L33" s="1110">
        <f t="shared" si="11"/>
        <v>3835.294117647059</v>
      </c>
      <c r="M33" s="1111">
        <f>K33/K54</f>
        <v>1.8570348081522118E-3</v>
      </c>
      <c r="N33" s="1109">
        <v>11</v>
      </c>
      <c r="O33" s="1110">
        <v>23337</v>
      </c>
      <c r="P33" s="1110">
        <f t="shared" si="12"/>
        <v>2121.5454545454545</v>
      </c>
      <c r="Q33" s="1111">
        <f>O33/O54</f>
        <v>9.895473994137175E-4</v>
      </c>
      <c r="R33" s="1123" t="s">
        <v>1099</v>
      </c>
      <c r="S33" s="1123" t="s">
        <v>1099</v>
      </c>
      <c r="T33" s="1123" t="s">
        <v>1099</v>
      </c>
      <c r="U33" s="1123" t="s">
        <v>1099</v>
      </c>
      <c r="V33" s="1123"/>
      <c r="W33" s="1112"/>
      <c r="X33" s="1112"/>
      <c r="Y33" s="1112"/>
      <c r="Z33" s="1123"/>
      <c r="AA33" s="1112"/>
    </row>
    <row r="34" spans="1:256" s="1113" customFormat="1" x14ac:dyDescent="0.25">
      <c r="A34" s="1108" t="s">
        <v>1427</v>
      </c>
      <c r="B34" s="1109">
        <v>4</v>
      </c>
      <c r="C34" s="1110">
        <v>4000</v>
      </c>
      <c r="D34" s="1110">
        <f t="shared" si="9"/>
        <v>1000</v>
      </c>
      <c r="E34" s="1111">
        <f>C34/C54</f>
        <v>9.8732431088403855E-5</v>
      </c>
      <c r="F34" s="1109">
        <v>7</v>
      </c>
      <c r="G34" s="1110">
        <v>7000</v>
      </c>
      <c r="H34" s="1110">
        <f t="shared" si="10"/>
        <v>1000</v>
      </c>
      <c r="I34" s="1111">
        <f>G34/G54</f>
        <v>1.7817709357321332E-4</v>
      </c>
      <c r="J34" s="1109">
        <v>11</v>
      </c>
      <c r="K34" s="1110">
        <v>10000</v>
      </c>
      <c r="L34" s="1110">
        <f t="shared" si="11"/>
        <v>909.09090909090912</v>
      </c>
      <c r="M34" s="1111">
        <f>K34/K54</f>
        <v>2.8482128959389752E-4</v>
      </c>
      <c r="N34" s="1109">
        <v>3</v>
      </c>
      <c r="O34" s="1110">
        <v>5857</v>
      </c>
      <c r="P34" s="1110">
        <f t="shared" si="12"/>
        <v>1952.3333333333333</v>
      </c>
      <c r="Q34" s="1111">
        <f>O34/O54</f>
        <v>2.4835150697888087E-4</v>
      </c>
      <c r="R34" s="1124" t="s">
        <v>1099</v>
      </c>
      <c r="S34" s="1123" t="s">
        <v>1099</v>
      </c>
      <c r="T34" s="1123" t="s">
        <v>1099</v>
      </c>
      <c r="U34" s="1123" t="s">
        <v>1099</v>
      </c>
      <c r="V34" s="1123"/>
      <c r="W34" s="1112"/>
      <c r="X34" s="1112"/>
      <c r="Y34" s="1112"/>
      <c r="Z34" s="1123"/>
      <c r="AA34" s="1112"/>
    </row>
    <row r="35" spans="1:256" s="1113" customFormat="1" x14ac:dyDescent="0.25">
      <c r="A35" s="1102" t="s">
        <v>1542</v>
      </c>
      <c r="B35" s="1104">
        <f>SUM(B24:B34)</f>
        <v>1780</v>
      </c>
      <c r="C35" s="1125">
        <f>SUM(C24:C34)</f>
        <v>6340558</v>
      </c>
      <c r="D35" s="1110">
        <f t="shared" si="9"/>
        <v>3562.1112359550561</v>
      </c>
      <c r="E35" s="1111">
        <f>C35/C54</f>
        <v>0.15650467644925695</v>
      </c>
      <c r="F35" s="1104">
        <f>SUM(F24:F34)</f>
        <v>1900</v>
      </c>
      <c r="G35" s="1116">
        <f>SUM(G24:G34)</f>
        <v>6551393</v>
      </c>
      <c r="H35" s="1110">
        <f t="shared" si="10"/>
        <v>3448.1015789473686</v>
      </c>
      <c r="I35" s="1111">
        <f>G35/G54</f>
        <v>0.16675830908512781</v>
      </c>
      <c r="J35" s="1104">
        <f>SUM(J24:J34)</f>
        <v>1661</v>
      </c>
      <c r="K35" s="1116">
        <f>SUM(K24:K34)</f>
        <v>5885015</v>
      </c>
      <c r="L35" s="1110">
        <f t="shared" si="11"/>
        <v>3543.0553883202888</v>
      </c>
      <c r="M35" s="1111">
        <f>K35/K54</f>
        <v>0.16761775615794308</v>
      </c>
      <c r="N35" s="1104">
        <f>SUM(N24:N34)</f>
        <v>1311</v>
      </c>
      <c r="O35" s="1116">
        <f>SUM(O24:O34)</f>
        <v>4619562</v>
      </c>
      <c r="P35" s="1110">
        <f t="shared" si="12"/>
        <v>3523.6933638443934</v>
      </c>
      <c r="Q35" s="1111">
        <f>O35/O54</f>
        <v>0.19588102856110173</v>
      </c>
      <c r="R35" s="1104">
        <f t="shared" ref="R35:AA35" si="13">SUM(R24:R34)</f>
        <v>1347</v>
      </c>
      <c r="S35" s="1116">
        <f t="shared" si="13"/>
        <v>4481861</v>
      </c>
      <c r="T35" s="1112">
        <f>S35/R35</f>
        <v>3327.2910170749815</v>
      </c>
      <c r="U35" s="1111">
        <f>+S35/$S$54</f>
        <v>0.19235459063403232</v>
      </c>
      <c r="V35" s="1104">
        <f t="shared" si="13"/>
        <v>1460</v>
      </c>
      <c r="W35" s="1116">
        <f t="shared" si="13"/>
        <v>4773379.08</v>
      </c>
      <c r="X35" s="1112">
        <f>W35/V35</f>
        <v>3269.4377260273973</v>
      </c>
      <c r="Y35" s="1116"/>
      <c r="Z35" s="1104">
        <f t="shared" si="13"/>
        <v>1485</v>
      </c>
      <c r="AA35" s="1116">
        <f t="shared" si="13"/>
        <v>4878061</v>
      </c>
    </row>
    <row r="36" spans="1:256" s="1113" customFormat="1" x14ac:dyDescent="0.25">
      <c r="A36" s="1250"/>
      <c r="B36" s="2249" t="s">
        <v>1438</v>
      </c>
      <c r="C36" s="2249"/>
      <c r="D36" s="2249"/>
      <c r="E36" s="2249"/>
      <c r="F36" s="2249" t="s">
        <v>1447</v>
      </c>
      <c r="G36" s="2249"/>
      <c r="H36" s="2249"/>
      <c r="I36" s="2249"/>
      <c r="J36" s="2249" t="s">
        <v>1446</v>
      </c>
      <c r="K36" s="2249"/>
      <c r="L36" s="2249"/>
      <c r="M36" s="2249"/>
      <c r="N36" s="2249" t="s">
        <v>615</v>
      </c>
      <c r="O36" s="2249"/>
      <c r="P36" s="2249"/>
      <c r="Q36" s="2249"/>
      <c r="R36" s="2249" t="s">
        <v>372</v>
      </c>
      <c r="S36" s="2249"/>
      <c r="T36" s="2249"/>
      <c r="U36" s="2249"/>
      <c r="V36" s="1119"/>
      <c r="W36" s="1120"/>
      <c r="X36" s="1112"/>
      <c r="Y36" s="1120"/>
      <c r="Z36" s="1119"/>
      <c r="AA36" s="1120"/>
    </row>
    <row r="37" spans="1:256" s="1113" customFormat="1" x14ac:dyDescent="0.25">
      <c r="A37" s="1102" t="s">
        <v>567</v>
      </c>
      <c r="B37" s="1102" t="s">
        <v>620</v>
      </c>
      <c r="C37" s="1102" t="s">
        <v>621</v>
      </c>
      <c r="D37" s="1104" t="s">
        <v>1420</v>
      </c>
      <c r="E37" s="1105" t="s">
        <v>1421</v>
      </c>
      <c r="F37" s="1102" t="s">
        <v>620</v>
      </c>
      <c r="G37" s="1102" t="s">
        <v>621</v>
      </c>
      <c r="H37" s="1104" t="s">
        <v>1420</v>
      </c>
      <c r="I37" s="1105" t="s">
        <v>1421</v>
      </c>
      <c r="J37" s="1102" t="s">
        <v>620</v>
      </c>
      <c r="K37" s="1102" t="s">
        <v>621</v>
      </c>
      <c r="L37" s="1104" t="s">
        <v>1420</v>
      </c>
      <c r="M37" s="1105" t="s">
        <v>1421</v>
      </c>
      <c r="N37" s="1102" t="s">
        <v>620</v>
      </c>
      <c r="O37" s="1102" t="s">
        <v>621</v>
      </c>
      <c r="P37" s="1104" t="s">
        <v>1420</v>
      </c>
      <c r="Q37" s="1105" t="s">
        <v>1421</v>
      </c>
      <c r="R37" s="1102" t="s">
        <v>620</v>
      </c>
      <c r="S37" s="1102" t="s">
        <v>621</v>
      </c>
      <c r="T37" s="1104" t="s">
        <v>1420</v>
      </c>
      <c r="U37" s="1105" t="s">
        <v>1421</v>
      </c>
      <c r="V37" s="1121" t="s">
        <v>1314</v>
      </c>
      <c r="W37" s="1122"/>
      <c r="X37" s="1112"/>
      <c r="Y37" s="1109"/>
      <c r="Z37" s="1121" t="s">
        <v>283</v>
      </c>
      <c r="AA37" s="1122"/>
    </row>
    <row r="38" spans="1:256" s="1113" customFormat="1" x14ac:dyDescent="0.25">
      <c r="A38" s="1108" t="s">
        <v>568</v>
      </c>
      <c r="B38" s="1109">
        <v>554</v>
      </c>
      <c r="C38" s="1110">
        <v>1669782</v>
      </c>
      <c r="D38" s="1110">
        <f>C38/B38</f>
        <v>3014.0469314079423</v>
      </c>
      <c r="E38" s="1111">
        <f>C38/C54</f>
        <v>4.1215409061914295E-2</v>
      </c>
      <c r="F38" s="1109">
        <v>573</v>
      </c>
      <c r="G38" s="1110">
        <v>1622368</v>
      </c>
      <c r="H38" s="1110">
        <f>G38/F38</f>
        <v>2831.3577661431063</v>
      </c>
      <c r="I38" s="1111">
        <f>G38/G54</f>
        <v>4.1295544992312423E-2</v>
      </c>
      <c r="J38" s="1109">
        <v>489</v>
      </c>
      <c r="K38" s="1110">
        <v>1255499</v>
      </c>
      <c r="L38" s="1110">
        <f>K38/J38</f>
        <v>2567.4826175869121</v>
      </c>
      <c r="M38" s="1111">
        <f>K38/K54</f>
        <v>3.5759284426384874E-2</v>
      </c>
      <c r="N38" s="1109">
        <v>245</v>
      </c>
      <c r="O38" s="1110">
        <v>654268</v>
      </c>
      <c r="P38" s="1110">
        <f>O38/N38</f>
        <v>2670.4816326530613</v>
      </c>
      <c r="Q38" s="1111">
        <f>O38/O54</f>
        <v>2.7742606072743457E-2</v>
      </c>
      <c r="R38" s="1114">
        <v>169</v>
      </c>
      <c r="S38" s="1115">
        <v>478934</v>
      </c>
      <c r="T38" s="1112">
        <f>S38/R38</f>
        <v>2833.9289940828403</v>
      </c>
      <c r="U38" s="1111">
        <f>+S38/$S$54</f>
        <v>2.0555111707105517E-2</v>
      </c>
      <c r="V38" s="1114">
        <v>203</v>
      </c>
      <c r="W38" s="1115">
        <v>525999</v>
      </c>
      <c r="X38" s="1112">
        <f>W38/V38</f>
        <v>2591.1280788177341</v>
      </c>
      <c r="Y38" s="1115"/>
      <c r="Z38" s="1114">
        <v>109</v>
      </c>
      <c r="AA38" s="1115">
        <v>300093</v>
      </c>
    </row>
    <row r="39" spans="1:256" s="1113" customFormat="1" x14ac:dyDescent="0.25">
      <c r="A39" s="1108" t="s">
        <v>1544</v>
      </c>
      <c r="B39" s="1109">
        <v>86</v>
      </c>
      <c r="C39" s="1110">
        <v>676701</v>
      </c>
      <c r="D39" s="1110">
        <f>C39/B39</f>
        <v>7868.6162790697672</v>
      </c>
      <c r="E39" s="1111">
        <f>C39/C54</f>
        <v>1.6703083712488496E-2</v>
      </c>
      <c r="F39" s="1109">
        <v>79</v>
      </c>
      <c r="G39" s="1110">
        <v>628660</v>
      </c>
      <c r="H39" s="1110">
        <f>G39/F39</f>
        <v>7957.7215189873414</v>
      </c>
      <c r="I39" s="1111">
        <f>G39/G54</f>
        <v>1.6001830235105183E-2</v>
      </c>
      <c r="J39" s="1109">
        <v>77</v>
      </c>
      <c r="K39" s="1110">
        <v>571740</v>
      </c>
      <c r="L39" s="1110">
        <f>K39/J39</f>
        <v>7425.1948051948048</v>
      </c>
      <c r="M39" s="1111">
        <f>K39/K54</f>
        <v>1.6284372411241498E-2</v>
      </c>
      <c r="N39" s="1109">
        <v>78</v>
      </c>
      <c r="O39" s="1110">
        <v>518035</v>
      </c>
      <c r="P39" s="1110">
        <f>O39/N39</f>
        <v>6641.4743589743593</v>
      </c>
      <c r="Q39" s="1111">
        <f>O39/O54</f>
        <v>2.1965984790473715E-2</v>
      </c>
      <c r="R39" s="1114">
        <v>78</v>
      </c>
      <c r="S39" s="1115">
        <v>475314</v>
      </c>
      <c r="T39" s="1112">
        <f>S39/R39</f>
        <v>6093.7692307692305</v>
      </c>
      <c r="U39" s="1111">
        <f>+S39/$S$54</f>
        <v>2.039974686689847E-2</v>
      </c>
      <c r="V39" s="1114"/>
      <c r="W39" s="1115"/>
      <c r="X39" s="1109" t="s">
        <v>1099</v>
      </c>
      <c r="Y39" s="1115"/>
      <c r="Z39" s="1114"/>
      <c r="AA39" s="1115"/>
    </row>
    <row r="40" spans="1:256" s="1113" customFormat="1" x14ac:dyDescent="0.25">
      <c r="A40" s="1108" t="s">
        <v>1545</v>
      </c>
      <c r="B40" s="1109">
        <v>124</v>
      </c>
      <c r="C40" s="1110">
        <v>979607</v>
      </c>
      <c r="D40" s="1110">
        <f>C40/B40</f>
        <v>7900.0564516129034</v>
      </c>
      <c r="E40" s="1111">
        <f>C40/C54</f>
        <v>2.4179745155304511E-2</v>
      </c>
      <c r="F40" s="1109">
        <v>111</v>
      </c>
      <c r="G40" s="1110">
        <v>856014</v>
      </c>
      <c r="H40" s="1110">
        <f>G40/F40</f>
        <v>7711.8378378378375</v>
      </c>
      <c r="I40" s="1111">
        <f>G40/G54</f>
        <v>2.1788869511140091E-2</v>
      </c>
      <c r="J40" s="1109">
        <v>123</v>
      </c>
      <c r="K40" s="1110">
        <v>879089</v>
      </c>
      <c r="L40" s="1110">
        <f>K40/J40</f>
        <v>7147.0650406504064</v>
      </c>
      <c r="M40" s="1111">
        <f>K40/K54</f>
        <v>2.5038326264780978E-2</v>
      </c>
      <c r="N40" s="1109">
        <v>54</v>
      </c>
      <c r="O40" s="1110">
        <v>330110</v>
      </c>
      <c r="P40" s="1110">
        <f>O40/N40</f>
        <v>6113.1481481481478</v>
      </c>
      <c r="Q40" s="1111">
        <f>O40/O54</f>
        <v>1.3997492909134089E-2</v>
      </c>
      <c r="R40" s="1114">
        <v>47</v>
      </c>
      <c r="S40" s="1115">
        <v>265058</v>
      </c>
      <c r="T40" s="1112">
        <f>S40/R40</f>
        <v>5639.5319148936169</v>
      </c>
      <c r="U40" s="1111">
        <f>+S40/$S$54</f>
        <v>1.1375882269502632E-2</v>
      </c>
      <c r="V40" s="1114">
        <v>125</v>
      </c>
      <c r="W40" s="1115">
        <v>756595.5</v>
      </c>
      <c r="X40" s="1112">
        <f>W40/V40</f>
        <v>6052.7640000000001</v>
      </c>
      <c r="Y40" s="1115"/>
      <c r="Z40" s="1114">
        <v>123</v>
      </c>
      <c r="AA40" s="1115">
        <v>738505.5</v>
      </c>
    </row>
    <row r="41" spans="1:256" s="1126" customFormat="1" ht="13.8" thickBot="1" x14ac:dyDescent="0.3">
      <c r="A41" s="1102" t="s">
        <v>1542</v>
      </c>
      <c r="B41" s="1104">
        <f>SUM(B38:B40)</f>
        <v>764</v>
      </c>
      <c r="C41" s="1116">
        <f>SUM(C38:C40)</f>
        <v>3326090</v>
      </c>
      <c r="D41" s="1110">
        <f>C41/B41</f>
        <v>4353.5209424083769</v>
      </c>
      <c r="E41" s="1111">
        <f>C41/C54</f>
        <v>8.2098237929707302E-2</v>
      </c>
      <c r="F41" s="1104">
        <f>SUM(F38:F40)</f>
        <v>763</v>
      </c>
      <c r="G41" s="1116">
        <f>SUM(G38:G40)</f>
        <v>3107042</v>
      </c>
      <c r="H41" s="1110">
        <f>G41/F41</f>
        <v>4072.1389252948884</v>
      </c>
      <c r="I41" s="1111">
        <f>G41/G54</f>
        <v>7.9086244738557701E-2</v>
      </c>
      <c r="J41" s="1104">
        <f>SUM(J38:J40)</f>
        <v>689</v>
      </c>
      <c r="K41" s="1116">
        <f>SUM(K38:K40)</f>
        <v>2706328</v>
      </c>
      <c r="L41" s="1110">
        <f>K41/J41</f>
        <v>3927.9071117561684</v>
      </c>
      <c r="M41" s="1111">
        <f>K41/K54</f>
        <v>7.7081983102407353E-2</v>
      </c>
      <c r="N41" s="1104">
        <f>SUM(N38:N40)</f>
        <v>377</v>
      </c>
      <c r="O41" s="1116">
        <f>SUM(O38:O40)</f>
        <v>1502413</v>
      </c>
      <c r="P41" s="1110">
        <f>O41/N41</f>
        <v>3985.1803713527852</v>
      </c>
      <c r="Q41" s="1111">
        <f>O41/O54</f>
        <v>6.3706083772351263E-2</v>
      </c>
      <c r="R41" s="1104">
        <f t="shared" ref="R41:AA41" si="14">SUM(R38:R40)</f>
        <v>294</v>
      </c>
      <c r="S41" s="1117">
        <f t="shared" si="14"/>
        <v>1219306</v>
      </c>
      <c r="T41" s="1112">
        <f>S41/R41</f>
        <v>4147.2993197278911</v>
      </c>
      <c r="U41" s="1111">
        <f>+S41/$S$54</f>
        <v>5.2330740843506619E-2</v>
      </c>
      <c r="V41" s="1104">
        <f t="shared" si="14"/>
        <v>328</v>
      </c>
      <c r="W41" s="1117">
        <f t="shared" si="14"/>
        <v>1282594.5</v>
      </c>
      <c r="X41" s="1112">
        <f>W41/V41</f>
        <v>3910.3490853658536</v>
      </c>
      <c r="Y41" s="1117"/>
      <c r="Z41" s="1104">
        <f t="shared" si="14"/>
        <v>232</v>
      </c>
      <c r="AA41" s="1117">
        <f t="shared" si="14"/>
        <v>1038598.5</v>
      </c>
      <c r="AB41" s="1113"/>
      <c r="AC41" s="1113"/>
      <c r="AD41" s="1113"/>
      <c r="AE41" s="1113"/>
      <c r="AF41" s="1113"/>
      <c r="AG41" s="1113"/>
      <c r="AH41" s="1113"/>
      <c r="AI41" s="1113"/>
      <c r="AJ41" s="1113"/>
      <c r="AK41" s="1113"/>
      <c r="AL41" s="1113"/>
      <c r="AM41" s="1113"/>
      <c r="AN41" s="1113"/>
      <c r="AO41" s="1113"/>
      <c r="AP41" s="1113"/>
      <c r="AQ41" s="1113"/>
      <c r="AR41" s="1113"/>
      <c r="AS41" s="1113"/>
      <c r="AT41" s="1113"/>
      <c r="AU41" s="1113"/>
      <c r="AV41" s="1113"/>
      <c r="AW41" s="1113"/>
      <c r="AX41" s="1113"/>
      <c r="AY41" s="1113"/>
      <c r="AZ41" s="1113"/>
      <c r="BA41" s="1113"/>
      <c r="BB41" s="1113"/>
      <c r="BC41" s="1113"/>
      <c r="BD41" s="1113"/>
      <c r="BE41" s="1113"/>
      <c r="BF41" s="1113"/>
      <c r="BG41" s="1113"/>
      <c r="BH41" s="1113"/>
      <c r="BI41" s="1113"/>
      <c r="BJ41" s="1113"/>
      <c r="BK41" s="1113"/>
      <c r="BL41" s="1113"/>
      <c r="BM41" s="1113"/>
      <c r="BN41" s="1113"/>
      <c r="BO41" s="1113"/>
      <c r="BP41" s="1113"/>
      <c r="BQ41" s="1113"/>
      <c r="BR41" s="1113"/>
      <c r="BS41" s="1113"/>
      <c r="BT41" s="1113"/>
      <c r="BU41" s="1113"/>
      <c r="BV41" s="1113"/>
      <c r="BW41" s="1113"/>
      <c r="BX41" s="1113"/>
      <c r="BY41" s="1113"/>
      <c r="BZ41" s="1113"/>
      <c r="CA41" s="1113"/>
      <c r="CB41" s="1113"/>
      <c r="CC41" s="1113"/>
      <c r="CD41" s="1113"/>
      <c r="CE41" s="1113"/>
      <c r="CF41" s="1113"/>
      <c r="CG41" s="1113"/>
      <c r="CH41" s="1113"/>
      <c r="CI41" s="1113"/>
      <c r="CJ41" s="1113"/>
      <c r="CK41" s="1113"/>
      <c r="CL41" s="1113"/>
      <c r="CM41" s="1113"/>
      <c r="CN41" s="1113"/>
      <c r="CO41" s="1113"/>
      <c r="CP41" s="1113"/>
      <c r="CQ41" s="1113"/>
      <c r="CR41" s="1113"/>
      <c r="CS41" s="1113"/>
      <c r="CT41" s="1113"/>
      <c r="CU41" s="1113"/>
      <c r="CV41" s="1113"/>
      <c r="CW41" s="1113"/>
      <c r="CX41" s="1113"/>
      <c r="CY41" s="1113"/>
      <c r="CZ41" s="1113"/>
      <c r="DA41" s="1113"/>
      <c r="DB41" s="1113"/>
      <c r="DC41" s="1113"/>
      <c r="DD41" s="1113"/>
      <c r="DE41" s="1113"/>
      <c r="DF41" s="1113"/>
      <c r="DG41" s="1113"/>
      <c r="DH41" s="1113"/>
      <c r="DI41" s="1113"/>
      <c r="DJ41" s="1113"/>
      <c r="DK41" s="1113"/>
      <c r="DL41" s="1113"/>
      <c r="DM41" s="1113"/>
      <c r="DN41" s="1113"/>
      <c r="DO41" s="1113"/>
      <c r="DP41" s="1113"/>
      <c r="DQ41" s="1113"/>
      <c r="DR41" s="1113"/>
      <c r="DS41" s="1113"/>
      <c r="DT41" s="1113"/>
      <c r="DU41" s="1113"/>
      <c r="DV41" s="1113"/>
      <c r="DW41" s="1113"/>
      <c r="DX41" s="1113"/>
      <c r="DY41" s="1113"/>
      <c r="DZ41" s="1113"/>
      <c r="EA41" s="1113"/>
      <c r="EB41" s="1113"/>
      <c r="EC41" s="1113"/>
      <c r="ED41" s="1113"/>
      <c r="EE41" s="1113"/>
      <c r="EF41" s="1113"/>
      <c r="EG41" s="1113"/>
      <c r="EH41" s="1113"/>
      <c r="EI41" s="1113"/>
      <c r="EJ41" s="1113"/>
      <c r="EK41" s="1113"/>
      <c r="EL41" s="1113"/>
      <c r="EM41" s="1113"/>
      <c r="EN41" s="1113"/>
      <c r="EO41" s="1113"/>
      <c r="EP41" s="1113"/>
      <c r="EQ41" s="1113"/>
      <c r="ER41" s="1113"/>
      <c r="ES41" s="1113"/>
      <c r="ET41" s="1113"/>
      <c r="EU41" s="1113"/>
      <c r="EV41" s="1113"/>
      <c r="EW41" s="1113"/>
      <c r="EX41" s="1113"/>
      <c r="EY41" s="1113"/>
      <c r="EZ41" s="1113"/>
      <c r="FA41" s="1113"/>
      <c r="FB41" s="1113"/>
      <c r="FC41" s="1113"/>
      <c r="FD41" s="1113"/>
      <c r="FE41" s="1113"/>
      <c r="FF41" s="1113"/>
      <c r="FG41" s="1113"/>
      <c r="FH41" s="1113"/>
      <c r="FI41" s="1113"/>
      <c r="FJ41" s="1113"/>
      <c r="FK41" s="1113"/>
      <c r="FL41" s="1113"/>
      <c r="FM41" s="1113"/>
      <c r="FN41" s="1113"/>
      <c r="FO41" s="1113"/>
      <c r="FP41" s="1113"/>
      <c r="FQ41" s="1113"/>
      <c r="FR41" s="1113"/>
      <c r="FS41" s="1113"/>
      <c r="FT41" s="1113"/>
      <c r="FU41" s="1113"/>
      <c r="FV41" s="1113"/>
      <c r="FW41" s="1113"/>
      <c r="FX41" s="1113"/>
      <c r="FY41" s="1113"/>
      <c r="FZ41" s="1113"/>
      <c r="GA41" s="1113"/>
      <c r="GB41" s="1113"/>
      <c r="GC41" s="1113"/>
      <c r="GD41" s="1113"/>
      <c r="GE41" s="1113"/>
      <c r="GF41" s="1113"/>
      <c r="GG41" s="1113"/>
      <c r="GH41" s="1113"/>
      <c r="GI41" s="1113"/>
      <c r="GJ41" s="1113"/>
      <c r="GK41" s="1113"/>
      <c r="GL41" s="1113"/>
      <c r="GM41" s="1113"/>
      <c r="GN41" s="1113"/>
      <c r="GO41" s="1113"/>
      <c r="GP41" s="1113"/>
      <c r="GQ41" s="1113"/>
      <c r="GR41" s="1113"/>
      <c r="GS41" s="1113"/>
      <c r="GT41" s="1113"/>
      <c r="GU41" s="1113"/>
      <c r="GV41" s="1113"/>
      <c r="GW41" s="1113"/>
      <c r="GX41" s="1113"/>
      <c r="GY41" s="1113"/>
      <c r="GZ41" s="1113"/>
      <c r="HA41" s="1113"/>
      <c r="HB41" s="1113"/>
      <c r="HC41" s="1113"/>
      <c r="HD41" s="1113"/>
      <c r="HE41" s="1113"/>
      <c r="HF41" s="1113"/>
      <c r="HG41" s="1113"/>
      <c r="HH41" s="1113"/>
      <c r="HI41" s="1113"/>
      <c r="HJ41" s="1113"/>
      <c r="HK41" s="1113"/>
      <c r="HL41" s="1113"/>
      <c r="HM41" s="1113"/>
      <c r="HN41" s="1113"/>
      <c r="HO41" s="1113"/>
      <c r="HP41" s="1113"/>
      <c r="HQ41" s="1113"/>
      <c r="HR41" s="1113"/>
      <c r="HS41" s="1113"/>
      <c r="HT41" s="1113"/>
      <c r="HU41" s="1113"/>
      <c r="HV41" s="1113"/>
      <c r="HW41" s="1113"/>
      <c r="HX41" s="1113"/>
      <c r="HY41" s="1113"/>
      <c r="HZ41" s="1113"/>
      <c r="IA41" s="1113"/>
      <c r="IB41" s="1113"/>
      <c r="IC41" s="1113"/>
      <c r="ID41" s="1113"/>
      <c r="IE41" s="1113"/>
      <c r="IF41" s="1113"/>
      <c r="IG41" s="1113"/>
      <c r="IH41" s="1113"/>
      <c r="II41" s="1113"/>
      <c r="IJ41" s="1113"/>
      <c r="IK41" s="1113"/>
      <c r="IL41" s="1113"/>
      <c r="IM41" s="1113"/>
      <c r="IN41" s="1113"/>
      <c r="IO41" s="1113"/>
      <c r="IP41" s="1113"/>
      <c r="IQ41" s="1113"/>
      <c r="IR41" s="1113"/>
      <c r="IS41" s="1113"/>
      <c r="IT41" s="1113"/>
      <c r="IU41" s="1113"/>
      <c r="IV41" s="1113"/>
    </row>
    <row r="42" spans="1:256" s="1113" customFormat="1" x14ac:dyDescent="0.25">
      <c r="A42" s="1118"/>
      <c r="B42" s="2250" t="s">
        <v>1438</v>
      </c>
      <c r="C42" s="2250"/>
      <c r="D42" s="2250"/>
      <c r="E42" s="2250"/>
      <c r="F42" s="2250" t="s">
        <v>1447</v>
      </c>
      <c r="G42" s="2250"/>
      <c r="H42" s="2250"/>
      <c r="I42" s="2250"/>
      <c r="J42" s="2250" t="s">
        <v>1446</v>
      </c>
      <c r="K42" s="2250"/>
      <c r="L42" s="2250"/>
      <c r="M42" s="2250"/>
      <c r="N42" s="2250" t="s">
        <v>615</v>
      </c>
      <c r="O42" s="2250"/>
      <c r="P42" s="2250"/>
      <c r="Q42" s="2250"/>
      <c r="R42" s="2250" t="s">
        <v>372</v>
      </c>
      <c r="S42" s="2250"/>
      <c r="T42" s="2250"/>
      <c r="U42" s="2250"/>
      <c r="V42" s="1119"/>
      <c r="W42" s="1120"/>
      <c r="X42" s="1112"/>
      <c r="Y42" s="1120"/>
      <c r="Z42" s="1119"/>
      <c r="AA42" s="1120"/>
    </row>
    <row r="43" spans="1:256" s="1113" customFormat="1" x14ac:dyDescent="0.25">
      <c r="A43" s="1102" t="s">
        <v>569</v>
      </c>
      <c r="B43" s="1102" t="s">
        <v>620</v>
      </c>
      <c r="C43" s="1102" t="s">
        <v>621</v>
      </c>
      <c r="D43" s="1104" t="s">
        <v>1420</v>
      </c>
      <c r="E43" s="1105" t="s">
        <v>1421</v>
      </c>
      <c r="F43" s="1102" t="s">
        <v>620</v>
      </c>
      <c r="G43" s="1102" t="s">
        <v>621</v>
      </c>
      <c r="H43" s="1104" t="s">
        <v>1420</v>
      </c>
      <c r="I43" s="1105" t="s">
        <v>1421</v>
      </c>
      <c r="J43" s="1102" t="s">
        <v>620</v>
      </c>
      <c r="K43" s="1102" t="s">
        <v>621</v>
      </c>
      <c r="L43" s="1104" t="s">
        <v>1420</v>
      </c>
      <c r="M43" s="1105" t="s">
        <v>1421</v>
      </c>
      <c r="N43" s="1102" t="s">
        <v>620</v>
      </c>
      <c r="O43" s="1102" t="s">
        <v>621</v>
      </c>
      <c r="P43" s="1104" t="s">
        <v>1420</v>
      </c>
      <c r="Q43" s="1105" t="s">
        <v>1421</v>
      </c>
      <c r="R43" s="1102" t="s">
        <v>620</v>
      </c>
      <c r="S43" s="1102" t="s">
        <v>621</v>
      </c>
      <c r="T43" s="1104" t="s">
        <v>1420</v>
      </c>
      <c r="U43" s="1105" t="s">
        <v>1421</v>
      </c>
      <c r="V43" s="1121" t="s">
        <v>1314</v>
      </c>
      <c r="W43" s="1122"/>
      <c r="X43" s="1112"/>
      <c r="Y43" s="1109"/>
      <c r="Z43" s="1121" t="s">
        <v>283</v>
      </c>
      <c r="AA43" s="1122"/>
    </row>
    <row r="44" spans="1:256" s="1113" customFormat="1" x14ac:dyDescent="0.25">
      <c r="A44" s="1108" t="s">
        <v>571</v>
      </c>
      <c r="B44" s="1109">
        <v>172</v>
      </c>
      <c r="C44" s="1110">
        <v>930946</v>
      </c>
      <c r="D44" s="1110">
        <f>C44/B44</f>
        <v>5412.4767441860467</v>
      </c>
      <c r="E44" s="1111">
        <f>C44/C54</f>
        <v>2.2978640448006304E-2</v>
      </c>
      <c r="F44" s="1109">
        <v>174</v>
      </c>
      <c r="G44" s="1110">
        <v>889168</v>
      </c>
      <c r="H44" s="1110">
        <f>G44/F44</f>
        <v>5110.1609195402298</v>
      </c>
      <c r="I44" s="1111">
        <f>G44/G54</f>
        <v>2.263276713404385E-2</v>
      </c>
      <c r="J44" s="1109">
        <v>166</v>
      </c>
      <c r="K44" s="1110">
        <v>863849</v>
      </c>
      <c r="L44" s="1110">
        <f>K44/J44</f>
        <v>5203.9096385542171</v>
      </c>
      <c r="M44" s="1111">
        <f>K44/K54</f>
        <v>2.4604258619439878E-2</v>
      </c>
      <c r="N44" s="1109">
        <v>166</v>
      </c>
      <c r="O44" s="1110">
        <v>722695</v>
      </c>
      <c r="P44" s="1110">
        <f>O44/N44</f>
        <v>4353.5843373493972</v>
      </c>
      <c r="Q44" s="1111">
        <f>O44/O54</f>
        <v>3.0644082693546581E-2</v>
      </c>
      <c r="R44" s="1109">
        <v>154</v>
      </c>
      <c r="S44" s="1112">
        <v>685453</v>
      </c>
      <c r="T44" s="1112">
        <f>S44/R44</f>
        <v>4450.9935064935062</v>
      </c>
      <c r="U44" s="1111">
        <f>+S44/$S$54</f>
        <v>2.9418590003989272E-2</v>
      </c>
      <c r="V44" s="1109">
        <v>151</v>
      </c>
      <c r="W44" s="1112">
        <v>556564.51</v>
      </c>
      <c r="X44" s="1112">
        <f>W44/V44</f>
        <v>3685.8576821192055</v>
      </c>
      <c r="Y44" s="1112"/>
      <c r="Z44" s="1109">
        <v>143</v>
      </c>
      <c r="AA44" s="1112">
        <v>504629.84</v>
      </c>
    </row>
    <row r="45" spans="1:256" s="1113" customFormat="1" x14ac:dyDescent="0.25">
      <c r="A45" s="1108" t="s">
        <v>570</v>
      </c>
      <c r="B45" s="1109">
        <v>511</v>
      </c>
      <c r="C45" s="1110">
        <v>408645</v>
      </c>
      <c r="D45" s="1110">
        <f>C45/B45</f>
        <v>799.69667318982385</v>
      </c>
      <c r="E45" s="1111">
        <f>C45/C54</f>
        <v>1.0086628575530198E-2</v>
      </c>
      <c r="F45" s="1109">
        <v>431</v>
      </c>
      <c r="G45" s="1110">
        <v>382580</v>
      </c>
      <c r="H45" s="1110">
        <f>G45/F45</f>
        <v>887.65661252900236</v>
      </c>
      <c r="I45" s="1111">
        <f>G45/G54</f>
        <v>9.7381417798914228E-3</v>
      </c>
      <c r="J45" s="1109">
        <v>491</v>
      </c>
      <c r="K45" s="1110">
        <v>374487</v>
      </c>
      <c r="L45" s="1110">
        <f>K45/J45</f>
        <v>762.70264765784111</v>
      </c>
      <c r="M45" s="1111">
        <f>K45/K54</f>
        <v>1.0666187027614991E-2</v>
      </c>
      <c r="N45" s="1109">
        <v>539</v>
      </c>
      <c r="O45" s="1110">
        <v>559435</v>
      </c>
      <c r="P45" s="1110">
        <f>O45/N45</f>
        <v>1037.9128014842302</v>
      </c>
      <c r="Q45" s="1111">
        <f>O45/O54</f>
        <v>2.3721448746240433E-2</v>
      </c>
      <c r="R45" s="1109">
        <v>396</v>
      </c>
      <c r="S45" s="1112">
        <v>582815</v>
      </c>
      <c r="T45" s="1112">
        <f>S45/R45</f>
        <v>1471.7550505050506</v>
      </c>
      <c r="U45" s="1111">
        <f>+S45/$S$54</f>
        <v>2.5013524681013879E-2</v>
      </c>
      <c r="V45" s="1109">
        <v>440</v>
      </c>
      <c r="W45" s="1112">
        <v>541676</v>
      </c>
      <c r="X45" s="1112">
        <f>W45/V45</f>
        <v>1231.0818181818181</v>
      </c>
      <c r="Y45" s="1112"/>
      <c r="Z45" s="1109">
        <v>554</v>
      </c>
      <c r="AA45" s="1112">
        <v>508497.59</v>
      </c>
    </row>
    <row r="46" spans="1:256" s="1113" customFormat="1" x14ac:dyDescent="0.25">
      <c r="A46" s="1102" t="s">
        <v>1542</v>
      </c>
      <c r="B46" s="1104">
        <f>SUM(B44:B45)</f>
        <v>683</v>
      </c>
      <c r="C46" s="1116">
        <f>SUM(C44:C45)</f>
        <v>1339591</v>
      </c>
      <c r="D46" s="1110">
        <f>C46/B46</f>
        <v>1961.3338213762811</v>
      </c>
      <c r="E46" s="1111">
        <f>C46/C54</f>
        <v>3.30652690235365E-2</v>
      </c>
      <c r="F46" s="1104">
        <f>SUM(F43:F45)</f>
        <v>605</v>
      </c>
      <c r="G46" s="1116">
        <f>SUM(G43:G45)</f>
        <v>1271748</v>
      </c>
      <c r="H46" s="1110">
        <f>G46/F46</f>
        <v>2102.0628099173555</v>
      </c>
      <c r="I46" s="1111">
        <f>G46/G54</f>
        <v>3.2370908913935272E-2</v>
      </c>
      <c r="J46" s="1104">
        <f>SUM(J43:J45)</f>
        <v>657</v>
      </c>
      <c r="K46" s="1116">
        <f>SUM(K43:K45)</f>
        <v>1238336</v>
      </c>
      <c r="L46" s="1110">
        <f>K46/J46</f>
        <v>1884.8340943683409</v>
      </c>
      <c r="M46" s="1111">
        <f>K46/K54</f>
        <v>3.5270445647054872E-2</v>
      </c>
      <c r="N46" s="1104">
        <f>SUM(N43:N45)</f>
        <v>705</v>
      </c>
      <c r="O46" s="1116">
        <f>SUM(O43:O45)</f>
        <v>1282130</v>
      </c>
      <c r="P46" s="1110">
        <f>O46/N46</f>
        <v>1818.6241134751774</v>
      </c>
      <c r="Q46" s="1111">
        <f>O46/O54</f>
        <v>5.4365531439787014E-2</v>
      </c>
      <c r="R46" s="1104">
        <f t="shared" ref="R46:AA46" si="15">SUM(R44:R45)</f>
        <v>550</v>
      </c>
      <c r="S46" s="1117">
        <f t="shared" si="15"/>
        <v>1268268</v>
      </c>
      <c r="T46" s="1112">
        <f>S46/R46</f>
        <v>2305.9418181818182</v>
      </c>
      <c r="U46" s="1111">
        <f>+S46/$S$54</f>
        <v>5.4432114685003148E-2</v>
      </c>
      <c r="V46" s="1104">
        <f t="shared" si="15"/>
        <v>591</v>
      </c>
      <c r="W46" s="1117">
        <f t="shared" si="15"/>
        <v>1098240.51</v>
      </c>
      <c r="X46" s="1112">
        <f>W46/V46</f>
        <v>1858.2749746192894</v>
      </c>
      <c r="Y46" s="1117"/>
      <c r="Z46" s="1104">
        <f t="shared" si="15"/>
        <v>697</v>
      </c>
      <c r="AA46" s="1117">
        <f t="shared" si="15"/>
        <v>1013127.43</v>
      </c>
    </row>
    <row r="47" spans="1:256" s="1113" customFormat="1" x14ac:dyDescent="0.25">
      <c r="A47" s="1118"/>
      <c r="B47" s="2250" t="s">
        <v>1438</v>
      </c>
      <c r="C47" s="2250"/>
      <c r="D47" s="2250"/>
      <c r="E47" s="2250"/>
      <c r="F47" s="2250" t="s">
        <v>1447</v>
      </c>
      <c r="G47" s="2250"/>
      <c r="H47" s="2250"/>
      <c r="I47" s="2250"/>
      <c r="J47" s="2250" t="s">
        <v>1446</v>
      </c>
      <c r="K47" s="2250"/>
      <c r="L47" s="2250"/>
      <c r="M47" s="2250"/>
      <c r="N47" s="2250" t="s">
        <v>615</v>
      </c>
      <c r="O47" s="2250"/>
      <c r="P47" s="2250"/>
      <c r="Q47" s="2250"/>
      <c r="R47" s="2250" t="s">
        <v>372</v>
      </c>
      <c r="S47" s="2250"/>
      <c r="T47" s="2250"/>
      <c r="U47" s="2250"/>
      <c r="V47" s="1119"/>
      <c r="W47" s="1120"/>
      <c r="X47" s="1112"/>
      <c r="Y47" s="1120"/>
      <c r="Z47" s="1119"/>
      <c r="AA47" s="1120"/>
    </row>
    <row r="48" spans="1:256" s="1113" customFormat="1" x14ac:dyDescent="0.25">
      <c r="A48" s="1102" t="s">
        <v>572</v>
      </c>
      <c r="B48" s="1102" t="s">
        <v>620</v>
      </c>
      <c r="C48" s="1102" t="s">
        <v>621</v>
      </c>
      <c r="D48" s="1104" t="s">
        <v>1420</v>
      </c>
      <c r="E48" s="1105" t="s">
        <v>1421</v>
      </c>
      <c r="F48" s="1102" t="s">
        <v>620</v>
      </c>
      <c r="G48" s="1102" t="s">
        <v>621</v>
      </c>
      <c r="H48" s="1104" t="s">
        <v>1420</v>
      </c>
      <c r="I48" s="1105" t="s">
        <v>1421</v>
      </c>
      <c r="J48" s="1102" t="s">
        <v>620</v>
      </c>
      <c r="K48" s="1102" t="s">
        <v>621</v>
      </c>
      <c r="L48" s="1104" t="s">
        <v>1420</v>
      </c>
      <c r="M48" s="1105" t="s">
        <v>1421</v>
      </c>
      <c r="N48" s="1102" t="s">
        <v>620</v>
      </c>
      <c r="O48" s="1102" t="s">
        <v>621</v>
      </c>
      <c r="P48" s="1104" t="s">
        <v>1420</v>
      </c>
      <c r="Q48" s="1105" t="s">
        <v>1421</v>
      </c>
      <c r="R48" s="1102" t="s">
        <v>620</v>
      </c>
      <c r="S48" s="1102" t="s">
        <v>621</v>
      </c>
      <c r="T48" s="1104" t="s">
        <v>1420</v>
      </c>
      <c r="U48" s="1105" t="s">
        <v>1421</v>
      </c>
      <c r="V48" s="1121" t="s">
        <v>1314</v>
      </c>
      <c r="W48" s="1122"/>
      <c r="X48" s="1112"/>
      <c r="Y48" s="1109"/>
      <c r="Z48" s="1121" t="s">
        <v>283</v>
      </c>
      <c r="AA48" s="1122"/>
    </row>
    <row r="49" spans="1:27" s="1113" customFormat="1" x14ac:dyDescent="0.25">
      <c r="A49" s="1108" t="s">
        <v>575</v>
      </c>
      <c r="B49" s="1109">
        <v>126</v>
      </c>
      <c r="C49" s="1110">
        <v>1061084</v>
      </c>
      <c r="D49" s="1110">
        <f>C49/B49</f>
        <v>8421.3015873015866</v>
      </c>
      <c r="E49" s="1111">
        <f>C49/C54</f>
        <v>2.6190850727251979E-2</v>
      </c>
      <c r="F49" s="1109">
        <v>128</v>
      </c>
      <c r="G49" s="1110">
        <v>847302</v>
      </c>
      <c r="H49" s="1110">
        <f>G49/F49</f>
        <v>6619.546875</v>
      </c>
      <c r="I49" s="1111">
        <f>G49/G54</f>
        <v>2.1567115391252972E-2</v>
      </c>
      <c r="J49" s="1109">
        <v>86</v>
      </c>
      <c r="K49" s="1110">
        <v>642406</v>
      </c>
      <c r="L49" s="1110">
        <f>K49/J49</f>
        <v>7469.8372093023254</v>
      </c>
      <c r="M49" s="1111">
        <f>K49/K54</f>
        <v>1.8297090536285733E-2</v>
      </c>
      <c r="N49" s="1109">
        <v>215</v>
      </c>
      <c r="O49" s="1110">
        <v>1437281</v>
      </c>
      <c r="P49" s="1110">
        <f>O49/N49</f>
        <v>6685.0279069767439</v>
      </c>
      <c r="Q49" s="1111">
        <f>O49/O54</f>
        <v>6.0944323425322328E-2</v>
      </c>
      <c r="R49" s="1109">
        <v>249</v>
      </c>
      <c r="S49" s="1112">
        <v>1548078</v>
      </c>
      <c r="T49" s="1112">
        <f>S49/R49</f>
        <v>6217.1807228915659</v>
      </c>
      <c r="U49" s="1111">
        <f>+S49/$S$54</f>
        <v>6.6441130137581572E-2</v>
      </c>
      <c r="V49" s="1109">
        <v>195</v>
      </c>
      <c r="W49" s="1112">
        <v>1193643.8</v>
      </c>
      <c r="X49" s="1112">
        <f>W49/V49</f>
        <v>6121.250256410257</v>
      </c>
      <c r="Y49" s="1112"/>
      <c r="Z49" s="1109">
        <v>135</v>
      </c>
      <c r="AA49" s="1112">
        <v>670463.75</v>
      </c>
    </row>
    <row r="50" spans="1:27" s="1113" customFormat="1" x14ac:dyDescent="0.25">
      <c r="A50" s="1108" t="s">
        <v>573</v>
      </c>
      <c r="B50" s="1109">
        <v>248</v>
      </c>
      <c r="C50" s="1110">
        <v>498171</v>
      </c>
      <c r="D50" s="1110">
        <f>C50/B50</f>
        <v>2008.7540322580646</v>
      </c>
      <c r="E50" s="1111">
        <f>C50/C54</f>
        <v>1.2296408481935309E-2</v>
      </c>
      <c r="F50" s="1109">
        <v>260</v>
      </c>
      <c r="G50" s="1110">
        <v>499045</v>
      </c>
      <c r="H50" s="1110">
        <f>G50/F50</f>
        <v>1919.4038461538462</v>
      </c>
      <c r="I50" s="1111">
        <f>G50/G54</f>
        <v>1.2702626808892035E-2</v>
      </c>
      <c r="J50" s="1109">
        <v>267</v>
      </c>
      <c r="K50" s="1110">
        <v>512693</v>
      </c>
      <c r="L50" s="1110">
        <f>K50/J50</f>
        <v>1920.1985018726591</v>
      </c>
      <c r="M50" s="1111">
        <f>K50/K54</f>
        <v>1.460258814257641E-2</v>
      </c>
      <c r="N50" s="1109">
        <v>180</v>
      </c>
      <c r="O50" s="1110">
        <v>474265</v>
      </c>
      <c r="P50" s="1110">
        <f>O50/N50</f>
        <v>2634.8055555555557</v>
      </c>
      <c r="Q50" s="1111">
        <f>O50/O54</f>
        <v>2.0110026883616006E-2</v>
      </c>
      <c r="R50" s="1109">
        <v>236</v>
      </c>
      <c r="S50" s="1112">
        <v>418916</v>
      </c>
      <c r="T50" s="1112">
        <f>S50/R50</f>
        <v>1775.0677966101696</v>
      </c>
      <c r="U50" s="1111">
        <f>+S50/$S$54</f>
        <v>1.7979231326015307E-2</v>
      </c>
      <c r="V50" s="1109">
        <v>211</v>
      </c>
      <c r="W50" s="1112">
        <v>375827</v>
      </c>
      <c r="X50" s="1112">
        <f>W50/V50</f>
        <v>1781.170616113744</v>
      </c>
      <c r="Y50" s="1112"/>
      <c r="Z50" s="1109">
        <v>325</v>
      </c>
      <c r="AA50" s="1112">
        <v>611871.02</v>
      </c>
    </row>
    <row r="51" spans="1:27" s="1113" customFormat="1" x14ac:dyDescent="0.25">
      <c r="A51" s="1108" t="s">
        <v>574</v>
      </c>
      <c r="B51" s="1109">
        <v>16</v>
      </c>
      <c r="C51" s="1110">
        <v>66065</v>
      </c>
      <c r="D51" s="1110">
        <f>C51/B51</f>
        <v>4129.0625</v>
      </c>
      <c r="E51" s="1111">
        <f>C51/C54</f>
        <v>1.6306895149638503E-3</v>
      </c>
      <c r="F51" s="1109">
        <v>11</v>
      </c>
      <c r="G51" s="1110">
        <v>23547</v>
      </c>
      <c r="H51" s="1109" t="s">
        <v>1099</v>
      </c>
      <c r="I51" s="1127" t="s">
        <v>1099</v>
      </c>
      <c r="J51" s="1109" t="s">
        <v>1099</v>
      </c>
      <c r="K51" s="1109" t="s">
        <v>1099</v>
      </c>
      <c r="L51" s="1109" t="s">
        <v>1099</v>
      </c>
      <c r="M51" s="1127" t="s">
        <v>1099</v>
      </c>
      <c r="N51" s="1109">
        <v>15</v>
      </c>
      <c r="O51" s="1110">
        <v>51550</v>
      </c>
      <c r="P51" s="1110">
        <f>O51/N51</f>
        <v>3436.6666666666665</v>
      </c>
      <c r="Q51" s="1111">
        <f>O51/O54</f>
        <v>2.1858494425066261E-3</v>
      </c>
      <c r="R51" s="1109">
        <v>21</v>
      </c>
      <c r="S51" s="1112">
        <v>108273</v>
      </c>
      <c r="T51" s="1112">
        <f>S51/R51</f>
        <v>5155.8571428571431</v>
      </c>
      <c r="U51" s="1111">
        <f>+S51/$S$54</f>
        <v>4.6469108684358083E-3</v>
      </c>
      <c r="V51" s="1109"/>
      <c r="W51" s="1112"/>
      <c r="X51" s="1109" t="s">
        <v>1099</v>
      </c>
      <c r="Y51" s="1112"/>
      <c r="Z51" s="1109"/>
      <c r="AA51" s="1112"/>
    </row>
    <row r="52" spans="1:27" s="1113" customFormat="1" x14ac:dyDescent="0.25">
      <c r="A52" s="1102" t="s">
        <v>1542</v>
      </c>
      <c r="B52" s="1104">
        <f>SUM(B49:B51)</f>
        <v>390</v>
      </c>
      <c r="C52" s="1116">
        <f>SUM(C49:C51)</f>
        <v>1625320</v>
      </c>
      <c r="D52" s="1110">
        <f>C52/B52</f>
        <v>4167.4871794871797</v>
      </c>
      <c r="E52" s="1111">
        <f>C52/C54</f>
        <v>4.0117948724151142E-2</v>
      </c>
      <c r="F52" s="1104">
        <f>SUM(F49:F51)</f>
        <v>399</v>
      </c>
      <c r="G52" s="1116">
        <f>SUM(G49:G51)</f>
        <v>1369894</v>
      </c>
      <c r="H52" s="1110">
        <f>G52/F52</f>
        <v>3433.3182957393483</v>
      </c>
      <c r="I52" s="1111">
        <f>G52/G54</f>
        <v>3.4869104489054788E-2</v>
      </c>
      <c r="J52" s="1104">
        <f>SUM(J49:J51)</f>
        <v>353</v>
      </c>
      <c r="K52" s="1116">
        <f>SUM(K49:K51)</f>
        <v>1155099</v>
      </c>
      <c r="L52" s="1110">
        <f>K52/J52</f>
        <v>3272.2351274787534</v>
      </c>
      <c r="M52" s="1111">
        <f>K52/K54</f>
        <v>3.2899678678862142E-2</v>
      </c>
      <c r="N52" s="1104">
        <f>SUM(N49:N51)</f>
        <v>410</v>
      </c>
      <c r="O52" s="1116">
        <f>SUM(O49:O51)</f>
        <v>1963096</v>
      </c>
      <c r="P52" s="1110">
        <f>O52/N52</f>
        <v>4788.0390243902439</v>
      </c>
      <c r="Q52" s="1111">
        <f>O52/O54</f>
        <v>8.3240199751444963E-2</v>
      </c>
      <c r="R52" s="1104">
        <f t="shared" ref="R52:AA52" si="16">SUM(R49:R51)</f>
        <v>506</v>
      </c>
      <c r="S52" s="1117">
        <f t="shared" si="16"/>
        <v>2075267</v>
      </c>
      <c r="T52" s="1112">
        <f>S52/R52</f>
        <v>4101.318181818182</v>
      </c>
      <c r="U52" s="1111">
        <f>+S52/$S$54</f>
        <v>8.9067272332032696E-2</v>
      </c>
      <c r="V52" s="1104">
        <f t="shared" si="16"/>
        <v>406</v>
      </c>
      <c r="W52" s="1117">
        <f t="shared" si="16"/>
        <v>1569470.8</v>
      </c>
      <c r="X52" s="1112">
        <f>W52/V52</f>
        <v>3865.6916256157638</v>
      </c>
      <c r="Y52" s="1117"/>
      <c r="Z52" s="1104">
        <f t="shared" si="16"/>
        <v>460</v>
      </c>
      <c r="AA52" s="1117">
        <f t="shared" si="16"/>
        <v>1282334.77</v>
      </c>
    </row>
    <row r="53" spans="1:27" s="1113" customFormat="1" ht="8.25" customHeight="1" thickBot="1" x14ac:dyDescent="0.3">
      <c r="A53" s="1118"/>
      <c r="B53" s="1119"/>
      <c r="C53" s="1128"/>
      <c r="D53" s="1129"/>
      <c r="E53" s="1130"/>
      <c r="F53" s="1119"/>
      <c r="G53" s="1128"/>
      <c r="H53" s="1129"/>
      <c r="I53" s="1130"/>
      <c r="J53" s="1119"/>
      <c r="K53" s="1128"/>
      <c r="L53" s="1129"/>
      <c r="M53" s="1130"/>
      <c r="N53" s="1119"/>
      <c r="O53" s="1128"/>
      <c r="P53" s="1129"/>
      <c r="Q53" s="1130"/>
      <c r="R53" s="1119"/>
      <c r="S53" s="1120"/>
      <c r="T53" s="1131"/>
      <c r="U53" s="1120"/>
      <c r="V53" s="1119"/>
      <c r="W53" s="1120"/>
      <c r="X53" s="1112"/>
      <c r="Y53" s="1120"/>
      <c r="Z53" s="1119"/>
      <c r="AA53" s="1120"/>
    </row>
    <row r="54" spans="1:27" s="1113" customFormat="1" ht="18" customHeight="1" thickBot="1" x14ac:dyDescent="0.3">
      <c r="A54" s="1132" t="s">
        <v>1428</v>
      </c>
      <c r="B54" s="1133">
        <v>2889</v>
      </c>
      <c r="C54" s="1134">
        <f>C9+C16+C21+C41+C35+C46+C52</f>
        <v>40513537</v>
      </c>
      <c r="D54" s="1135">
        <f>C54/B54</f>
        <v>14023.377293181031</v>
      </c>
      <c r="E54" s="1136">
        <f>C54/C54</f>
        <v>1</v>
      </c>
      <c r="F54" s="1137">
        <v>2885</v>
      </c>
      <c r="G54" s="1135">
        <f>G9+G16+G21+G41+G35+G46+G52</f>
        <v>39286756</v>
      </c>
      <c r="H54" s="1135">
        <f>G54/F54</f>
        <v>13617.593067590988</v>
      </c>
      <c r="I54" s="1136">
        <f>G54/G54</f>
        <v>1</v>
      </c>
      <c r="J54" s="1137">
        <v>2719</v>
      </c>
      <c r="K54" s="1135">
        <f>K9+K16+K21+K41+K35+K46+K52</f>
        <v>35109735</v>
      </c>
      <c r="L54" s="1135">
        <f>K54/J54</f>
        <v>12912.7381390217</v>
      </c>
      <c r="M54" s="1136">
        <f>K54/K54</f>
        <v>1</v>
      </c>
      <c r="N54" s="1137">
        <v>2217</v>
      </c>
      <c r="O54" s="1135">
        <f>O9+O16+O21+O41+O35+O46+O52</f>
        <v>23583509</v>
      </c>
      <c r="P54" s="1135">
        <f>O54/N54</f>
        <v>10637.577356788453</v>
      </c>
      <c r="Q54" s="1136">
        <f>O54/O54</f>
        <v>1</v>
      </c>
      <c r="R54" s="1138">
        <v>2360</v>
      </c>
      <c r="S54" s="1139">
        <f>SUM(S9+S16+S21+S35+S41+S46+S52)</f>
        <v>23299995</v>
      </c>
      <c r="T54" s="1140">
        <f>S54/R54</f>
        <v>9872.8792372881362</v>
      </c>
      <c r="U54" s="1141">
        <f>+S54/$S$54</f>
        <v>1</v>
      </c>
      <c r="V54" s="1142">
        <v>2333</v>
      </c>
      <c r="W54" s="1143">
        <f>SUM(W9+W16+W21+W35+W41+W46+W52)</f>
        <v>22609648.470000003</v>
      </c>
      <c r="X54" s="1112">
        <f>W54/V54</f>
        <v>9691.2338062580384</v>
      </c>
      <c r="Y54" s="1144"/>
      <c r="Z54" s="1142">
        <f>SUM(Z9+Z16+Z21+Z35+Z41+Z46+Z52)</f>
        <v>7432</v>
      </c>
      <c r="AA54" s="1145">
        <f>SUM(AA9+AA16+AA21+AA35+AA41+AA46+AA52)</f>
        <v>21732988.399999999</v>
      </c>
    </row>
    <row r="56" spans="1:27" x14ac:dyDescent="0.25">
      <c r="A56" s="1146" t="s">
        <v>1546</v>
      </c>
    </row>
    <row r="57" spans="1:27" x14ac:dyDescent="0.25">
      <c r="A57" s="1146" t="s">
        <v>1547</v>
      </c>
    </row>
    <row r="58" spans="1:27" x14ac:dyDescent="0.25">
      <c r="A58" s="1146" t="s">
        <v>1429</v>
      </c>
    </row>
    <row r="59" spans="1:27" x14ac:dyDescent="0.25">
      <c r="A59" s="1146" t="s">
        <v>1430</v>
      </c>
    </row>
    <row r="60" spans="1:27" x14ac:dyDescent="0.25">
      <c r="A60" s="1146" t="s">
        <v>1431</v>
      </c>
    </row>
    <row r="61" spans="1:27" x14ac:dyDescent="0.25">
      <c r="A61" s="1146" t="s">
        <v>1432</v>
      </c>
    </row>
    <row r="62" spans="1:27" x14ac:dyDescent="0.25">
      <c r="A62" s="1146" t="s">
        <v>1548</v>
      </c>
    </row>
    <row r="63" spans="1:27" x14ac:dyDescent="0.25">
      <c r="A63" s="1150" t="s">
        <v>1433</v>
      </c>
      <c r="B63" s="1150"/>
      <c r="C63" s="1150"/>
      <c r="D63" s="1150"/>
      <c r="E63" s="1150"/>
      <c r="F63" s="1150"/>
      <c r="G63" s="1150"/>
      <c r="H63" s="1150"/>
      <c r="I63" s="1150"/>
      <c r="J63" s="1150"/>
      <c r="K63" s="1150"/>
      <c r="L63" s="1150"/>
      <c r="M63" s="1150"/>
    </row>
  </sheetData>
  <mergeCells count="36">
    <mergeCell ref="B42:E42"/>
    <mergeCell ref="F42:I42"/>
    <mergeCell ref="J42:M42"/>
    <mergeCell ref="N42:Q42"/>
    <mergeCell ref="R42:U42"/>
    <mergeCell ref="B47:E47"/>
    <mergeCell ref="F47:I47"/>
    <mergeCell ref="J47:M47"/>
    <mergeCell ref="N47:Q47"/>
    <mergeCell ref="R47:U47"/>
    <mergeCell ref="B22:E22"/>
    <mergeCell ref="F22:I22"/>
    <mergeCell ref="J22:M22"/>
    <mergeCell ref="N22:Q22"/>
    <mergeCell ref="R22:U22"/>
    <mergeCell ref="B36:E36"/>
    <mergeCell ref="F36:I36"/>
    <mergeCell ref="J36:M36"/>
    <mergeCell ref="N36:Q36"/>
    <mergeCell ref="R36:U36"/>
    <mergeCell ref="B10:E10"/>
    <mergeCell ref="F10:I10"/>
    <mergeCell ref="J10:M10"/>
    <mergeCell ref="N10:Q10"/>
    <mergeCell ref="R10:U10"/>
    <mergeCell ref="B17:E17"/>
    <mergeCell ref="F17:I17"/>
    <mergeCell ref="J17:M17"/>
    <mergeCell ref="N17:Q17"/>
    <mergeCell ref="R17:U17"/>
    <mergeCell ref="A1:U1"/>
    <mergeCell ref="B2:E2"/>
    <mergeCell ref="F2:I2"/>
    <mergeCell ref="J2:M2"/>
    <mergeCell ref="N2:Q2"/>
    <mergeCell ref="R2:U2"/>
  </mergeCells>
  <printOptions horizontalCentered="1" verticalCentered="1" gridLines="1"/>
  <pageMargins left="0.23" right="0.54" top="0.5" bottom="0.37" header="0.36" footer="0.41"/>
  <pageSetup scale="69" orientation="landscape" r:id="rId1"/>
  <headerFooter alignWithMargins="0">
    <oddHeader>&amp;R&amp;D</oddHeader>
  </headerFooter>
  <colBreaks count="1" manualBreakCount="1">
    <brk id="27"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4"/>
  <sheetViews>
    <sheetView topLeftCell="N1" zoomScale="102" zoomScaleNormal="102" workbookViewId="0">
      <selection activeCell="N1" sqref="N1:W1"/>
    </sheetView>
  </sheetViews>
  <sheetFormatPr defaultColWidth="8.88671875" defaultRowHeight="18" x14ac:dyDescent="0.35"/>
  <cols>
    <col min="1" max="1" width="62.5546875" style="1685" hidden="1" customWidth="1"/>
    <col min="2" max="2" width="9" style="1685" hidden="1" customWidth="1"/>
    <col min="3" max="3" width="18.33203125" style="1685" hidden="1" customWidth="1"/>
    <col min="4" max="4" width="10.5546875" style="1685" hidden="1" customWidth="1"/>
    <col min="5" max="5" width="13.5546875" style="1704" hidden="1" customWidth="1"/>
    <col min="6" max="6" width="9" style="1685" hidden="1" customWidth="1"/>
    <col min="7" max="7" width="18.33203125" style="1685" hidden="1" customWidth="1"/>
    <col min="8" max="8" width="12.109375" style="1685" hidden="1" customWidth="1"/>
    <col min="9" max="9" width="14.33203125" style="1685" hidden="1" customWidth="1"/>
    <col min="10" max="10" width="9" style="1685" hidden="1" customWidth="1"/>
    <col min="11" max="11" width="18.33203125" style="1685" hidden="1" customWidth="1"/>
    <col min="12" max="12" width="12.109375" style="1685" hidden="1" customWidth="1"/>
    <col min="13" max="13" width="13.5546875" style="1685" hidden="1" customWidth="1"/>
    <col min="14" max="14" width="34.109375" style="1685" customWidth="1"/>
    <col min="15" max="16384" width="8.88671875" style="1685"/>
  </cols>
  <sheetData>
    <row r="1" spans="1:23" ht="21.6" thickBot="1" x14ac:dyDescent="0.45">
      <c r="A1" s="2251" t="s">
        <v>1683</v>
      </c>
      <c r="B1" s="2252"/>
      <c r="C1" s="2252"/>
      <c r="D1" s="2252"/>
      <c r="E1" s="2252"/>
      <c r="F1" s="2253"/>
      <c r="G1" s="2253"/>
      <c r="H1" s="2253"/>
      <c r="I1" s="2253"/>
      <c r="J1" s="2253"/>
      <c r="K1" s="2253"/>
      <c r="L1" s="2253"/>
      <c r="M1" s="2254"/>
      <c r="N1" s="2298" t="s">
        <v>1675</v>
      </c>
      <c r="O1" s="2298"/>
      <c r="P1" s="2298"/>
      <c r="Q1" s="2298"/>
      <c r="R1" s="2298"/>
      <c r="S1" s="2298"/>
      <c r="T1" s="2298"/>
      <c r="U1" s="2298"/>
      <c r="V1" s="2298"/>
      <c r="W1" s="2298"/>
    </row>
    <row r="2" spans="1:23" x14ac:dyDescent="0.35">
      <c r="A2" s="1707" t="s">
        <v>1541</v>
      </c>
      <c r="B2" s="2255" t="s">
        <v>1718</v>
      </c>
      <c r="C2" s="2256"/>
      <c r="D2" s="1708" t="s">
        <v>1420</v>
      </c>
      <c r="E2" s="1709" t="s">
        <v>1421</v>
      </c>
      <c r="F2" s="2257" t="s">
        <v>1719</v>
      </c>
      <c r="G2" s="2258"/>
      <c r="H2" s="1708" t="s">
        <v>1420</v>
      </c>
      <c r="I2" s="1709" t="s">
        <v>1421</v>
      </c>
      <c r="J2" s="2257" t="s">
        <v>1720</v>
      </c>
      <c r="K2" s="2258"/>
      <c r="L2" s="1708" t="s">
        <v>1420</v>
      </c>
      <c r="M2" s="1709" t="s">
        <v>1421</v>
      </c>
    </row>
    <row r="3" spans="1:23" x14ac:dyDescent="0.35">
      <c r="A3" s="1688" t="s">
        <v>1684</v>
      </c>
      <c r="B3" s="1687">
        <v>1382</v>
      </c>
      <c r="C3" s="1689">
        <v>5881091</v>
      </c>
      <c r="D3" s="1689">
        <f t="shared" ref="D3:D8" si="0">C3/B3</f>
        <v>4255.4927641099857</v>
      </c>
      <c r="E3" s="1690">
        <f>C3/C54</f>
        <v>0.1579023543303909</v>
      </c>
      <c r="F3" s="1687">
        <v>1429</v>
      </c>
      <c r="G3" s="1689">
        <v>6211728</v>
      </c>
      <c r="H3" s="1689">
        <f t="shared" ref="H3:H8" si="1">G3/F3</f>
        <v>4346.9055283414973</v>
      </c>
      <c r="I3" s="1691">
        <f>G3/G54</f>
        <v>0.16417916355967271</v>
      </c>
      <c r="J3" s="1687">
        <v>1532</v>
      </c>
      <c r="K3" s="1689">
        <v>6418299.2699999996</v>
      </c>
      <c r="L3" s="1689">
        <f t="shared" ref="L3:L8" si="2">K3/J3</f>
        <v>4189.4903851174931</v>
      </c>
      <c r="M3" s="1691">
        <f>K3/K54</f>
        <v>0.16058996517917853</v>
      </c>
    </row>
    <row r="4" spans="1:23" x14ac:dyDescent="0.35">
      <c r="A4" s="1688" t="s">
        <v>1685</v>
      </c>
      <c r="B4" s="1687">
        <v>0</v>
      </c>
      <c r="C4" s="1689">
        <v>0</v>
      </c>
      <c r="D4" s="1689">
        <v>0</v>
      </c>
      <c r="E4" s="1690">
        <v>0</v>
      </c>
      <c r="F4" s="1687">
        <v>0</v>
      </c>
      <c r="G4" s="1689">
        <v>0</v>
      </c>
      <c r="H4" s="1689">
        <v>0</v>
      </c>
      <c r="I4" s="1691">
        <v>0</v>
      </c>
      <c r="J4" s="1687">
        <v>0</v>
      </c>
      <c r="K4" s="1689">
        <v>0</v>
      </c>
      <c r="L4" s="1689">
        <v>0</v>
      </c>
      <c r="M4" s="1691">
        <v>0</v>
      </c>
    </row>
    <row r="5" spans="1:23" x14ac:dyDescent="0.35">
      <c r="A5" s="1688" t="s">
        <v>1686</v>
      </c>
      <c r="B5" s="1687">
        <v>203</v>
      </c>
      <c r="C5" s="1689">
        <v>98330</v>
      </c>
      <c r="D5" s="1689">
        <f t="shared" si="0"/>
        <v>484.38423645320199</v>
      </c>
      <c r="E5" s="1692">
        <f>C5/C54</f>
        <v>2.640077921138669E-3</v>
      </c>
      <c r="F5" s="1687">
        <v>114</v>
      </c>
      <c r="G5" s="1689">
        <v>90455</v>
      </c>
      <c r="H5" s="1689">
        <f t="shared" si="1"/>
        <v>793.46491228070181</v>
      </c>
      <c r="I5" s="1691">
        <f>G5/G54</f>
        <v>2.3907721393773514E-3</v>
      </c>
      <c r="J5" s="1687">
        <v>296</v>
      </c>
      <c r="K5" s="1689">
        <v>91168</v>
      </c>
      <c r="L5" s="1689">
        <f t="shared" si="2"/>
        <v>308</v>
      </c>
      <c r="M5" s="1691">
        <f>K5/K54</f>
        <v>2.2810818457605748E-3</v>
      </c>
    </row>
    <row r="6" spans="1:23" x14ac:dyDescent="0.35">
      <c r="A6" s="1688" t="s">
        <v>1687</v>
      </c>
      <c r="B6" s="1687">
        <v>0</v>
      </c>
      <c r="C6" s="1689">
        <v>0</v>
      </c>
      <c r="D6" s="1689">
        <v>0</v>
      </c>
      <c r="E6" s="1692">
        <v>0</v>
      </c>
      <c r="F6" s="1687">
        <v>0</v>
      </c>
      <c r="G6" s="1689">
        <v>0</v>
      </c>
      <c r="H6" s="1689">
        <v>0</v>
      </c>
      <c r="I6" s="1691">
        <v>0</v>
      </c>
      <c r="J6" s="1687">
        <v>0</v>
      </c>
      <c r="K6" s="1689">
        <v>0</v>
      </c>
      <c r="L6" s="1689">
        <v>0</v>
      </c>
      <c r="M6" s="1691">
        <v>0</v>
      </c>
    </row>
    <row r="7" spans="1:23" x14ac:dyDescent="0.35">
      <c r="A7" s="1688" t="s">
        <v>1688</v>
      </c>
      <c r="B7" s="1687">
        <v>21</v>
      </c>
      <c r="C7" s="1689">
        <v>22000</v>
      </c>
      <c r="D7" s="1689">
        <f t="shared" si="0"/>
        <v>1047.6190476190477</v>
      </c>
      <c r="E7" s="1692">
        <f>C7/C54</f>
        <v>5.9068152410302781E-4</v>
      </c>
      <c r="F7" s="1687">
        <v>20</v>
      </c>
      <c r="G7" s="1689">
        <v>23650</v>
      </c>
      <c r="H7" s="1689">
        <f t="shared" si="1"/>
        <v>1182.5</v>
      </c>
      <c r="I7" s="1691">
        <f>G7/G54</f>
        <v>6.2508165492537022E-4</v>
      </c>
      <c r="J7" s="1687">
        <v>12</v>
      </c>
      <c r="K7" s="1689">
        <v>13500</v>
      </c>
      <c r="L7" s="1689">
        <f t="shared" si="2"/>
        <v>1125</v>
      </c>
      <c r="M7" s="1691">
        <f>K7/K54</f>
        <v>3.3777866047042553E-4</v>
      </c>
    </row>
    <row r="8" spans="1:23" x14ac:dyDescent="0.35">
      <c r="A8" s="1686" t="s">
        <v>1542</v>
      </c>
      <c r="B8" s="1693">
        <f>SUM(B3:B7)</f>
        <v>1606</v>
      </c>
      <c r="C8" s="1694">
        <f>SUM(C3:C7)</f>
        <v>6001421</v>
      </c>
      <c r="D8" s="1689">
        <f t="shared" si="0"/>
        <v>3736.8748443337486</v>
      </c>
      <c r="E8" s="1692">
        <f>C8/C54</f>
        <v>0.16113311377563258</v>
      </c>
      <c r="F8" s="1693">
        <f>SUM(F3:F7)</f>
        <v>1563</v>
      </c>
      <c r="G8" s="1694">
        <f>SUM(G3:G7)</f>
        <v>6325833</v>
      </c>
      <c r="H8" s="1689">
        <f t="shared" si="1"/>
        <v>4047.2380038387714</v>
      </c>
      <c r="I8" s="1691">
        <f>G8/G54</f>
        <v>0.16719501735397543</v>
      </c>
      <c r="J8" s="1693">
        <f>SUM(J3:J7)</f>
        <v>1840</v>
      </c>
      <c r="K8" s="1694">
        <f>SUM(K3:K7)</f>
        <v>6522967.2699999996</v>
      </c>
      <c r="L8" s="1689">
        <f t="shared" si="2"/>
        <v>3545.0909076086955</v>
      </c>
      <c r="M8" s="1691">
        <f>K8/K54</f>
        <v>0.16320882568540954</v>
      </c>
    </row>
    <row r="9" spans="1:23" x14ac:dyDescent="0.35">
      <c r="E9" s="1685"/>
    </row>
    <row r="10" spans="1:23" x14ac:dyDescent="0.35">
      <c r="A10" s="1686" t="s">
        <v>553</v>
      </c>
      <c r="B10" s="1685" t="s">
        <v>831</v>
      </c>
      <c r="E10" s="1685"/>
      <c r="F10" s="1685" t="s">
        <v>831</v>
      </c>
      <c r="J10" s="1685" t="s">
        <v>831</v>
      </c>
    </row>
    <row r="11" spans="1:23" x14ac:dyDescent="0.35">
      <c r="A11" s="1688" t="s">
        <v>1689</v>
      </c>
      <c r="B11" s="1687">
        <v>1592</v>
      </c>
      <c r="C11" s="1689">
        <v>6455431</v>
      </c>
      <c r="D11" s="1689">
        <f>C11/B11</f>
        <v>4054.9189698492464</v>
      </c>
      <c r="E11" s="1690">
        <f>C11/C54</f>
        <v>0.17332290099190603</v>
      </c>
      <c r="F11" s="1687">
        <v>1667</v>
      </c>
      <c r="G11" s="1689">
        <v>6831627</v>
      </c>
      <c r="H11" s="1689">
        <f>G11/F11</f>
        <v>4098.1565686862632</v>
      </c>
      <c r="I11" s="1691">
        <f>G11/G54</f>
        <v>0.18056341272697005</v>
      </c>
      <c r="J11" s="1687">
        <v>1825</v>
      </c>
      <c r="K11" s="1689">
        <v>7465385</v>
      </c>
      <c r="L11" s="1689">
        <f>K11/J11</f>
        <v>4090.6219178082192</v>
      </c>
      <c r="M11" s="1691">
        <f>K11/K54</f>
        <v>0.18678872186637097</v>
      </c>
    </row>
    <row r="12" spans="1:23" x14ac:dyDescent="0.35">
      <c r="A12" s="1688" t="s">
        <v>1690</v>
      </c>
      <c r="B12" s="1687">
        <v>1706</v>
      </c>
      <c r="C12" s="1689">
        <v>7441636</v>
      </c>
      <c r="D12" s="1689">
        <f>C12/B12</f>
        <v>4362.0375146541619</v>
      </c>
      <c r="E12" s="1692">
        <f>C12/C54</f>
        <v>0.19980167701363449</v>
      </c>
      <c r="F12" s="1687">
        <v>1710</v>
      </c>
      <c r="G12" s="1689">
        <v>7639061</v>
      </c>
      <c r="H12" s="1689">
        <f>G12/F12</f>
        <v>4467.2871345029243</v>
      </c>
      <c r="I12" s="1691">
        <f>G12/G54</f>
        <v>0.20190430832794307</v>
      </c>
      <c r="J12" s="1687">
        <v>1873</v>
      </c>
      <c r="K12" s="1689">
        <v>8343501</v>
      </c>
      <c r="L12" s="1689">
        <f>K12/J12</f>
        <v>4454.6187933796045</v>
      </c>
      <c r="M12" s="1691">
        <f>K12/K54</f>
        <v>0.20875974751212267</v>
      </c>
    </row>
    <row r="13" spans="1:23" x14ac:dyDescent="0.35">
      <c r="A13" s="1688" t="s">
        <v>1691</v>
      </c>
      <c r="B13" s="1687">
        <v>363</v>
      </c>
      <c r="C13" s="1689">
        <v>2973761</v>
      </c>
      <c r="D13" s="1689">
        <f>C13/B13</f>
        <v>8192.1790633608816</v>
      </c>
      <c r="E13" s="1692">
        <f>C13/C54</f>
        <v>7.9842985445370177E-2</v>
      </c>
      <c r="F13" s="1687">
        <v>344</v>
      </c>
      <c r="G13" s="1689">
        <v>2880338</v>
      </c>
      <c r="H13" s="1689">
        <f>G13/F13</f>
        <v>8373.0755813953492</v>
      </c>
      <c r="I13" s="1691">
        <f>G13/G54</f>
        <v>7.6128813690673605E-2</v>
      </c>
      <c r="J13" s="1687">
        <v>359</v>
      </c>
      <c r="K13" s="1689">
        <v>2999265</v>
      </c>
      <c r="L13" s="1689">
        <f>K13/J13</f>
        <v>8354.4986072423399</v>
      </c>
      <c r="M13" s="1691">
        <f>K13/K54</f>
        <v>7.5043534377468954E-2</v>
      </c>
    </row>
    <row r="14" spans="1:23" x14ac:dyDescent="0.35">
      <c r="A14" s="1688" t="s">
        <v>1692</v>
      </c>
      <c r="B14" s="1687">
        <v>94</v>
      </c>
      <c r="C14" s="1689">
        <v>225208</v>
      </c>
      <c r="D14" s="1689">
        <f>C14/B14</f>
        <v>2395.8297872340427</v>
      </c>
      <c r="E14" s="1692">
        <f>C14/C54</f>
        <v>6.0466456672815761E-3</v>
      </c>
      <c r="F14" s="1687">
        <v>91</v>
      </c>
      <c r="G14" s="1689">
        <v>186821</v>
      </c>
      <c r="H14" s="1689">
        <f>G14/F14</f>
        <v>2052.9780219780218</v>
      </c>
      <c r="I14" s="1691">
        <f>G14/G54</f>
        <v>4.9377750467151198E-3</v>
      </c>
      <c r="J14" s="1687">
        <v>108</v>
      </c>
      <c r="K14" s="1689">
        <v>221366</v>
      </c>
      <c r="L14" s="1689">
        <f>K14/J14</f>
        <v>2049.6851851851852</v>
      </c>
      <c r="M14" s="1691">
        <f>K14/K54</f>
        <v>5.5387193299034241E-3</v>
      </c>
    </row>
    <row r="15" spans="1:23" x14ac:dyDescent="0.35">
      <c r="A15" s="1686" t="s">
        <v>1542</v>
      </c>
      <c r="B15" s="1693">
        <f>SUM(B11:B14)</f>
        <v>3755</v>
      </c>
      <c r="C15" s="1694">
        <f>SUM(C11:C14)</f>
        <v>17096036</v>
      </c>
      <c r="D15" s="1689">
        <f>C15/B15</f>
        <v>4552.8724367509985</v>
      </c>
      <c r="E15" s="1692">
        <f>C15/C54</f>
        <v>0.4590142091181923</v>
      </c>
      <c r="F15" s="1693">
        <f>SUM(F11:F14)</f>
        <v>3812</v>
      </c>
      <c r="G15" s="1694">
        <f>SUM(G11:G14)</f>
        <v>17537847</v>
      </c>
      <c r="H15" s="1689">
        <f>G15/F15</f>
        <v>4600.6943861490035</v>
      </c>
      <c r="I15" s="1691">
        <f>G15/G54</f>
        <v>0.46353430979230187</v>
      </c>
      <c r="J15" s="1693">
        <f>SUM(J11:J14)</f>
        <v>4165</v>
      </c>
      <c r="K15" s="1694">
        <f>SUM(K11:K14)</f>
        <v>19029517</v>
      </c>
      <c r="L15" s="1689">
        <f>K15/J15</f>
        <v>4568.9116446578628</v>
      </c>
      <c r="M15" s="1691">
        <f>K15/K54</f>
        <v>0.47613072308586601</v>
      </c>
    </row>
    <row r="16" spans="1:23" x14ac:dyDescent="0.35">
      <c r="E16" s="1685"/>
    </row>
    <row r="17" spans="1:14" x14ac:dyDescent="0.35">
      <c r="A17" s="1686" t="s">
        <v>558</v>
      </c>
      <c r="B17" s="1685" t="s">
        <v>831</v>
      </c>
      <c r="E17" s="1685"/>
      <c r="F17" s="1685" t="s">
        <v>831</v>
      </c>
      <c r="J17" s="1685" t="s">
        <v>831</v>
      </c>
    </row>
    <row r="18" spans="1:14" x14ac:dyDescent="0.35">
      <c r="A18" s="1688" t="s">
        <v>1693</v>
      </c>
      <c r="B18" s="1687">
        <v>353</v>
      </c>
      <c r="C18" s="1695">
        <v>375834.35</v>
      </c>
      <c r="D18" s="1689">
        <f>C18/B18</f>
        <v>1064.6865439093483</v>
      </c>
      <c r="E18" s="1690">
        <f>C18/C54</f>
        <v>1.0090836666739579E-2</v>
      </c>
      <c r="F18" s="1687">
        <v>368</v>
      </c>
      <c r="G18" s="1689">
        <v>606618.44999999995</v>
      </c>
      <c r="H18" s="1689">
        <f>G18/F18</f>
        <v>1648.4197010869564</v>
      </c>
      <c r="I18" s="1691">
        <f>G18/G54</f>
        <v>1.6033237405254246E-2</v>
      </c>
      <c r="J18" s="1687">
        <v>399</v>
      </c>
      <c r="K18" s="1689">
        <v>637894.81000000006</v>
      </c>
      <c r="L18" s="1689">
        <f>K18/J18</f>
        <v>1598.7338596491229</v>
      </c>
      <c r="M18" s="1691">
        <f>K18/K54</f>
        <v>1.5960537366136049E-2</v>
      </c>
    </row>
    <row r="19" spans="1:14" x14ac:dyDescent="0.35">
      <c r="A19" s="1688" t="s">
        <v>1694</v>
      </c>
      <c r="B19" s="1687">
        <v>165</v>
      </c>
      <c r="C19" s="1689">
        <v>161918.67000000001</v>
      </c>
      <c r="D19" s="1689">
        <f>C19/B19</f>
        <v>981.32527272727282</v>
      </c>
      <c r="E19" s="1690">
        <f>C19/C54</f>
        <v>4.3473803080152362E-3</v>
      </c>
      <c r="F19" s="1687">
        <v>123</v>
      </c>
      <c r="G19" s="1689">
        <v>161918.67000000001</v>
      </c>
      <c r="H19" s="1689">
        <f>G19/F19</f>
        <v>1316.4119512195123</v>
      </c>
      <c r="I19" s="1691">
        <f>G19/G54</f>
        <v>4.2795936662543294E-3</v>
      </c>
      <c r="J19" s="1687">
        <v>177</v>
      </c>
      <c r="K19" s="1689">
        <v>161918.67000000001</v>
      </c>
      <c r="L19" s="1689">
        <f>K19/J19</f>
        <v>914.79474576271195</v>
      </c>
      <c r="M19" s="1691">
        <f>K19/K54</f>
        <v>4.0513089968705843E-3</v>
      </c>
    </row>
    <row r="20" spans="1:14" x14ac:dyDescent="0.35">
      <c r="A20" s="1686" t="s">
        <v>1542</v>
      </c>
      <c r="B20" s="1693">
        <f>SUM(B18:B19)</f>
        <v>518</v>
      </c>
      <c r="C20" s="1694">
        <f>SUM(C18:C19)</f>
        <v>537753.02</v>
      </c>
      <c r="D20" s="1689">
        <f>C20/B20</f>
        <v>1038.1332432432432</v>
      </c>
      <c r="E20" s="1690">
        <f>C20/C54</f>
        <v>1.4438216974754817E-2</v>
      </c>
      <c r="F20" s="1693">
        <f>F18+F19</f>
        <v>491</v>
      </c>
      <c r="G20" s="1694">
        <f>SUM(G18:G19)</f>
        <v>768537.12</v>
      </c>
      <c r="H20" s="1689">
        <f>G20/F20</f>
        <v>1565.248716904277</v>
      </c>
      <c r="I20" s="1691">
        <f>G20/G54</f>
        <v>2.0312831071508577E-2</v>
      </c>
      <c r="J20" s="1693">
        <f>SUM(J18:J19)</f>
        <v>576</v>
      </c>
      <c r="K20" s="1694">
        <f>SUM(K18:K19)</f>
        <v>799813.4800000001</v>
      </c>
      <c r="L20" s="1689">
        <f>K20/J20</f>
        <v>1388.5650694444446</v>
      </c>
      <c r="M20" s="1691">
        <f>K20/K54</f>
        <v>2.0011846363006631E-2</v>
      </c>
    </row>
    <row r="21" spans="1:14" x14ac:dyDescent="0.35">
      <c r="A21" s="1696"/>
      <c r="E21" s="1685"/>
    </row>
    <row r="22" spans="1:14" x14ac:dyDescent="0.35">
      <c r="A22" s="1686" t="s">
        <v>560</v>
      </c>
      <c r="B22" s="1685" t="s">
        <v>831</v>
      </c>
      <c r="E22" s="1685"/>
      <c r="F22" s="1685" t="s">
        <v>831</v>
      </c>
      <c r="J22" s="1685" t="s">
        <v>831</v>
      </c>
    </row>
    <row r="23" spans="1:14" x14ac:dyDescent="0.35">
      <c r="A23" s="1688" t="s">
        <v>1695</v>
      </c>
      <c r="B23" s="1687">
        <v>777</v>
      </c>
      <c r="C23" s="1689">
        <v>3696979</v>
      </c>
      <c r="D23" s="1689">
        <f t="shared" ref="D23:D34" si="3">C23/B23</f>
        <v>4758.0167310167308</v>
      </c>
      <c r="E23" s="1692">
        <f>C23/C54</f>
        <v>9.9260781377131249E-2</v>
      </c>
      <c r="F23" s="1687">
        <v>811</v>
      </c>
      <c r="G23" s="1689">
        <v>3889215.03</v>
      </c>
      <c r="H23" s="1689">
        <f t="shared" ref="H23:H34" si="4">G23/F23</f>
        <v>4795.5795684340319</v>
      </c>
      <c r="I23" s="1691">
        <f>G23/G54</f>
        <v>0.1027939521062589</v>
      </c>
      <c r="J23" s="1687">
        <v>869</v>
      </c>
      <c r="K23" s="1689">
        <v>4187870</v>
      </c>
      <c r="L23" s="1689">
        <f t="shared" ref="L23:L34" si="5">K23/J23</f>
        <v>4819.1829689298047</v>
      </c>
      <c r="M23" s="1691">
        <f>K23/K54</f>
        <v>0.10478319398698378</v>
      </c>
      <c r="N23" s="1697"/>
    </row>
    <row r="24" spans="1:14" x14ac:dyDescent="0.35">
      <c r="A24" s="1688" t="s">
        <v>1696</v>
      </c>
      <c r="B24" s="1687">
        <v>490</v>
      </c>
      <c r="C24" s="1689">
        <v>772802</v>
      </c>
      <c r="D24" s="1689">
        <f t="shared" si="3"/>
        <v>1577.1469387755103</v>
      </c>
      <c r="E24" s="1692">
        <f>C24/C54</f>
        <v>2.0749084690448547E-2</v>
      </c>
      <c r="F24" s="1687">
        <v>451</v>
      </c>
      <c r="G24" s="1689">
        <v>664649</v>
      </c>
      <c r="H24" s="1689">
        <f t="shared" si="4"/>
        <v>1473.7228381374723</v>
      </c>
      <c r="I24" s="1691">
        <f>G24/G54</f>
        <v>1.7567014666574728E-2</v>
      </c>
      <c r="J24" s="1687">
        <v>581</v>
      </c>
      <c r="K24" s="1689">
        <v>832407</v>
      </c>
      <c r="L24" s="1689">
        <f t="shared" si="5"/>
        <v>1432.7142857142858</v>
      </c>
      <c r="M24" s="1691">
        <f>K24/K54</f>
        <v>2.0827357142681892E-2</v>
      </c>
    </row>
    <row r="25" spans="1:14" x14ac:dyDescent="0.35">
      <c r="A25" s="1688" t="s">
        <v>1697</v>
      </c>
      <c r="B25" s="1687">
        <v>225</v>
      </c>
      <c r="C25" s="1689">
        <v>578550</v>
      </c>
      <c r="D25" s="1689">
        <f t="shared" si="3"/>
        <v>2571.3333333333335</v>
      </c>
      <c r="E25" s="1692">
        <f>C25/C54</f>
        <v>1.5533581625900305E-2</v>
      </c>
      <c r="F25" s="1687">
        <v>225</v>
      </c>
      <c r="G25" s="1689">
        <v>586344</v>
      </c>
      <c r="H25" s="1689">
        <f t="shared" si="4"/>
        <v>2605.9733333333334</v>
      </c>
      <c r="I25" s="1691">
        <f>G25/G54</f>
        <v>1.5497373271693923E-2</v>
      </c>
      <c r="J25" s="1687">
        <v>216</v>
      </c>
      <c r="K25" s="1689">
        <v>564200</v>
      </c>
      <c r="L25" s="1689">
        <f t="shared" si="5"/>
        <v>2612.037037037037</v>
      </c>
      <c r="M25" s="1691">
        <f>K25/K54</f>
        <v>1.4116645943512156E-2</v>
      </c>
    </row>
    <row r="26" spans="1:14" x14ac:dyDescent="0.35">
      <c r="A26" s="1688" t="s">
        <v>1698</v>
      </c>
      <c r="B26" s="1687">
        <v>53</v>
      </c>
      <c r="C26" s="1689">
        <v>285819.5</v>
      </c>
      <c r="D26" s="1689">
        <f t="shared" si="3"/>
        <v>5392.8207547169814</v>
      </c>
      <c r="E26" s="1692">
        <f>C26/C54</f>
        <v>7.6740135399256974E-3</v>
      </c>
      <c r="F26" s="1687">
        <v>45</v>
      </c>
      <c r="G26" s="1689">
        <v>227112.25</v>
      </c>
      <c r="H26" s="1689">
        <f t="shared" si="4"/>
        <v>5046.9388888888889</v>
      </c>
      <c r="I26" s="1691">
        <f>G26/G54</f>
        <v>6.0026934919164649E-3</v>
      </c>
      <c r="J26" s="1687">
        <v>39</v>
      </c>
      <c r="K26" s="1689">
        <v>201187</v>
      </c>
      <c r="L26" s="1689">
        <f t="shared" si="5"/>
        <v>5158.6410256410254</v>
      </c>
      <c r="M26" s="1691">
        <f>K26/K54</f>
        <v>5.033827804745445E-3</v>
      </c>
    </row>
    <row r="27" spans="1:14" x14ac:dyDescent="0.35">
      <c r="A27" s="1688" t="s">
        <v>1699</v>
      </c>
      <c r="B27" s="1687">
        <v>40</v>
      </c>
      <c r="C27" s="1689">
        <v>284500</v>
      </c>
      <c r="D27" s="1689">
        <f t="shared" si="3"/>
        <v>7112.5</v>
      </c>
      <c r="E27" s="1692">
        <f>C27/C54</f>
        <v>7.6385860730596089E-3</v>
      </c>
      <c r="F27" s="1687">
        <v>42</v>
      </c>
      <c r="G27" s="1689">
        <v>298137</v>
      </c>
      <c r="H27" s="1689">
        <f t="shared" si="4"/>
        <v>7098.5</v>
      </c>
      <c r="I27" s="1691">
        <f>G27/G54</f>
        <v>7.8799141376103624E-3</v>
      </c>
      <c r="J27" s="1687">
        <v>47</v>
      </c>
      <c r="K27" s="1689">
        <v>340750</v>
      </c>
      <c r="L27" s="1689">
        <f t="shared" si="5"/>
        <v>7250</v>
      </c>
      <c r="M27" s="1691">
        <f>K27/K54</f>
        <v>8.525783596688704E-3</v>
      </c>
    </row>
    <row r="28" spans="1:14" x14ac:dyDescent="0.35">
      <c r="A28" s="1688" t="s">
        <v>1700</v>
      </c>
      <c r="B28" s="1687">
        <v>120</v>
      </c>
      <c r="C28" s="1689">
        <v>288875</v>
      </c>
      <c r="D28" s="1689">
        <f t="shared" si="3"/>
        <v>2407.2916666666665</v>
      </c>
      <c r="E28" s="1692">
        <f>C28/C54</f>
        <v>7.7560511488755524E-3</v>
      </c>
      <c r="F28" s="1687">
        <v>122</v>
      </c>
      <c r="G28" s="1689">
        <v>296875</v>
      </c>
      <c r="H28" s="1689">
        <f t="shared" si="4"/>
        <v>2433.4016393442621</v>
      </c>
      <c r="I28" s="1691">
        <f>G28/G54</f>
        <v>7.8465588290050434E-3</v>
      </c>
      <c r="J28" s="1687">
        <v>106</v>
      </c>
      <c r="K28" s="1689">
        <v>264687</v>
      </c>
      <c r="L28" s="1689">
        <f t="shared" si="5"/>
        <v>2497.0471698113206</v>
      </c>
      <c r="M28" s="1691">
        <f>K28/K54</f>
        <v>6.6226385410322617E-3</v>
      </c>
    </row>
    <row r="29" spans="1:14" x14ac:dyDescent="0.35">
      <c r="A29" s="1688" t="s">
        <v>1701</v>
      </c>
      <c r="B29" s="1687">
        <v>48</v>
      </c>
      <c r="C29" s="1689">
        <v>199250</v>
      </c>
      <c r="D29" s="1689">
        <f t="shared" si="3"/>
        <v>4151.041666666667</v>
      </c>
      <c r="E29" s="1692">
        <f>C29/C54</f>
        <v>5.3496951671603765E-3</v>
      </c>
      <c r="F29" s="1687">
        <v>48</v>
      </c>
      <c r="G29" s="1689">
        <v>188219</v>
      </c>
      <c r="H29" s="1689">
        <f t="shared" si="4"/>
        <v>3921.2291666666665</v>
      </c>
      <c r="I29" s="1691">
        <f>G29/G54</f>
        <v>4.9747249052176853E-3</v>
      </c>
      <c r="J29" s="1687">
        <v>45</v>
      </c>
      <c r="K29" s="1689">
        <v>170449</v>
      </c>
      <c r="L29" s="1689">
        <f t="shared" si="5"/>
        <v>3787.7555555555555</v>
      </c>
      <c r="M29" s="1691">
        <f>K29/K54</f>
        <v>4.26474332581656E-3</v>
      </c>
    </row>
    <row r="30" spans="1:14" x14ac:dyDescent="0.35">
      <c r="A30" s="1688" t="s">
        <v>1702</v>
      </c>
      <c r="B30" s="1687">
        <v>17</v>
      </c>
      <c r="C30" s="1689">
        <v>60888.14</v>
      </c>
      <c r="D30" s="1689">
        <f t="shared" si="3"/>
        <v>3581.6552941176469</v>
      </c>
      <c r="E30" s="1692">
        <f>C30/C54</f>
        <v>1.634795424318115E-3</v>
      </c>
      <c r="F30" s="1687">
        <v>16</v>
      </c>
      <c r="G30" s="1689">
        <v>51416.88</v>
      </c>
      <c r="H30" s="1689">
        <f t="shared" si="4"/>
        <v>3213.5549999999998</v>
      </c>
      <c r="I30" s="1691">
        <f>G30/G54</f>
        <v>1.3589745641225863E-3</v>
      </c>
      <c r="J30" s="1687">
        <v>26</v>
      </c>
      <c r="K30" s="1689">
        <v>79268.320000000007</v>
      </c>
      <c r="L30" s="1689">
        <f t="shared" si="5"/>
        <v>3048.7815384615387</v>
      </c>
      <c r="M30" s="1691">
        <f>K30/K54</f>
        <v>1.9833442183215589E-3</v>
      </c>
    </row>
    <row r="31" spans="1:14" x14ac:dyDescent="0.35">
      <c r="A31" s="1688" t="s">
        <v>1703</v>
      </c>
      <c r="B31" s="1687">
        <v>17</v>
      </c>
      <c r="C31" s="1689">
        <v>41250</v>
      </c>
      <c r="D31" s="1689">
        <f t="shared" si="3"/>
        <v>2426.4705882352941</v>
      </c>
      <c r="E31" s="1692">
        <f>C31/C54</f>
        <v>1.107527857693177E-3</v>
      </c>
      <c r="F31" s="1687">
        <v>19</v>
      </c>
      <c r="G31" s="1689">
        <v>47500</v>
      </c>
      <c r="H31" s="1689">
        <f t="shared" si="4"/>
        <v>2500</v>
      </c>
      <c r="I31" s="1691">
        <f>G31/G54</f>
        <v>1.255449412640807E-3</v>
      </c>
      <c r="J31" s="1687">
        <v>22</v>
      </c>
      <c r="K31" s="1689">
        <v>54300</v>
      </c>
      <c r="L31" s="1689">
        <f t="shared" si="5"/>
        <v>2468.181818181818</v>
      </c>
      <c r="M31" s="1691">
        <f>K31/K54</f>
        <v>1.3586208343366005E-3</v>
      </c>
      <c r="N31" s="1697"/>
    </row>
    <row r="32" spans="1:14" x14ac:dyDescent="0.35">
      <c r="A32" s="1688" t="s">
        <v>1704</v>
      </c>
      <c r="B32" s="1687">
        <v>18</v>
      </c>
      <c r="C32" s="1689">
        <v>74250</v>
      </c>
      <c r="D32" s="1689">
        <f t="shared" si="3"/>
        <v>4125</v>
      </c>
      <c r="E32" s="1692">
        <f>C32/C54</f>
        <v>1.9935501438477186E-3</v>
      </c>
      <c r="F32" s="1687">
        <v>13</v>
      </c>
      <c r="G32" s="1689">
        <v>47812.5</v>
      </c>
      <c r="H32" s="1689">
        <f t="shared" si="4"/>
        <v>3677.8846153846152</v>
      </c>
      <c r="I32" s="1691">
        <f>G32/G54</f>
        <v>1.2637089482502859E-3</v>
      </c>
      <c r="J32" s="1687">
        <v>16</v>
      </c>
      <c r="K32" s="1689">
        <v>36000</v>
      </c>
      <c r="L32" s="1689">
        <f t="shared" si="5"/>
        <v>2250</v>
      </c>
      <c r="M32" s="1691">
        <f>K32/K54</f>
        <v>9.0074309458780153E-4</v>
      </c>
    </row>
    <row r="33" spans="1:13" x14ac:dyDescent="0.35">
      <c r="A33" s="1688" t="s">
        <v>1705</v>
      </c>
      <c r="B33" s="1687">
        <v>6</v>
      </c>
      <c r="C33" s="1689">
        <v>9286</v>
      </c>
      <c r="D33" s="1689">
        <f t="shared" si="3"/>
        <v>1547.6666666666667</v>
      </c>
      <c r="E33" s="1692">
        <f>C33/C54</f>
        <v>2.4932130149185074E-4</v>
      </c>
      <c r="F33" s="1687">
        <v>2</v>
      </c>
      <c r="G33" s="1689">
        <v>2000</v>
      </c>
      <c r="H33" s="1689">
        <f t="shared" si="4"/>
        <v>1000</v>
      </c>
      <c r="I33" s="1691">
        <f>G33/G54</f>
        <v>5.2861027900665557E-5</v>
      </c>
      <c r="J33" s="1687">
        <v>2</v>
      </c>
      <c r="K33" s="1689">
        <v>2000</v>
      </c>
      <c r="L33" s="1689">
        <f t="shared" si="5"/>
        <v>1000</v>
      </c>
      <c r="M33" s="1691">
        <f>K33/K54</f>
        <v>5.0041283032655639E-5</v>
      </c>
    </row>
    <row r="34" spans="1:13" x14ac:dyDescent="0.35">
      <c r="A34" s="1686" t="s">
        <v>1542</v>
      </c>
      <c r="B34" s="1693">
        <f>SUM(B23:B33)</f>
        <v>1811</v>
      </c>
      <c r="C34" s="1698">
        <f>SUM(C23:C33)</f>
        <v>6292449.6399999997</v>
      </c>
      <c r="D34" s="1689">
        <f t="shared" si="3"/>
        <v>3474.5718608503589</v>
      </c>
      <c r="E34" s="1692">
        <f>C34/C54</f>
        <v>0.1689469883498522</v>
      </c>
      <c r="F34" s="1693">
        <f>SUM(F23:F33)</f>
        <v>1794</v>
      </c>
      <c r="G34" s="1694">
        <f>SUM(G23:G33)</f>
        <v>6299280.6599999992</v>
      </c>
      <c r="H34" s="1689">
        <f t="shared" si="4"/>
        <v>3511.3047157190631</v>
      </c>
      <c r="I34" s="1691">
        <f>G34/G54</f>
        <v>0.16649322536119143</v>
      </c>
      <c r="J34" s="1693">
        <f>SUM(J23:J33)</f>
        <v>1969</v>
      </c>
      <c r="K34" s="1694">
        <f>SUM(K23:K33)</f>
        <v>6733118.3200000003</v>
      </c>
      <c r="L34" s="1689">
        <f t="shared" si="5"/>
        <v>3419.562376841036</v>
      </c>
      <c r="M34" s="1691">
        <f>K34/K54</f>
        <v>0.16846693977173943</v>
      </c>
    </row>
    <row r="35" spans="1:13" x14ac:dyDescent="0.35">
      <c r="A35" s="1696"/>
      <c r="E35" s="1685"/>
    </row>
    <row r="36" spans="1:13" x14ac:dyDescent="0.35">
      <c r="A36" s="1686" t="s">
        <v>567</v>
      </c>
      <c r="B36" s="1685" t="s">
        <v>831</v>
      </c>
      <c r="E36" s="1685"/>
      <c r="F36" s="1685" t="s">
        <v>831</v>
      </c>
      <c r="J36" s="1685" t="s">
        <v>831</v>
      </c>
    </row>
    <row r="37" spans="1:13" x14ac:dyDescent="0.35">
      <c r="A37" s="1688" t="s">
        <v>1706</v>
      </c>
      <c r="B37" s="1687">
        <v>172</v>
      </c>
      <c r="C37" s="1689">
        <v>866621.64</v>
      </c>
      <c r="D37" s="1689">
        <f>C37/B37</f>
        <v>5038.4979069767442</v>
      </c>
      <c r="E37" s="1692">
        <f>C37/C54</f>
        <v>2.3268063233448429E-2</v>
      </c>
      <c r="F37" s="1687">
        <v>141</v>
      </c>
      <c r="G37" s="1689">
        <v>653593.21</v>
      </c>
      <c r="H37" s="1689">
        <f>G37/F37</f>
        <v>4635.4128368794327</v>
      </c>
      <c r="I37" s="1691">
        <f>G37/G54</f>
        <v>1.7274804454747779E-2</v>
      </c>
      <c r="J37" s="1687">
        <v>99</v>
      </c>
      <c r="K37" s="1689">
        <v>526649.82999999996</v>
      </c>
      <c r="L37" s="1689">
        <f>K37/J37</f>
        <v>5319.6952525252518</v>
      </c>
      <c r="M37" s="1691">
        <f>K37/K54</f>
        <v>1.3177116601064987E-2</v>
      </c>
    </row>
    <row r="38" spans="1:13" x14ac:dyDescent="0.35">
      <c r="A38" s="1688" t="s">
        <v>1707</v>
      </c>
      <c r="B38" s="1687">
        <v>465</v>
      </c>
      <c r="C38" s="1689">
        <v>1124689.8600000001</v>
      </c>
      <c r="D38" s="1689">
        <f>C38/B38</f>
        <v>2418.6878709677421</v>
      </c>
      <c r="E38" s="1692">
        <f>C38/C54</f>
        <v>3.0196978211273682E-2</v>
      </c>
      <c r="F38" s="1687">
        <v>466</v>
      </c>
      <c r="G38" s="1689">
        <v>1145077</v>
      </c>
      <c r="H38" s="1689">
        <f>G38/F38</f>
        <v>2457.2467811158799</v>
      </c>
      <c r="I38" s="1691">
        <f>G38/G54</f>
        <v>3.0264973622705204E-2</v>
      </c>
      <c r="J38" s="1687">
        <v>508</v>
      </c>
      <c r="K38" s="1689">
        <v>1226575</v>
      </c>
      <c r="L38" s="1689"/>
      <c r="M38" s="1691"/>
    </row>
    <row r="39" spans="1:13" x14ac:dyDescent="0.35">
      <c r="A39" s="1688" t="s">
        <v>1708</v>
      </c>
      <c r="B39" s="1687">
        <v>89</v>
      </c>
      <c r="C39" s="1689">
        <v>750618</v>
      </c>
      <c r="D39" s="1689">
        <f>C39/B39</f>
        <v>8433.9101123595501</v>
      </c>
      <c r="E39" s="1692">
        <f>C39/C54</f>
        <v>2.0153462920871203E-2</v>
      </c>
      <c r="F39" s="1687">
        <v>89</v>
      </c>
      <c r="G39" s="1689">
        <v>743546</v>
      </c>
      <c r="H39" s="1689">
        <f>G39/F39</f>
        <v>8354.4494382022476</v>
      </c>
      <c r="I39" s="1691">
        <f>G39/G54</f>
        <v>1.9652302925714134E-2</v>
      </c>
      <c r="J39" s="1687">
        <v>90</v>
      </c>
      <c r="K39" s="1689">
        <v>698568</v>
      </c>
      <c r="L39" s="1689">
        <f>K39/J39</f>
        <v>7761.8666666666668</v>
      </c>
      <c r="M39" s="1691">
        <f>K39/K54</f>
        <v>1.7478619502778091E-2</v>
      </c>
    </row>
    <row r="40" spans="1:13" x14ac:dyDescent="0.35">
      <c r="A40" s="1688" t="s">
        <v>1709</v>
      </c>
      <c r="B40" s="1687">
        <v>137</v>
      </c>
      <c r="C40" s="1689">
        <v>1152546</v>
      </c>
      <c r="D40" s="1689">
        <f>C40/B40</f>
        <v>8412.7445255474449</v>
      </c>
      <c r="E40" s="1692">
        <f>C40/C54</f>
        <v>3.0944892176311283E-2</v>
      </c>
      <c r="F40" s="1687">
        <v>140</v>
      </c>
      <c r="G40" s="1689">
        <v>1115767</v>
      </c>
      <c r="H40" s="1689">
        <f>G40/F40</f>
        <v>7969.7642857142855</v>
      </c>
      <c r="I40" s="1691">
        <f>G40/G54</f>
        <v>2.949029525882095E-2</v>
      </c>
      <c r="J40" s="1687">
        <v>141</v>
      </c>
      <c r="K40" s="1689">
        <v>1112643</v>
      </c>
      <c r="L40" s="1689">
        <f>K40/J40</f>
        <v>7891.0851063829787</v>
      </c>
      <c r="M40" s="1691">
        <f>K40/K54</f>
        <v>2.7839041638651533E-2</v>
      </c>
    </row>
    <row r="41" spans="1:13" x14ac:dyDescent="0.35">
      <c r="A41" s="1686" t="s">
        <v>1542</v>
      </c>
      <c r="B41" s="1693">
        <f>SUM(B37:B40)</f>
        <v>863</v>
      </c>
      <c r="C41" s="1694">
        <f>SUM(C37:C40)</f>
        <v>3894475.5</v>
      </c>
      <c r="D41" s="1689">
        <f>C41/B41</f>
        <v>4512.7178447276938</v>
      </c>
      <c r="E41" s="1692">
        <f>C41/C54</f>
        <v>0.10456339654190459</v>
      </c>
      <c r="F41" s="1693">
        <f>SUM(F37:F40)</f>
        <v>836</v>
      </c>
      <c r="G41" s="1694">
        <f>SUM(G37:G40)</f>
        <v>3657983.21</v>
      </c>
      <c r="H41" s="1689">
        <f>G41/F41</f>
        <v>4375.5780023923444</v>
      </c>
      <c r="I41" s="1691">
        <f>G41/G54</f>
        <v>9.6682376261988071E-2</v>
      </c>
      <c r="J41" s="1693">
        <f>SUM(J37:J40)</f>
        <v>838</v>
      </c>
      <c r="K41" s="1694">
        <f>SUM(K37:K40)</f>
        <v>3564435.83</v>
      </c>
      <c r="L41" s="1689">
        <f>K41/J41</f>
        <v>4253.5033770883056</v>
      </c>
      <c r="M41" s="1691">
        <f>K41/K54</f>
        <v>8.9184471110384411E-2</v>
      </c>
    </row>
    <row r="42" spans="1:13" x14ac:dyDescent="0.35">
      <c r="A42" s="1696"/>
      <c r="E42" s="1685"/>
    </row>
    <row r="43" spans="1:13" x14ac:dyDescent="0.35">
      <c r="A43" s="1686" t="s">
        <v>569</v>
      </c>
      <c r="B43" s="1685" t="s">
        <v>831</v>
      </c>
      <c r="E43" s="1685"/>
      <c r="F43" s="1685" t="s">
        <v>831</v>
      </c>
      <c r="J43" s="1685" t="s">
        <v>831</v>
      </c>
    </row>
    <row r="44" spans="1:13" x14ac:dyDescent="0.35">
      <c r="A44" s="1688" t="s">
        <v>1710</v>
      </c>
      <c r="B44" s="1687">
        <v>175</v>
      </c>
      <c r="C44" s="1689">
        <v>974416</v>
      </c>
      <c r="D44" s="1689">
        <f>C44/B44</f>
        <v>5568.0914285714289</v>
      </c>
      <c r="E44" s="1692">
        <f>C44/C54</f>
        <v>2.6162251272289813E-2</v>
      </c>
      <c r="F44" s="1687">
        <v>175</v>
      </c>
      <c r="G44" s="1689">
        <v>950505.72</v>
      </c>
      <c r="H44" s="1689">
        <f>G44/F44</f>
        <v>5431.461257142857</v>
      </c>
      <c r="I44" s="1691">
        <f>G44/G54</f>
        <v>2.5122354692331098E-2</v>
      </c>
      <c r="J44" s="1687">
        <v>176</v>
      </c>
      <c r="K44" s="1689">
        <v>960221.68</v>
      </c>
      <c r="L44" s="1689">
        <f>K44/J44</f>
        <v>5455.8050000000003</v>
      </c>
      <c r="M44" s="1691">
        <f>K44/K54</f>
        <v>2.4025362431486046E-2</v>
      </c>
    </row>
    <row r="45" spans="1:13" x14ac:dyDescent="0.35">
      <c r="A45" s="1688" t="s">
        <v>1711</v>
      </c>
      <c r="B45" s="1687">
        <v>521</v>
      </c>
      <c r="C45" s="1689">
        <v>603083.29</v>
      </c>
      <c r="D45" s="1689">
        <f>C45/B45</f>
        <v>1157.549500959693</v>
      </c>
      <c r="E45" s="1692">
        <f>C45/C54</f>
        <v>1.6192279859012195E-2</v>
      </c>
      <c r="F45" s="1687">
        <v>492</v>
      </c>
      <c r="G45" s="1689">
        <v>490881.81</v>
      </c>
      <c r="H45" s="1689">
        <f>G45/F45</f>
        <v>997.72725609756094</v>
      </c>
      <c r="I45" s="1691">
        <f>G45/G54</f>
        <v>1.2974258527169604E-2</v>
      </c>
      <c r="J45" s="1687">
        <v>451</v>
      </c>
      <c r="K45" s="1689">
        <v>425246.67</v>
      </c>
      <c r="L45" s="1689">
        <f>K45/J45</f>
        <v>942.89727272727271</v>
      </c>
      <c r="M45" s="1691">
        <f>K45/K54</f>
        <v>1.0639944486082156E-2</v>
      </c>
    </row>
    <row r="46" spans="1:13" x14ac:dyDescent="0.35">
      <c r="A46" s="1686" t="s">
        <v>1542</v>
      </c>
      <c r="B46" s="1693">
        <f>SUM(B44:B45)</f>
        <v>696</v>
      </c>
      <c r="C46" s="1694">
        <f>SUM(C44:C45)</f>
        <v>1577499.29</v>
      </c>
      <c r="D46" s="1689">
        <f>C46/B46</f>
        <v>2266.5219683908044</v>
      </c>
      <c r="E46" s="1692">
        <f>C46/C54</f>
        <v>4.2354531131302012E-2</v>
      </c>
      <c r="F46" s="1693">
        <f>SUM(F43:F45)</f>
        <v>667</v>
      </c>
      <c r="G46" s="1694">
        <f>SUM(G43:G45)</f>
        <v>1441387.53</v>
      </c>
      <c r="H46" s="1689">
        <f>G46/F46</f>
        <v>2161.0007946026985</v>
      </c>
      <c r="I46" s="1691">
        <f>G46/G54</f>
        <v>3.8096613219500704E-2</v>
      </c>
      <c r="J46" s="1693">
        <f>SUM(J43:J45)</f>
        <v>627</v>
      </c>
      <c r="K46" s="1694">
        <f>SUM(K43:K45)</f>
        <v>1385468.35</v>
      </c>
      <c r="L46" s="1689">
        <f>K46/J46</f>
        <v>2209.6783891547052</v>
      </c>
      <c r="M46" s="1691">
        <f>K46/K54</f>
        <v>3.4665306917568202E-2</v>
      </c>
    </row>
    <row r="47" spans="1:13" x14ac:dyDescent="0.35">
      <c r="A47" s="1696"/>
      <c r="E47" s="1685"/>
    </row>
    <row r="48" spans="1:13" x14ac:dyDescent="0.35">
      <c r="A48" s="1686" t="s">
        <v>572</v>
      </c>
      <c r="B48" s="1685" t="s">
        <v>831</v>
      </c>
      <c r="E48" s="1685"/>
      <c r="F48" s="1685" t="s">
        <v>831</v>
      </c>
      <c r="J48" s="1685" t="s">
        <v>831</v>
      </c>
    </row>
    <row r="49" spans="1:13" x14ac:dyDescent="0.35">
      <c r="A49" s="1688" t="s">
        <v>1712</v>
      </c>
      <c r="B49" s="1687">
        <v>145</v>
      </c>
      <c r="C49" s="1689">
        <v>1131660</v>
      </c>
      <c r="D49" s="1689">
        <f>C49/B49</f>
        <v>7804.5517241379312</v>
      </c>
      <c r="E49" s="1692">
        <f>C49/C54</f>
        <v>3.0384120616656018E-2</v>
      </c>
      <c r="F49" s="1687">
        <v>140</v>
      </c>
      <c r="G49" s="1689">
        <v>1157759.9099999999</v>
      </c>
      <c r="H49" s="1689">
        <f>G49/F49</f>
        <v>8269.713642857143</v>
      </c>
      <c r="I49" s="1691">
        <f>G49/G54</f>
        <v>3.0600189452391017E-2</v>
      </c>
      <c r="J49" s="1687">
        <v>164</v>
      </c>
      <c r="K49" s="1689">
        <v>1246831.72</v>
      </c>
      <c r="L49" s="1689">
        <f>K49/J49</f>
        <v>7602.6324390243899</v>
      </c>
      <c r="M49" s="1691">
        <f>K49/K54</f>
        <v>3.1196529497306422E-2</v>
      </c>
    </row>
    <row r="50" spans="1:13" x14ac:dyDescent="0.35">
      <c r="A50" s="1688" t="s">
        <v>1713</v>
      </c>
      <c r="B50" s="1687">
        <v>356</v>
      </c>
      <c r="C50" s="1689">
        <v>708590.36</v>
      </c>
      <c r="D50" s="1689">
        <f>C50/B50</f>
        <v>1990.4223595505619</v>
      </c>
      <c r="E50" s="1692">
        <f>C50/C54</f>
        <v>1.9025056082250597E-2</v>
      </c>
      <c r="F50" s="1687">
        <v>343</v>
      </c>
      <c r="G50" s="1689">
        <v>576126.9</v>
      </c>
      <c r="H50" s="1689">
        <f>G50/F50</f>
        <v>1679.6702623906706</v>
      </c>
      <c r="I50" s="1691">
        <f>G50/G54</f>
        <v>1.5227330067611978E-2</v>
      </c>
      <c r="J50" s="1687">
        <v>340</v>
      </c>
      <c r="K50" s="1689">
        <v>684848.85</v>
      </c>
      <c r="L50" s="1689">
        <f>K50/J50</f>
        <v>2014.2613235294116</v>
      </c>
      <c r="M50" s="1691">
        <f>K50/K54</f>
        <v>1.7135357568719364E-2</v>
      </c>
    </row>
    <row r="51" spans="1:13" x14ac:dyDescent="0.35">
      <c r="A51" s="1688" t="s">
        <v>1714</v>
      </c>
      <c r="B51" s="1687">
        <v>2</v>
      </c>
      <c r="C51" s="1689">
        <v>5228</v>
      </c>
      <c r="D51" s="1689">
        <f>C51/B51</f>
        <v>2614</v>
      </c>
      <c r="E51" s="1692" t="s">
        <v>1099</v>
      </c>
      <c r="F51" s="1687">
        <v>17</v>
      </c>
      <c r="G51" s="1689">
        <v>70301.600000000006</v>
      </c>
      <c r="H51" s="1687" t="s">
        <v>1099</v>
      </c>
      <c r="I51" s="1691" t="s">
        <v>1099</v>
      </c>
      <c r="J51" s="1687">
        <v>0</v>
      </c>
      <c r="K51" s="1689">
        <v>0</v>
      </c>
      <c r="L51" s="1689" t="e">
        <f>K51/J51</f>
        <v>#DIV/0!</v>
      </c>
      <c r="M51" s="1691">
        <f>K51/K54</f>
        <v>0</v>
      </c>
    </row>
    <row r="52" spans="1:13" x14ac:dyDescent="0.35">
      <c r="A52" s="1686" t="s">
        <v>1542</v>
      </c>
      <c r="B52" s="1693">
        <f>SUM(B49:B51)</f>
        <v>503</v>
      </c>
      <c r="C52" s="1694">
        <f>SUM(C49:C51)</f>
        <v>1845478.3599999999</v>
      </c>
      <c r="D52" s="1689">
        <f>C52/B52</f>
        <v>3668.9430616302184</v>
      </c>
      <c r="E52" s="1692">
        <f>C52/C54</f>
        <v>4.954954410836164E-2</v>
      </c>
      <c r="F52" s="1693">
        <f>SUM(F49:F51)</f>
        <v>500</v>
      </c>
      <c r="G52" s="1694">
        <f>SUM(G49:G51)</f>
        <v>1804188.4100000001</v>
      </c>
      <c r="H52" s="1689">
        <f>G52/F52</f>
        <v>3608.3768200000004</v>
      </c>
      <c r="I52" s="1691">
        <f>G52/G54</f>
        <v>4.7685626939533717E-2</v>
      </c>
      <c r="J52" s="1693">
        <f>SUM(J49:J51)</f>
        <v>504</v>
      </c>
      <c r="K52" s="1694">
        <f>SUM(K49:K51)</f>
        <v>1931680.5699999998</v>
      </c>
      <c r="L52" s="1689">
        <f>K52/J52</f>
        <v>3832.6995436507932</v>
      </c>
      <c r="M52" s="1691">
        <f>K52/K54</f>
        <v>4.8331887066025779E-2</v>
      </c>
    </row>
    <row r="53" spans="1:13" ht="18.600000000000001" thickBot="1" x14ac:dyDescent="0.4">
      <c r="A53" s="1696"/>
      <c r="E53" s="1685"/>
    </row>
    <row r="54" spans="1:13" ht="18.600000000000001" thickBot="1" x14ac:dyDescent="0.4">
      <c r="A54" s="1699" t="s">
        <v>1428</v>
      </c>
      <c r="B54" s="1700">
        <v>2858</v>
      </c>
      <c r="C54" s="1701">
        <f>C8+C15+C20+C41+C34+C46+C52</f>
        <v>37245112.809999995</v>
      </c>
      <c r="D54" s="1701">
        <f>C54/B54</f>
        <v>13031.879919524141</v>
      </c>
      <c r="E54" s="1702">
        <f>C54/C54</f>
        <v>1</v>
      </c>
      <c r="F54" s="1700">
        <v>2719</v>
      </c>
      <c r="G54" s="1701">
        <f>G8+G15+G20+G41+G34+G46+G52</f>
        <v>37835056.930000007</v>
      </c>
      <c r="H54" s="1701">
        <f>G54/F54</f>
        <v>13915.063232806182</v>
      </c>
      <c r="I54" s="1702">
        <f>G54/G54</f>
        <v>1</v>
      </c>
      <c r="J54" s="1700">
        <v>2217</v>
      </c>
      <c r="K54" s="1701">
        <f>K8+K15+K20+K41+K34+K46+K52</f>
        <v>39967000.82</v>
      </c>
      <c r="L54" s="1701">
        <f>K54/J54</f>
        <v>18027.5150293189</v>
      </c>
      <c r="M54" s="1702">
        <f>K54/K54</f>
        <v>1</v>
      </c>
    </row>
    <row r="55" spans="1:13" x14ac:dyDescent="0.35">
      <c r="A55" s="1703" t="s">
        <v>1548</v>
      </c>
    </row>
    <row r="56" spans="1:13" x14ac:dyDescent="0.35">
      <c r="A56" s="1705" t="s">
        <v>1433</v>
      </c>
    </row>
    <row r="57" spans="1:13" x14ac:dyDescent="0.35">
      <c r="G57" s="1697"/>
    </row>
    <row r="58" spans="1:13" ht="21" x14ac:dyDescent="0.4">
      <c r="A58" s="1706"/>
      <c r="G58" s="1697"/>
    </row>
    <row r="59" spans="1:13" x14ac:dyDescent="0.35">
      <c r="I59" s="1697"/>
    </row>
    <row r="60" spans="1:13" x14ac:dyDescent="0.35">
      <c r="G60" s="1697"/>
      <c r="I60" s="1697"/>
    </row>
    <row r="61" spans="1:13" x14ac:dyDescent="0.35">
      <c r="G61" s="1697"/>
    </row>
    <row r="62" spans="1:13" x14ac:dyDescent="0.35">
      <c r="G62" s="1697"/>
    </row>
    <row r="63" spans="1:13" x14ac:dyDescent="0.35">
      <c r="G63" s="1697"/>
    </row>
    <row r="64" spans="1:13" x14ac:dyDescent="0.35">
      <c r="G64" s="1697"/>
    </row>
  </sheetData>
  <mergeCells count="5">
    <mergeCell ref="A1:M1"/>
    <mergeCell ref="B2:C2"/>
    <mergeCell ref="F2:G2"/>
    <mergeCell ref="J2:K2"/>
    <mergeCell ref="N1:W1"/>
  </mergeCells>
  <printOptions horizontalCentered="1" verticalCentered="1" gridLines="1"/>
  <pageMargins left="0.2" right="0.2" top="0.25" bottom="0.25" header="0.05" footer="0.05"/>
  <pageSetup scale="55" fitToWidth="0" orientation="landscape" r:id="rId1"/>
  <headerFooter>
    <oddFooter>&amp;R&amp;16&amp;D</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5"/>
  <sheetViews>
    <sheetView topLeftCell="E1" workbookViewId="0"/>
  </sheetViews>
  <sheetFormatPr defaultColWidth="6.6640625" defaultRowHeight="13.2" x14ac:dyDescent="0.25"/>
  <cols>
    <col min="1" max="1" width="54.5546875" style="1" hidden="1" customWidth="1"/>
    <col min="2" max="2" width="15.33203125" style="1" hidden="1" customWidth="1"/>
    <col min="3" max="3" width="13.6640625" style="1" hidden="1" customWidth="1"/>
    <col min="4" max="4" width="0" style="1" hidden="1" customWidth="1"/>
    <col min="5" max="16384" width="6.6640625" style="1"/>
  </cols>
  <sheetData>
    <row r="1" spans="1:14" ht="39.6" customHeight="1" x14ac:dyDescent="0.35">
      <c r="A1" s="959" t="s">
        <v>0</v>
      </c>
      <c r="B1" s="959"/>
      <c r="C1" s="959"/>
      <c r="E1" s="2225" t="s">
        <v>1675</v>
      </c>
      <c r="F1" s="2225"/>
      <c r="G1" s="2225"/>
      <c r="H1" s="2225"/>
      <c r="I1" s="2225"/>
      <c r="J1" s="2225"/>
      <c r="K1" s="2225"/>
      <c r="L1" s="2225"/>
      <c r="M1" s="2225"/>
      <c r="N1" s="2225"/>
    </row>
    <row r="2" spans="1:14" ht="17.399999999999999" x14ac:dyDescent="0.25">
      <c r="A2" s="959" t="s">
        <v>1</v>
      </c>
      <c r="B2" s="959"/>
      <c r="C2" s="959"/>
    </row>
    <row r="3" spans="1:14" ht="17.399999999999999" x14ac:dyDescent="0.25">
      <c r="A3" s="959" t="s">
        <v>1465</v>
      </c>
      <c r="B3" s="959"/>
      <c r="C3" s="959"/>
    </row>
    <row r="4" spans="1:14" x14ac:dyDescent="0.25">
      <c r="A4" s="321"/>
      <c r="B4" s="604"/>
      <c r="C4" s="604"/>
    </row>
    <row r="5" spans="1:14" x14ac:dyDescent="0.25">
      <c r="A5" s="405" t="s">
        <v>645</v>
      </c>
      <c r="B5" s="405"/>
      <c r="C5" s="405"/>
    </row>
    <row r="6" spans="1:14" x14ac:dyDescent="0.25">
      <c r="A6" s="405" t="s">
        <v>2</v>
      </c>
      <c r="B6" s="405"/>
      <c r="C6" s="405"/>
    </row>
    <row r="7" spans="1:14" x14ac:dyDescent="0.25">
      <c r="A7" s="405" t="s">
        <v>1310</v>
      </c>
      <c r="B7" s="405"/>
      <c r="C7" s="434">
        <v>11560832</v>
      </c>
    </row>
    <row r="8" spans="1:14" x14ac:dyDescent="0.25">
      <c r="A8" s="405" t="s">
        <v>646</v>
      </c>
      <c r="B8" s="605"/>
      <c r="C8" s="606">
        <v>3452074</v>
      </c>
    </row>
    <row r="9" spans="1:14" x14ac:dyDescent="0.25">
      <c r="A9" s="405" t="s">
        <v>647</v>
      </c>
      <c r="B9" s="605"/>
      <c r="C9" s="606">
        <v>4711740</v>
      </c>
    </row>
    <row r="10" spans="1:14" x14ac:dyDescent="0.25">
      <c r="A10" s="405" t="s">
        <v>648</v>
      </c>
      <c r="B10" s="605"/>
      <c r="C10" s="606">
        <v>105009</v>
      </c>
    </row>
    <row r="11" spans="1:14" x14ac:dyDescent="0.25">
      <c r="A11" s="405" t="s">
        <v>3</v>
      </c>
      <c r="B11" s="605"/>
      <c r="C11" s="606">
        <v>341969</v>
      </c>
    </row>
    <row r="12" spans="1:14" x14ac:dyDescent="0.25">
      <c r="A12" s="405" t="s">
        <v>4</v>
      </c>
      <c r="B12" s="605"/>
      <c r="C12" s="606">
        <v>6769958</v>
      </c>
    </row>
    <row r="13" spans="1:14" x14ac:dyDescent="0.25">
      <c r="A13" s="405" t="s">
        <v>5</v>
      </c>
      <c r="B13" s="605"/>
      <c r="C13" s="606">
        <v>262281</v>
      </c>
    </row>
    <row r="14" spans="1:14" x14ac:dyDescent="0.25">
      <c r="A14" s="405" t="s">
        <v>6</v>
      </c>
      <c r="B14" s="605"/>
      <c r="C14" s="606">
        <f>SUM(C7:C13)</f>
        <v>27203863</v>
      </c>
    </row>
    <row r="15" spans="1:14" x14ac:dyDescent="0.25">
      <c r="A15" s="405"/>
      <c r="B15" s="605"/>
      <c r="C15" s="606"/>
    </row>
    <row r="16" spans="1:14" x14ac:dyDescent="0.25">
      <c r="A16" s="405" t="s">
        <v>7</v>
      </c>
      <c r="B16" s="605"/>
      <c r="C16" s="606"/>
    </row>
    <row r="17" spans="1:3" x14ac:dyDescent="0.25">
      <c r="A17" s="405" t="s">
        <v>8</v>
      </c>
      <c r="B17" s="605"/>
      <c r="C17" s="606"/>
    </row>
    <row r="18" spans="1:3" x14ac:dyDescent="0.25">
      <c r="A18" s="405" t="s">
        <v>1312</v>
      </c>
      <c r="B18" s="605"/>
      <c r="C18" s="606">
        <v>17691632</v>
      </c>
    </row>
    <row r="19" spans="1:3" x14ac:dyDescent="0.25">
      <c r="A19" s="604" t="s">
        <v>1311</v>
      </c>
      <c r="B19" s="605"/>
      <c r="C19" s="606">
        <v>4749370</v>
      </c>
    </row>
    <row r="20" spans="1:3" x14ac:dyDescent="0.25">
      <c r="A20" s="405" t="s">
        <v>9</v>
      </c>
      <c r="B20" s="605"/>
      <c r="C20" s="606">
        <v>10294183</v>
      </c>
    </row>
    <row r="21" spans="1:3" x14ac:dyDescent="0.25">
      <c r="A21" s="405" t="s">
        <v>10</v>
      </c>
      <c r="B21" s="605"/>
      <c r="C21" s="434">
        <v>2315330</v>
      </c>
    </row>
    <row r="22" spans="1:3" x14ac:dyDescent="0.25">
      <c r="A22" s="405" t="s">
        <v>11</v>
      </c>
      <c r="B22" s="605"/>
      <c r="C22" s="606">
        <v>2265286</v>
      </c>
    </row>
    <row r="23" spans="1:3" x14ac:dyDescent="0.25">
      <c r="A23" s="405" t="s">
        <v>12</v>
      </c>
      <c r="B23" s="605"/>
      <c r="C23" s="606">
        <f>SUM(C18:C22)</f>
        <v>37315801</v>
      </c>
    </row>
    <row r="24" spans="1:3" x14ac:dyDescent="0.25">
      <c r="A24" s="405" t="s">
        <v>831</v>
      </c>
      <c r="B24" s="605"/>
      <c r="C24" s="606"/>
    </row>
    <row r="25" spans="1:3" x14ac:dyDescent="0.25">
      <c r="A25" s="405" t="s">
        <v>462</v>
      </c>
      <c r="B25" s="605"/>
      <c r="C25" s="606">
        <f>C14-C23</f>
        <v>-10111938</v>
      </c>
    </row>
    <row r="26" spans="1:3" x14ac:dyDescent="0.25">
      <c r="A26" s="405" t="s">
        <v>831</v>
      </c>
      <c r="B26" s="605"/>
      <c r="C26" s="606"/>
    </row>
    <row r="27" spans="1:3" x14ac:dyDescent="0.25">
      <c r="A27" s="405" t="s">
        <v>463</v>
      </c>
      <c r="B27" s="605"/>
      <c r="C27" s="606"/>
    </row>
    <row r="28" spans="1:3" x14ac:dyDescent="0.25">
      <c r="A28" s="405" t="s">
        <v>464</v>
      </c>
      <c r="B28" s="605"/>
      <c r="C28" s="606">
        <v>10799698</v>
      </c>
    </row>
    <row r="29" spans="1:3" x14ac:dyDescent="0.25">
      <c r="A29" s="405" t="s">
        <v>465</v>
      </c>
      <c r="B29" s="605"/>
      <c r="C29" s="606">
        <v>9689</v>
      </c>
    </row>
    <row r="30" spans="1:3" x14ac:dyDescent="0.25">
      <c r="A30" s="405" t="s">
        <v>466</v>
      </c>
      <c r="B30" s="605"/>
      <c r="C30" s="606">
        <v>929221</v>
      </c>
    </row>
    <row r="31" spans="1:3" x14ac:dyDescent="0.25">
      <c r="A31" s="405" t="s">
        <v>468</v>
      </c>
      <c r="B31" s="605"/>
      <c r="C31" s="606">
        <v>654872</v>
      </c>
    </row>
    <row r="32" spans="1:3" x14ac:dyDescent="0.25">
      <c r="A32" s="405" t="s">
        <v>759</v>
      </c>
      <c r="B32" s="605"/>
      <c r="C32" s="606">
        <v>-1952</v>
      </c>
    </row>
    <row r="33" spans="1:3" x14ac:dyDescent="0.25">
      <c r="A33" s="405" t="s">
        <v>469</v>
      </c>
      <c r="B33" s="605"/>
      <c r="C33" s="606">
        <v>-667173</v>
      </c>
    </row>
    <row r="34" spans="1:3" x14ac:dyDescent="0.25">
      <c r="A34" s="405" t="s">
        <v>471</v>
      </c>
      <c r="B34"/>
      <c r="C34" s="606">
        <f>SUM(C28:C33)</f>
        <v>11724355</v>
      </c>
    </row>
    <row r="35" spans="1:3" x14ac:dyDescent="0.25">
      <c r="A35" s="405" t="s">
        <v>831</v>
      </c>
      <c r="B35"/>
      <c r="C35" s="606"/>
    </row>
    <row r="36" spans="1:3" x14ac:dyDescent="0.25">
      <c r="A36" s="405" t="s">
        <v>831</v>
      </c>
      <c r="B36"/>
      <c r="C36" s="606"/>
    </row>
    <row r="37" spans="1:3" x14ac:dyDescent="0.25">
      <c r="A37" s="405" t="s">
        <v>472</v>
      </c>
      <c r="B37"/>
      <c r="C37" s="407"/>
    </row>
    <row r="38" spans="1:3" x14ac:dyDescent="0.25">
      <c r="A38" s="405" t="s">
        <v>473</v>
      </c>
      <c r="B38"/>
      <c r="C38" s="406">
        <f>C34+C25</f>
        <v>1612417</v>
      </c>
    </row>
    <row r="39" spans="1:3" x14ac:dyDescent="0.25">
      <c r="A39" s="405" t="s">
        <v>831</v>
      </c>
      <c r="B39"/>
      <c r="C39" s="406"/>
    </row>
    <row r="40" spans="1:3" x14ac:dyDescent="0.25">
      <c r="A40" s="405"/>
      <c r="B40"/>
      <c r="C40" s="406"/>
    </row>
    <row r="41" spans="1:3" x14ac:dyDescent="0.25">
      <c r="A41" s="405" t="s">
        <v>474</v>
      </c>
      <c r="B41"/>
      <c r="C41" s="407">
        <v>1160464</v>
      </c>
    </row>
    <row r="42" spans="1:3" x14ac:dyDescent="0.25">
      <c r="A42" s="405" t="s">
        <v>1313</v>
      </c>
      <c r="B42"/>
      <c r="C42" s="406">
        <f>SUM(C41:C41)</f>
        <v>1160464</v>
      </c>
    </row>
    <row r="43" spans="1:3" x14ac:dyDescent="0.25">
      <c r="A43" s="404"/>
      <c r="B43"/>
      <c r="C43" s="406"/>
    </row>
    <row r="44" spans="1:3" x14ac:dyDescent="0.25">
      <c r="A44" s="405" t="s">
        <v>831</v>
      </c>
      <c r="B44"/>
      <c r="C44" s="406"/>
    </row>
    <row r="45" spans="1:3" x14ac:dyDescent="0.25">
      <c r="A45" s="405" t="s">
        <v>475</v>
      </c>
      <c r="B45"/>
      <c r="C45" s="407">
        <f>C42+C38</f>
        <v>2772881</v>
      </c>
    </row>
    <row r="46" spans="1:3" x14ac:dyDescent="0.25">
      <c r="A46" s="404" t="s">
        <v>862</v>
      </c>
      <c r="B46"/>
      <c r="C46" s="406"/>
    </row>
    <row r="47" spans="1:3" x14ac:dyDescent="0.25">
      <c r="A47" s="405" t="s">
        <v>476</v>
      </c>
      <c r="B47"/>
      <c r="C47" s="406">
        <v>48007484</v>
      </c>
    </row>
    <row r="48" spans="1:3" x14ac:dyDescent="0.25">
      <c r="A48" s="405"/>
      <c r="B48"/>
      <c r="C48" s="406"/>
    </row>
    <row r="49" spans="1:3" x14ac:dyDescent="0.25">
      <c r="A49" s="405" t="s">
        <v>478</v>
      </c>
      <c r="B49"/>
      <c r="C49" s="406">
        <f>C47+C45</f>
        <v>50780365</v>
      </c>
    </row>
    <row r="50" spans="1:3" x14ac:dyDescent="0.25">
      <c r="A50" s="404"/>
      <c r="B50"/>
      <c r="C50" s="606"/>
    </row>
    <row r="51" spans="1:3" x14ac:dyDescent="0.25">
      <c r="A51" s="405"/>
      <c r="B51"/>
      <c r="C51" s="606"/>
    </row>
    <row r="52" spans="1:3" x14ac:dyDescent="0.25">
      <c r="A52" s="404"/>
      <c r="B52"/>
      <c r="C52" s="607"/>
    </row>
    <row r="53" spans="1:3" x14ac:dyDescent="0.25">
      <c r="A53" s="405"/>
      <c r="B53"/>
      <c r="C53"/>
    </row>
    <row r="54" spans="1:3" x14ac:dyDescent="0.25">
      <c r="A54" s="405"/>
      <c r="B54"/>
      <c r="C54"/>
    </row>
    <row r="55" spans="1:3" x14ac:dyDescent="0.25">
      <c r="A55" s="405"/>
      <c r="B55"/>
      <c r="C55"/>
    </row>
    <row r="56" spans="1:3" x14ac:dyDescent="0.25">
      <c r="A56" s="405"/>
    </row>
    <row r="57" spans="1:3" x14ac:dyDescent="0.25">
      <c r="A57" s="405"/>
    </row>
    <row r="58" spans="1:3" x14ac:dyDescent="0.25">
      <c r="A58" s="405"/>
    </row>
    <row r="59" spans="1:3" x14ac:dyDescent="0.25">
      <c r="A59" s="405"/>
    </row>
    <row r="60" spans="1:3" x14ac:dyDescent="0.25">
      <c r="A60" s="405"/>
    </row>
    <row r="61" spans="1:3" x14ac:dyDescent="0.25">
      <c r="A61" s="405"/>
    </row>
    <row r="62" spans="1:3" x14ac:dyDescent="0.25">
      <c r="A62" s="405"/>
    </row>
    <row r="63" spans="1:3" x14ac:dyDescent="0.25">
      <c r="A63" s="405"/>
    </row>
    <row r="64" spans="1:3" x14ac:dyDescent="0.25">
      <c r="A64" s="405"/>
    </row>
    <row r="65" spans="1:1" x14ac:dyDescent="0.25">
      <c r="A65" s="405"/>
    </row>
  </sheetData>
  <mergeCells count="1">
    <mergeCell ref="E1:N1"/>
  </mergeCells>
  <printOptions horizontalCentered="1" verticalCentered="1"/>
  <pageMargins left="0.75" right="0.75" top="1" bottom="1" header="0.5" footer="0.5"/>
  <pageSetup orientation="portrait" horizontalDpi="4294967292" verticalDpi="300" r:id="rId1"/>
  <headerFooter alignWithMargins="0">
    <oddFooter>&amp;L&amp;7Source: Office of the Budget Director</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4"/>
  <sheetViews>
    <sheetView topLeftCell="L1" workbookViewId="0"/>
  </sheetViews>
  <sheetFormatPr defaultColWidth="6.6640625" defaultRowHeight="13.2" x14ac:dyDescent="0.25"/>
  <cols>
    <col min="1" max="1" width="25.33203125" style="1" hidden="1" customWidth="1"/>
    <col min="2" max="2" width="11.44140625" style="1" hidden="1" customWidth="1"/>
    <col min="3" max="3" width="10.44140625" style="1" hidden="1" customWidth="1"/>
    <col min="4" max="4" width="7.6640625" style="275" hidden="1" customWidth="1"/>
    <col min="5" max="5" width="1.33203125" style="275" hidden="1" customWidth="1"/>
    <col min="6" max="6" width="29.88671875" style="1" hidden="1" customWidth="1"/>
    <col min="7" max="11" width="0" style="1" hidden="1" customWidth="1"/>
    <col min="12" max="16384" width="6.6640625" style="1"/>
  </cols>
  <sheetData>
    <row r="1" spans="1:21" ht="39.6" customHeight="1" x14ac:dyDescent="0.4">
      <c r="A1" s="5" t="s">
        <v>790</v>
      </c>
      <c r="B1" s="5"/>
      <c r="C1" s="5"/>
      <c r="D1" s="276"/>
      <c r="E1" s="276"/>
      <c r="F1" s="5"/>
      <c r="L1" s="2225" t="s">
        <v>1675</v>
      </c>
      <c r="M1" s="2225"/>
      <c r="N1" s="2225"/>
      <c r="O1" s="2225"/>
      <c r="P1" s="2225"/>
      <c r="Q1" s="2225"/>
      <c r="R1" s="2225"/>
      <c r="S1" s="2225"/>
      <c r="T1" s="2225"/>
      <c r="U1" s="2225"/>
    </row>
    <row r="2" spans="1:21" ht="21" x14ac:dyDescent="0.4">
      <c r="A2" s="5"/>
      <c r="B2" s="6"/>
      <c r="C2" s="6"/>
      <c r="D2" s="277"/>
      <c r="E2" s="277"/>
      <c r="F2" s="6"/>
    </row>
    <row r="3" spans="1:21" x14ac:dyDescent="0.25">
      <c r="F3" s="405"/>
    </row>
    <row r="4" spans="1:21" x14ac:dyDescent="0.25">
      <c r="B4" s="260" t="s">
        <v>653</v>
      </c>
      <c r="C4" s="260" t="s">
        <v>653</v>
      </c>
      <c r="D4" s="608" t="s">
        <v>654</v>
      </c>
      <c r="E4" s="609"/>
      <c r="F4" s="603"/>
    </row>
    <row r="5" spans="1:21" x14ac:dyDescent="0.25">
      <c r="A5" s="278" t="s">
        <v>655</v>
      </c>
      <c r="B5" s="75" t="s">
        <v>656</v>
      </c>
      <c r="C5" s="75" t="s">
        <v>657</v>
      </c>
      <c r="D5" s="610" t="s">
        <v>658</v>
      </c>
      <c r="E5" s="611"/>
      <c r="F5" s="279" t="s">
        <v>659</v>
      </c>
      <c r="G5" s="268"/>
    </row>
    <row r="6" spans="1:21" x14ac:dyDescent="0.25">
      <c r="A6" s="7"/>
      <c r="B6" s="602"/>
      <c r="C6" s="602"/>
      <c r="D6" s="612"/>
      <c r="E6" s="612"/>
      <c r="F6" s="602"/>
      <c r="G6" s="259"/>
    </row>
    <row r="7" spans="1:21" x14ac:dyDescent="0.25">
      <c r="A7" s="405"/>
      <c r="B7" s="405"/>
      <c r="C7" s="405"/>
      <c r="D7" s="613"/>
      <c r="E7" s="613"/>
      <c r="F7" s="405"/>
      <c r="G7" s="405"/>
      <c r="H7" s="405"/>
    </row>
    <row r="8" spans="1:21" x14ac:dyDescent="0.25">
      <c r="A8" s="614" t="s">
        <v>660</v>
      </c>
      <c r="B8" s="614"/>
      <c r="C8" s="614"/>
      <c r="D8" s="615"/>
      <c r="E8" s="615"/>
      <c r="F8" s="614"/>
      <c r="G8" s="405"/>
      <c r="H8" s="405"/>
    </row>
    <row r="9" spans="1:21" x14ac:dyDescent="0.25">
      <c r="A9" s="614"/>
      <c r="B9" s="614"/>
      <c r="C9" s="614"/>
      <c r="D9" s="616"/>
      <c r="E9" s="616"/>
      <c r="F9" s="614"/>
      <c r="G9" s="405"/>
      <c r="H9" s="405"/>
    </row>
    <row r="10" spans="1:21" x14ac:dyDescent="0.25">
      <c r="A10" s="405" t="s">
        <v>582</v>
      </c>
      <c r="B10" s="405">
        <v>1977</v>
      </c>
      <c r="C10" s="617"/>
      <c r="D10" s="613">
        <f>9800+9800+9800+9608+9608+9608+9608</f>
        <v>67832</v>
      </c>
      <c r="E10" s="613"/>
      <c r="F10" s="405" t="s">
        <v>661</v>
      </c>
      <c r="G10" s="405"/>
      <c r="H10" s="405"/>
    </row>
    <row r="11" spans="1:21" x14ac:dyDescent="0.25">
      <c r="A11" s="405" t="s">
        <v>583</v>
      </c>
      <c r="B11" s="405">
        <v>1925</v>
      </c>
      <c r="C11" s="617">
        <v>2003</v>
      </c>
      <c r="D11" s="613">
        <v>20694</v>
      </c>
      <c r="E11" s="613"/>
      <c r="F11" s="405" t="s">
        <v>661</v>
      </c>
      <c r="G11" s="405"/>
      <c r="H11" s="405"/>
    </row>
    <row r="12" spans="1:21" x14ac:dyDescent="0.25">
      <c r="A12" s="405" t="s">
        <v>584</v>
      </c>
      <c r="B12" s="405">
        <v>1950</v>
      </c>
      <c r="C12" s="617"/>
      <c r="D12" s="613">
        <v>35572</v>
      </c>
      <c r="E12" s="613"/>
      <c r="F12" s="405" t="s">
        <v>661</v>
      </c>
      <c r="G12" s="405"/>
      <c r="H12" s="405"/>
    </row>
    <row r="13" spans="1:21" x14ac:dyDescent="0.25">
      <c r="A13" s="405" t="s">
        <v>588</v>
      </c>
      <c r="B13" s="405">
        <v>1925</v>
      </c>
      <c r="C13" s="617">
        <v>1984</v>
      </c>
      <c r="D13" s="613">
        <v>50200</v>
      </c>
      <c r="E13" s="613"/>
      <c r="F13" s="405" t="s">
        <v>661</v>
      </c>
      <c r="G13" s="405"/>
      <c r="H13" s="405"/>
    </row>
    <row r="14" spans="1:21" x14ac:dyDescent="0.25">
      <c r="A14" s="405" t="s">
        <v>586</v>
      </c>
      <c r="B14" s="405">
        <v>1984</v>
      </c>
      <c r="C14" s="617"/>
      <c r="D14" s="613">
        <f>8628+8628+8628+8628+8628+500</f>
        <v>43640</v>
      </c>
      <c r="E14" s="613"/>
      <c r="F14" s="405" t="s">
        <v>661</v>
      </c>
      <c r="G14" s="405"/>
      <c r="H14" s="405"/>
    </row>
    <row r="15" spans="1:21" x14ac:dyDescent="0.25">
      <c r="A15" s="405" t="s">
        <v>585</v>
      </c>
      <c r="B15" s="405">
        <v>1992</v>
      </c>
      <c r="C15" s="617"/>
      <c r="D15" s="613">
        <f>728+728+728+728+882+728+728+728+728+728+728+728+728+728+728+728+728+1008</f>
        <v>13538</v>
      </c>
      <c r="E15" s="613"/>
      <c r="F15" s="405" t="s">
        <v>661</v>
      </c>
      <c r="G15" s="405"/>
      <c r="H15" s="405"/>
    </row>
    <row r="16" spans="1:21" x14ac:dyDescent="0.25">
      <c r="A16" s="405" t="s">
        <v>587</v>
      </c>
      <c r="B16" s="405">
        <v>1983</v>
      </c>
      <c r="C16" s="617"/>
      <c r="D16" s="613">
        <f>2016+2016+2352+2016+2016+2016+2016+2016</f>
        <v>16464</v>
      </c>
      <c r="E16" s="613"/>
      <c r="F16" s="405" t="s">
        <v>661</v>
      </c>
      <c r="G16" s="405"/>
      <c r="H16" s="405"/>
    </row>
    <row r="17" spans="1:8" x14ac:dyDescent="0.25">
      <c r="A17" s="405"/>
      <c r="B17" s="405"/>
      <c r="C17" s="405"/>
      <c r="D17" s="613"/>
      <c r="E17" s="613"/>
      <c r="F17" s="405"/>
      <c r="G17" s="405"/>
      <c r="H17" s="405"/>
    </row>
    <row r="18" spans="1:8" x14ac:dyDescent="0.25">
      <c r="A18" s="405"/>
      <c r="B18" s="405"/>
      <c r="C18" s="405"/>
      <c r="D18" s="613"/>
      <c r="E18" s="613"/>
      <c r="F18" s="405"/>
      <c r="G18" s="405"/>
      <c r="H18" s="405"/>
    </row>
    <row r="19" spans="1:8" x14ac:dyDescent="0.25">
      <c r="A19" s="614" t="s">
        <v>662</v>
      </c>
      <c r="B19" s="614"/>
      <c r="C19" s="614"/>
      <c r="D19" s="615"/>
      <c r="E19" s="615"/>
      <c r="F19" s="614"/>
      <c r="G19" s="405"/>
      <c r="H19" s="405"/>
    </row>
    <row r="20" spans="1:8" x14ac:dyDescent="0.25">
      <c r="A20" s="614"/>
      <c r="B20" s="614"/>
      <c r="C20" s="614"/>
      <c r="D20" s="616"/>
      <c r="E20" s="616"/>
      <c r="F20" s="614"/>
      <c r="G20" s="405"/>
      <c r="H20" s="405"/>
    </row>
    <row r="21" spans="1:8" x14ac:dyDescent="0.25">
      <c r="A21" s="405" t="s">
        <v>1353</v>
      </c>
      <c r="B21" s="405">
        <v>1967</v>
      </c>
      <c r="C21" s="617">
        <v>2000</v>
      </c>
      <c r="D21" s="613">
        <v>24445</v>
      </c>
      <c r="E21" s="613"/>
      <c r="F21" s="405" t="s">
        <v>663</v>
      </c>
      <c r="G21" s="405"/>
      <c r="H21" s="405"/>
    </row>
    <row r="22" spans="1:8" x14ac:dyDescent="0.25">
      <c r="A22" s="405" t="s">
        <v>664</v>
      </c>
      <c r="B22" s="405">
        <v>1982</v>
      </c>
      <c r="C22" s="617"/>
      <c r="D22" s="613">
        <v>110898</v>
      </c>
      <c r="E22" s="613"/>
      <c r="F22" s="405" t="s">
        <v>663</v>
      </c>
      <c r="G22" s="405"/>
      <c r="H22" s="405"/>
    </row>
    <row r="23" spans="1:8" x14ac:dyDescent="0.25">
      <c r="A23" s="405" t="s">
        <v>665</v>
      </c>
      <c r="B23" s="405">
        <v>1987</v>
      </c>
      <c r="C23" s="617"/>
      <c r="D23" s="613">
        <v>67947</v>
      </c>
      <c r="E23" s="613"/>
      <c r="F23" s="405" t="s">
        <v>666</v>
      </c>
      <c r="G23" s="405"/>
      <c r="H23" s="405"/>
    </row>
    <row r="24" spans="1:8" x14ac:dyDescent="0.25">
      <c r="A24" s="405" t="s">
        <v>667</v>
      </c>
      <c r="B24" s="405">
        <v>1991</v>
      </c>
      <c r="C24" s="617"/>
      <c r="D24" s="613">
        <f>53042+73249</f>
        <v>126291</v>
      </c>
      <c r="E24" s="613"/>
      <c r="F24" s="405" t="s">
        <v>668</v>
      </c>
      <c r="G24" s="405"/>
      <c r="H24" s="405"/>
    </row>
    <row r="25" spans="1:8" x14ac:dyDescent="0.25">
      <c r="A25" s="405"/>
      <c r="B25" s="405"/>
      <c r="C25" s="617"/>
      <c r="D25" s="613"/>
      <c r="E25" s="613"/>
      <c r="F25" s="405" t="s">
        <v>669</v>
      </c>
      <c r="G25" s="405"/>
      <c r="H25" s="405"/>
    </row>
    <row r="26" spans="1:8" x14ac:dyDescent="0.25">
      <c r="A26" s="405" t="s">
        <v>671</v>
      </c>
      <c r="B26" s="405">
        <v>1978</v>
      </c>
      <c r="C26" s="617"/>
      <c r="D26" s="613">
        <v>61000</v>
      </c>
      <c r="E26" s="613"/>
      <c r="F26" s="405" t="s">
        <v>672</v>
      </c>
      <c r="G26" s="405"/>
      <c r="H26" s="405"/>
    </row>
    <row r="27" spans="1:8" x14ac:dyDescent="0.25">
      <c r="A27" s="405"/>
      <c r="B27" s="405"/>
      <c r="C27" s="617"/>
      <c r="D27" s="613"/>
      <c r="E27" s="613"/>
      <c r="F27" s="405" t="s">
        <v>673</v>
      </c>
      <c r="G27" s="405"/>
      <c r="H27" s="405"/>
    </row>
    <row r="28" spans="1:8" x14ac:dyDescent="0.25">
      <c r="A28" s="405" t="s">
        <v>674</v>
      </c>
      <c r="B28" s="405">
        <v>1976</v>
      </c>
      <c r="C28" s="617"/>
      <c r="D28" s="613">
        <v>65255</v>
      </c>
      <c r="E28" s="613"/>
      <c r="F28" s="405" t="s">
        <v>675</v>
      </c>
      <c r="G28" s="405"/>
      <c r="H28" s="405"/>
    </row>
    <row r="29" spans="1:8" x14ac:dyDescent="0.25">
      <c r="A29" s="405"/>
      <c r="B29" s="405"/>
      <c r="C29" s="617"/>
      <c r="D29" s="613"/>
      <c r="E29" s="613"/>
      <c r="F29" s="405" t="s">
        <v>678</v>
      </c>
      <c r="G29" s="405"/>
      <c r="H29" s="405"/>
    </row>
    <row r="30" spans="1:8" x14ac:dyDescent="0.25">
      <c r="A30" s="405" t="s">
        <v>679</v>
      </c>
      <c r="B30" s="405">
        <v>1996</v>
      </c>
      <c r="C30" s="617"/>
      <c r="D30" s="613">
        <v>22257</v>
      </c>
      <c r="E30" s="613"/>
      <c r="F30" s="405" t="s">
        <v>681</v>
      </c>
      <c r="G30" s="405"/>
      <c r="H30" s="405"/>
    </row>
    <row r="31" spans="1:8" x14ac:dyDescent="0.25">
      <c r="A31" s="405" t="s">
        <v>682</v>
      </c>
      <c r="B31" s="405">
        <v>1996</v>
      </c>
      <c r="C31" s="617"/>
      <c r="D31" s="613">
        <v>83603</v>
      </c>
      <c r="E31" s="613"/>
      <c r="F31" s="405" t="s">
        <v>681</v>
      </c>
      <c r="G31" s="405"/>
      <c r="H31" s="405"/>
    </row>
    <row r="32" spans="1:8" x14ac:dyDescent="0.25">
      <c r="A32" s="405" t="s">
        <v>683</v>
      </c>
      <c r="B32" s="405">
        <v>1955</v>
      </c>
      <c r="C32" s="617"/>
      <c r="D32" s="613">
        <v>1316</v>
      </c>
      <c r="E32" s="613"/>
      <c r="F32" s="405" t="s">
        <v>684</v>
      </c>
      <c r="G32" s="405"/>
      <c r="H32" s="405"/>
    </row>
    <row r="33" spans="1:8" x14ac:dyDescent="0.25">
      <c r="A33" s="405" t="s">
        <v>685</v>
      </c>
      <c r="B33" s="405">
        <v>1964</v>
      </c>
      <c r="C33" s="617"/>
      <c r="D33" s="613">
        <v>1069</v>
      </c>
      <c r="E33" s="613"/>
      <c r="F33" s="405" t="s">
        <v>684</v>
      </c>
      <c r="G33" s="405"/>
      <c r="H33" s="405"/>
    </row>
    <row r="34" spans="1:8" x14ac:dyDescent="0.25">
      <c r="A34" s="405" t="s">
        <v>686</v>
      </c>
      <c r="B34" s="405">
        <v>1970</v>
      </c>
      <c r="C34" s="617"/>
      <c r="D34" s="613">
        <v>1324</v>
      </c>
      <c r="E34" s="613"/>
      <c r="F34" s="405" t="s">
        <v>684</v>
      </c>
      <c r="G34" s="405"/>
      <c r="H34" s="405"/>
    </row>
    <row r="35" spans="1:8" x14ac:dyDescent="0.25">
      <c r="A35" s="405" t="s">
        <v>687</v>
      </c>
      <c r="B35" s="405">
        <v>1955</v>
      </c>
      <c r="C35" s="617">
        <v>1992</v>
      </c>
      <c r="D35" s="613">
        <v>1677</v>
      </c>
      <c r="E35" s="613"/>
      <c r="F35" s="405" t="s">
        <v>688</v>
      </c>
      <c r="G35" s="405"/>
      <c r="H35" s="405"/>
    </row>
    <row r="36" spans="1:8" x14ac:dyDescent="0.25">
      <c r="A36" s="405"/>
      <c r="B36" s="405"/>
      <c r="C36" s="405"/>
      <c r="D36" s="613"/>
      <c r="E36" s="613"/>
      <c r="F36" s="405"/>
      <c r="G36" s="405"/>
      <c r="H36" s="405"/>
    </row>
    <row r="37" spans="1:8" x14ac:dyDescent="0.25">
      <c r="A37" s="405"/>
      <c r="B37" s="405"/>
      <c r="C37" s="405"/>
      <c r="D37" s="613"/>
      <c r="E37" s="613"/>
      <c r="F37" s="405"/>
      <c r="G37" s="405"/>
      <c r="H37" s="405"/>
    </row>
    <row r="38" spans="1:8" x14ac:dyDescent="0.25">
      <c r="A38" s="614" t="s">
        <v>689</v>
      </c>
      <c r="B38" s="614"/>
      <c r="C38" s="614"/>
      <c r="D38" s="615"/>
      <c r="E38" s="615"/>
      <c r="F38" s="614"/>
      <c r="G38" s="405"/>
      <c r="H38" s="405"/>
    </row>
    <row r="39" spans="1:8" x14ac:dyDescent="0.25">
      <c r="A39" s="614"/>
      <c r="B39" s="614"/>
      <c r="C39" s="614"/>
      <c r="D39" s="616"/>
      <c r="E39" s="616"/>
      <c r="F39" s="614"/>
      <c r="G39" s="405"/>
      <c r="H39" s="405"/>
    </row>
    <row r="40" spans="1:8" x14ac:dyDescent="0.25">
      <c r="A40" s="405" t="s">
        <v>690</v>
      </c>
      <c r="B40" s="405">
        <v>1974</v>
      </c>
      <c r="C40" s="617"/>
      <c r="D40" s="613">
        <v>6360</v>
      </c>
      <c r="E40" s="613"/>
      <c r="F40" s="618" t="s">
        <v>691</v>
      </c>
      <c r="G40" s="405"/>
      <c r="H40" s="405"/>
    </row>
    <row r="41" spans="1:8" x14ac:dyDescent="0.25">
      <c r="A41" s="405"/>
      <c r="B41" s="405"/>
      <c r="C41" s="617"/>
      <c r="D41" s="613"/>
      <c r="E41" s="613"/>
      <c r="F41" s="405" t="s">
        <v>692</v>
      </c>
      <c r="G41" s="405"/>
      <c r="H41" s="405"/>
    </row>
    <row r="42" spans="1:8" x14ac:dyDescent="0.25">
      <c r="A42" s="405"/>
      <c r="B42" s="405"/>
      <c r="C42" s="617"/>
      <c r="D42" s="613"/>
      <c r="E42" s="613"/>
      <c r="F42" s="405" t="s">
        <v>695</v>
      </c>
      <c r="G42" s="405"/>
      <c r="H42" s="405"/>
    </row>
    <row r="43" spans="1:8" x14ac:dyDescent="0.25">
      <c r="A43" s="405" t="s">
        <v>670</v>
      </c>
      <c r="B43" s="405">
        <v>1974</v>
      </c>
      <c r="C43" s="617">
        <v>2001</v>
      </c>
      <c r="D43" s="613">
        <v>5400</v>
      </c>
      <c r="E43" s="613"/>
      <c r="F43" s="405" t="s">
        <v>467</v>
      </c>
      <c r="G43" s="405"/>
      <c r="H43" s="405"/>
    </row>
    <row r="44" spans="1:8" x14ac:dyDescent="0.25">
      <c r="A44" s="405" t="s">
        <v>696</v>
      </c>
      <c r="B44" s="405">
        <v>1990</v>
      </c>
      <c r="C44" s="617"/>
      <c r="D44" s="613">
        <v>12000</v>
      </c>
      <c r="E44" s="613"/>
      <c r="F44" s="405" t="s">
        <v>697</v>
      </c>
      <c r="G44" s="405"/>
      <c r="H44" s="405"/>
    </row>
    <row r="45" spans="1:8" x14ac:dyDescent="0.25">
      <c r="A45" s="405" t="s">
        <v>698</v>
      </c>
      <c r="B45" s="405">
        <v>1952</v>
      </c>
      <c r="C45" s="617"/>
      <c r="D45" s="613">
        <v>8246</v>
      </c>
      <c r="E45" s="613"/>
      <c r="F45" s="405" t="s">
        <v>699</v>
      </c>
      <c r="G45" s="405"/>
      <c r="H45" s="405"/>
    </row>
    <row r="46" spans="1:8" x14ac:dyDescent="0.25">
      <c r="A46" s="405" t="s">
        <v>700</v>
      </c>
      <c r="B46" s="405">
        <v>1942</v>
      </c>
      <c r="C46" s="617">
        <v>1988</v>
      </c>
      <c r="D46" s="613">
        <v>7000</v>
      </c>
      <c r="E46" s="613"/>
      <c r="F46" s="405" t="s">
        <v>701</v>
      </c>
      <c r="G46" s="405"/>
      <c r="H46" s="405"/>
    </row>
    <row r="47" spans="1:8" x14ac:dyDescent="0.25">
      <c r="A47" s="405" t="s">
        <v>702</v>
      </c>
      <c r="B47" s="405">
        <v>1935</v>
      </c>
      <c r="C47" s="617"/>
      <c r="D47" s="613">
        <v>1800</v>
      </c>
      <c r="E47" s="613"/>
      <c r="F47" s="405" t="s">
        <v>703</v>
      </c>
      <c r="G47" s="405"/>
      <c r="H47" s="405"/>
    </row>
    <row r="48" spans="1:8" x14ac:dyDescent="0.25">
      <c r="A48" s="405" t="s">
        <v>704</v>
      </c>
      <c r="B48" s="405">
        <v>1920</v>
      </c>
      <c r="C48" s="617"/>
      <c r="D48" s="613">
        <v>1500</v>
      </c>
      <c r="E48" s="613"/>
      <c r="F48" s="405" t="s">
        <v>705</v>
      </c>
      <c r="G48" s="405"/>
      <c r="H48" s="405"/>
    </row>
    <row r="49" spans="1:8" x14ac:dyDescent="0.25">
      <c r="A49" s="405" t="s">
        <v>706</v>
      </c>
      <c r="B49" s="405">
        <v>1947</v>
      </c>
      <c r="C49" s="617">
        <v>1985</v>
      </c>
      <c r="D49" s="613">
        <v>1120</v>
      </c>
      <c r="E49" s="613"/>
      <c r="F49" s="405" t="s">
        <v>707</v>
      </c>
      <c r="G49" s="405"/>
      <c r="H49" s="405"/>
    </row>
    <row r="50" spans="1:8" x14ac:dyDescent="0.25">
      <c r="A50" s="405" t="s">
        <v>708</v>
      </c>
      <c r="B50" s="405">
        <v>1949</v>
      </c>
      <c r="C50" s="617">
        <v>1990</v>
      </c>
      <c r="D50" s="613">
        <v>1106</v>
      </c>
      <c r="E50" s="613"/>
      <c r="F50" s="405" t="s">
        <v>709</v>
      </c>
      <c r="G50" s="405"/>
      <c r="H50" s="405"/>
    </row>
    <row r="51" spans="1:8" x14ac:dyDescent="0.25">
      <c r="A51" s="405" t="s">
        <v>710</v>
      </c>
      <c r="B51" s="405">
        <v>1960</v>
      </c>
      <c r="C51" s="617">
        <v>1993</v>
      </c>
      <c r="D51" s="613">
        <v>1378</v>
      </c>
      <c r="E51" s="613"/>
      <c r="F51" s="405" t="s">
        <v>711</v>
      </c>
      <c r="G51" s="405"/>
      <c r="H51" s="405"/>
    </row>
    <row r="52" spans="1:8" x14ac:dyDescent="0.25">
      <c r="A52" s="405"/>
      <c r="B52" s="405"/>
      <c r="C52" s="405"/>
      <c r="D52" s="613"/>
      <c r="E52" s="613"/>
      <c r="F52" s="405"/>
      <c r="G52" s="405"/>
      <c r="H52" s="405"/>
    </row>
    <row r="53" spans="1:8" x14ac:dyDescent="0.25">
      <c r="A53" s="405"/>
      <c r="B53" s="405"/>
      <c r="C53" s="405"/>
      <c r="D53" s="613"/>
      <c r="E53" s="613"/>
      <c r="F53" s="405"/>
      <c r="G53" s="405"/>
      <c r="H53" s="405"/>
    </row>
    <row r="54" spans="1:8" x14ac:dyDescent="0.25">
      <c r="A54" s="405"/>
      <c r="B54" s="405"/>
      <c r="C54" s="405"/>
      <c r="D54" s="613"/>
      <c r="E54" s="613"/>
      <c r="F54" s="405"/>
      <c r="G54" s="405"/>
      <c r="H54" s="405"/>
    </row>
    <row r="55" spans="1:8" x14ac:dyDescent="0.25">
      <c r="A55" s="405"/>
      <c r="B55" s="405"/>
      <c r="C55" s="405"/>
      <c r="D55" s="613"/>
      <c r="E55" s="613"/>
      <c r="F55" s="405"/>
      <c r="G55" s="405"/>
      <c r="H55" s="405"/>
    </row>
    <row r="56" spans="1:8" x14ac:dyDescent="0.25">
      <c r="A56" s="405"/>
      <c r="B56" s="405"/>
      <c r="C56" s="405"/>
      <c r="D56" s="613"/>
      <c r="E56" s="613"/>
      <c r="F56" s="405"/>
      <c r="G56" s="405"/>
      <c r="H56" s="405"/>
    </row>
    <row r="57" spans="1:8" x14ac:dyDescent="0.25">
      <c r="A57" s="405"/>
      <c r="B57" s="405"/>
      <c r="C57" s="405"/>
      <c r="D57" s="613"/>
      <c r="E57" s="613"/>
      <c r="F57" s="405"/>
      <c r="G57" s="405"/>
      <c r="H57" s="405"/>
    </row>
    <row r="58" spans="1:8" x14ac:dyDescent="0.25">
      <c r="A58" s="405"/>
      <c r="B58" s="405"/>
      <c r="C58" s="405"/>
      <c r="D58" s="613"/>
      <c r="E58" s="613"/>
      <c r="F58" s="405"/>
      <c r="G58" s="405"/>
      <c r="H58" s="405"/>
    </row>
    <row r="59" spans="1:8" x14ac:dyDescent="0.25">
      <c r="A59" s="405"/>
      <c r="B59" s="405"/>
      <c r="C59" s="405"/>
      <c r="D59" s="613"/>
      <c r="E59" s="613"/>
      <c r="F59" s="405"/>
      <c r="G59" s="405"/>
      <c r="H59" s="405"/>
    </row>
    <row r="60" spans="1:8" x14ac:dyDescent="0.25">
      <c r="A60" s="405"/>
      <c r="B60" s="405"/>
      <c r="C60" s="405"/>
      <c r="D60" s="613"/>
      <c r="E60" s="613"/>
      <c r="F60" s="405"/>
      <c r="G60" s="405"/>
      <c r="H60" s="405"/>
    </row>
    <row r="61" spans="1:8" x14ac:dyDescent="0.25">
      <c r="A61" s="405"/>
      <c r="B61" s="405"/>
      <c r="C61" s="405"/>
      <c r="D61" s="613"/>
      <c r="E61" s="613"/>
      <c r="F61" s="405"/>
      <c r="G61" s="405"/>
      <c r="H61" s="405"/>
    </row>
    <row r="62" spans="1:8" x14ac:dyDescent="0.25">
      <c r="A62" s="405"/>
      <c r="B62" s="405"/>
      <c r="C62" s="405"/>
      <c r="D62" s="613"/>
      <c r="E62" s="613"/>
      <c r="F62" s="405"/>
      <c r="G62" s="405"/>
      <c r="H62" s="405"/>
    </row>
    <row r="63" spans="1:8" x14ac:dyDescent="0.25">
      <c r="A63" s="405"/>
      <c r="B63" s="405"/>
      <c r="C63" s="405"/>
      <c r="D63" s="613"/>
      <c r="E63" s="613"/>
      <c r="F63" s="405"/>
      <c r="G63" s="405"/>
      <c r="H63" s="405"/>
    </row>
    <row r="64" spans="1:8" x14ac:dyDescent="0.25">
      <c r="A64" s="405"/>
      <c r="B64" s="405"/>
      <c r="C64" s="405"/>
      <c r="D64" s="613"/>
      <c r="E64" s="613"/>
      <c r="F64" s="405"/>
      <c r="G64" s="405"/>
      <c r="H64" s="405"/>
    </row>
  </sheetData>
  <mergeCells count="1">
    <mergeCell ref="L1:U1"/>
  </mergeCells>
  <printOptions horizontalCentered="1" verticalCentered="1"/>
  <pageMargins left="0.75" right="0.75" top="1" bottom="1" header="0.5" footer="0.5"/>
  <pageSetup scale="84" orientation="portrait" horizontalDpi="4294967292" verticalDpi="300" r:id="rId1"/>
  <headerFooter alignWithMargins="0">
    <oddFooter>&amp;LSource: Office of the Budget Director</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sqref="A1:E1"/>
    </sheetView>
  </sheetViews>
  <sheetFormatPr defaultRowHeight="13.2" x14ac:dyDescent="0.25"/>
  <cols>
    <col min="2" max="2" width="14.6640625" customWidth="1"/>
  </cols>
  <sheetData>
    <row r="1" spans="1:5" ht="17.399999999999999" x14ac:dyDescent="0.3">
      <c r="A1" s="2117" t="s">
        <v>791</v>
      </c>
      <c r="B1" s="2117"/>
      <c r="C1" s="2117"/>
      <c r="D1" s="2117"/>
      <c r="E1" s="2117"/>
    </row>
    <row r="2" spans="1:5" ht="39" customHeight="1" x14ac:dyDescent="0.25">
      <c r="A2" s="2263" t="s">
        <v>500</v>
      </c>
      <c r="B2" s="2263"/>
      <c r="C2" s="2263"/>
      <c r="D2" s="2263"/>
      <c r="E2" s="2263"/>
    </row>
    <row r="4" spans="1:5" ht="14.1" customHeight="1" x14ac:dyDescent="0.25">
      <c r="A4" s="2259" t="s">
        <v>503</v>
      </c>
      <c r="B4" s="17" t="s">
        <v>1488</v>
      </c>
      <c r="C4" s="252" t="s">
        <v>504</v>
      </c>
      <c r="D4" s="252" t="s">
        <v>505</v>
      </c>
      <c r="E4" s="252" t="s">
        <v>506</v>
      </c>
    </row>
    <row r="5" spans="1:5" ht="14.1" customHeight="1" x14ac:dyDescent="0.25">
      <c r="A5" s="2260"/>
      <c r="B5" s="253" t="s">
        <v>507</v>
      </c>
      <c r="C5" s="253">
        <v>199</v>
      </c>
      <c r="D5" s="253">
        <v>379</v>
      </c>
      <c r="E5" s="253">
        <f>SUM(C5:D5)</f>
        <v>578</v>
      </c>
    </row>
    <row r="6" spans="1:5" ht="14.1" customHeight="1" x14ac:dyDescent="0.25">
      <c r="A6" s="2260"/>
      <c r="B6" s="253" t="s">
        <v>508</v>
      </c>
      <c r="C6" s="253">
        <v>73</v>
      </c>
      <c r="D6" s="253">
        <v>161</v>
      </c>
      <c r="E6" s="253">
        <f>SUM(C6:D6)</f>
        <v>234</v>
      </c>
    </row>
    <row r="7" spans="1:5" ht="14.1" customHeight="1" x14ac:dyDescent="0.25">
      <c r="A7" s="2261"/>
      <c r="B7" s="253" t="s">
        <v>509</v>
      </c>
      <c r="C7" s="254">
        <f>C6/C5</f>
        <v>0.36683417085427134</v>
      </c>
      <c r="D7" s="254">
        <f>D6/D5</f>
        <v>0.42480211081794195</v>
      </c>
      <c r="E7" s="254">
        <f>E6/E5</f>
        <v>0.40484429065743943</v>
      </c>
    </row>
    <row r="8" spans="1:5" ht="14.1" customHeight="1" x14ac:dyDescent="0.25"/>
    <row r="9" spans="1:5" ht="14.1" customHeight="1" x14ac:dyDescent="0.25">
      <c r="A9" s="2259" t="s">
        <v>510</v>
      </c>
      <c r="B9" s="17" t="str">
        <f>+B4</f>
        <v>Fall 2006</v>
      </c>
      <c r="C9" s="252" t="s">
        <v>504</v>
      </c>
      <c r="D9" s="252" t="s">
        <v>505</v>
      </c>
      <c r="E9" s="252" t="s">
        <v>506</v>
      </c>
    </row>
    <row r="10" spans="1:5" ht="14.1" customHeight="1" x14ac:dyDescent="0.25">
      <c r="A10" s="2260"/>
      <c r="B10" s="253" t="s">
        <v>507</v>
      </c>
      <c r="C10" s="253">
        <v>5</v>
      </c>
      <c r="D10" s="253">
        <v>6</v>
      </c>
      <c r="E10" s="253">
        <f>SUM(C10:D10)</f>
        <v>11</v>
      </c>
    </row>
    <row r="11" spans="1:5" ht="14.1" customHeight="1" x14ac:dyDescent="0.25">
      <c r="A11" s="2260"/>
      <c r="B11" s="253" t="s">
        <v>508</v>
      </c>
      <c r="C11" s="253">
        <v>1</v>
      </c>
      <c r="D11" s="253">
        <v>0</v>
      </c>
      <c r="E11" s="253">
        <f>SUM(C11:D11)</f>
        <v>1</v>
      </c>
    </row>
    <row r="12" spans="1:5" ht="14.25" customHeight="1" x14ac:dyDescent="0.25">
      <c r="A12" s="2261"/>
      <c r="B12" s="253" t="s">
        <v>509</v>
      </c>
      <c r="C12" s="256">
        <f>C11/C10</f>
        <v>0.2</v>
      </c>
      <c r="D12" s="256">
        <f>D11/D10</f>
        <v>0</v>
      </c>
      <c r="E12" s="256">
        <f>E11/E10</f>
        <v>9.0909090909090912E-2</v>
      </c>
    </row>
    <row r="13" spans="1:5" ht="14.1" customHeight="1" x14ac:dyDescent="0.25">
      <c r="A13" s="251"/>
      <c r="C13" s="257"/>
      <c r="D13" s="255"/>
      <c r="E13" s="255"/>
    </row>
    <row r="14" spans="1:5" ht="14.1" customHeight="1" x14ac:dyDescent="0.25">
      <c r="A14" s="2259" t="s">
        <v>13</v>
      </c>
      <c r="B14" s="17" t="str">
        <f>+B9</f>
        <v>Fall 2006</v>
      </c>
      <c r="C14" s="252" t="s">
        <v>504</v>
      </c>
      <c r="D14" s="252" t="s">
        <v>505</v>
      </c>
      <c r="E14" s="252" t="s">
        <v>506</v>
      </c>
    </row>
    <row r="15" spans="1:5" ht="14.1" customHeight="1" x14ac:dyDescent="0.25">
      <c r="A15" s="2260"/>
      <c r="B15" s="253" t="s">
        <v>507</v>
      </c>
      <c r="C15" s="253">
        <v>3</v>
      </c>
      <c r="D15" s="253">
        <v>0</v>
      </c>
      <c r="E15" s="253">
        <f>SUM(C15:D15)</f>
        <v>3</v>
      </c>
    </row>
    <row r="16" spans="1:5" ht="14.1" customHeight="1" x14ac:dyDescent="0.25">
      <c r="A16" s="2260"/>
      <c r="B16" s="253" t="s">
        <v>508</v>
      </c>
      <c r="C16" s="253">
        <v>0</v>
      </c>
      <c r="D16" s="253">
        <v>0</v>
      </c>
      <c r="E16" s="253">
        <f>SUM(C16:D16)</f>
        <v>0</v>
      </c>
    </row>
    <row r="17" spans="1:5" ht="14.1" customHeight="1" x14ac:dyDescent="0.25">
      <c r="A17" s="2261"/>
      <c r="B17" s="253" t="s">
        <v>509</v>
      </c>
      <c r="C17" s="256">
        <f>C16/C15</f>
        <v>0</v>
      </c>
      <c r="D17" s="1192" t="s">
        <v>1099</v>
      </c>
      <c r="E17" s="256">
        <f>E16/E15</f>
        <v>0</v>
      </c>
    </row>
    <row r="18" spans="1:5" ht="14.1" customHeight="1" x14ac:dyDescent="0.25"/>
    <row r="19" spans="1:5" ht="14.1" customHeight="1" x14ac:dyDescent="0.25">
      <c r="A19" s="2259" t="s">
        <v>526</v>
      </c>
      <c r="B19" s="17" t="str">
        <f>+B14</f>
        <v>Fall 2006</v>
      </c>
      <c r="C19" s="252" t="s">
        <v>504</v>
      </c>
      <c r="D19" s="252" t="s">
        <v>505</v>
      </c>
      <c r="E19" s="252" t="s">
        <v>506</v>
      </c>
    </row>
    <row r="20" spans="1:5" ht="14.1" customHeight="1" x14ac:dyDescent="0.25">
      <c r="A20" s="2260"/>
      <c r="B20" s="253" t="s">
        <v>507</v>
      </c>
      <c r="C20" s="253">
        <v>0</v>
      </c>
      <c r="D20" s="253">
        <v>1</v>
      </c>
      <c r="E20" s="253">
        <f>SUM(C20:D20)</f>
        <v>1</v>
      </c>
    </row>
    <row r="21" spans="1:5" ht="14.1" customHeight="1" x14ac:dyDescent="0.25">
      <c r="A21" s="2260"/>
      <c r="B21" s="253" t="s">
        <v>508</v>
      </c>
      <c r="C21" s="253">
        <v>0</v>
      </c>
      <c r="D21" s="253">
        <v>1</v>
      </c>
      <c r="E21" s="253">
        <f>SUM(C21:D21)</f>
        <v>1</v>
      </c>
    </row>
    <row r="22" spans="1:5" ht="14.1" customHeight="1" x14ac:dyDescent="0.25">
      <c r="A22" s="2261"/>
      <c r="B22" s="253" t="s">
        <v>509</v>
      </c>
      <c r="C22" s="1192" t="s">
        <v>1099</v>
      </c>
      <c r="D22" s="256">
        <f>D21/D20</f>
        <v>1</v>
      </c>
      <c r="E22" s="256">
        <f>E21/E20</f>
        <v>1</v>
      </c>
    </row>
    <row r="23" spans="1:5" ht="14.1" customHeight="1" x14ac:dyDescent="0.25">
      <c r="A23" s="251"/>
      <c r="C23" s="255"/>
      <c r="D23" s="255"/>
      <c r="E23" s="255"/>
    </row>
    <row r="24" spans="1:5" ht="14.1" customHeight="1" x14ac:dyDescent="0.25">
      <c r="A24" s="2259" t="s">
        <v>527</v>
      </c>
      <c r="B24" s="17" t="str">
        <f>+B19</f>
        <v>Fall 2006</v>
      </c>
      <c r="C24" s="252" t="s">
        <v>504</v>
      </c>
      <c r="D24" s="252" t="s">
        <v>505</v>
      </c>
      <c r="E24" s="252" t="s">
        <v>506</v>
      </c>
    </row>
    <row r="25" spans="1:5" ht="14.1" customHeight="1" x14ac:dyDescent="0.25">
      <c r="A25" s="2260"/>
      <c r="B25" s="253" t="s">
        <v>507</v>
      </c>
      <c r="C25" s="253">
        <v>9</v>
      </c>
      <c r="D25" s="253">
        <v>15</v>
      </c>
      <c r="E25" s="253">
        <f>SUM(C25:D25)</f>
        <v>24</v>
      </c>
    </row>
    <row r="26" spans="1:5" ht="14.1" customHeight="1" x14ac:dyDescent="0.25">
      <c r="A26" s="2260"/>
      <c r="B26" s="253" t="s">
        <v>508</v>
      </c>
      <c r="C26" s="253">
        <v>8</v>
      </c>
      <c r="D26" s="253">
        <v>7</v>
      </c>
      <c r="E26" s="253">
        <f>SUM(C26:D26)</f>
        <v>15</v>
      </c>
    </row>
    <row r="27" spans="1:5" ht="14.1" customHeight="1" x14ac:dyDescent="0.25">
      <c r="A27" s="2261"/>
      <c r="B27" s="253" t="s">
        <v>509</v>
      </c>
      <c r="C27" s="256">
        <f>C26/C25</f>
        <v>0.88888888888888884</v>
      </c>
      <c r="D27" s="254">
        <f>D26/D25</f>
        <v>0.46666666666666667</v>
      </c>
      <c r="E27" s="256">
        <f>E26/E25</f>
        <v>0.625</v>
      </c>
    </row>
    <row r="29" spans="1:5" ht="26.1" customHeight="1" x14ac:dyDescent="0.25">
      <c r="A29" s="2262" t="s">
        <v>612</v>
      </c>
      <c r="B29" s="2262"/>
      <c r="C29" s="2262"/>
      <c r="D29" s="2262"/>
      <c r="E29" s="2262"/>
    </row>
  </sheetData>
  <mergeCells count="8">
    <mergeCell ref="A24:A27"/>
    <mergeCell ref="A29:E29"/>
    <mergeCell ref="A1:E1"/>
    <mergeCell ref="A2:E2"/>
    <mergeCell ref="A4:A7"/>
    <mergeCell ref="A9:A12"/>
    <mergeCell ref="A14:A17"/>
    <mergeCell ref="A19:A22"/>
  </mergeCells>
  <printOptions horizontalCentered="1" verticalCentered="1"/>
  <pageMargins left="0.75" right="0.75" top="1" bottom="1" header="0.5" footer="0.5"/>
  <pageSetup orientation="portrait" horizontalDpi="300" verticalDpi="300" r:id="rId1"/>
  <headerFooter alignWithMargins="0">
    <oddFooter>&amp;L&amp;7Source: Office of Institutional Research</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sqref="A1:E1"/>
    </sheetView>
  </sheetViews>
  <sheetFormatPr defaultRowHeight="13.2" x14ac:dyDescent="0.25"/>
  <cols>
    <col min="2" max="2" width="14.6640625" customWidth="1"/>
  </cols>
  <sheetData>
    <row r="1" spans="1:5" ht="17.399999999999999" x14ac:dyDescent="0.3">
      <c r="A1" s="2117" t="s">
        <v>791</v>
      </c>
      <c r="B1" s="2117"/>
      <c r="C1" s="2117"/>
      <c r="D1" s="2117"/>
      <c r="E1" s="2117"/>
    </row>
    <row r="2" spans="1:5" ht="39" customHeight="1" x14ac:dyDescent="0.25">
      <c r="A2" s="2263" t="s">
        <v>500</v>
      </c>
      <c r="B2" s="2263"/>
      <c r="C2" s="2263"/>
      <c r="D2" s="2263"/>
      <c r="E2" s="2263"/>
    </row>
    <row r="4" spans="1:5" ht="14.1" customHeight="1" x14ac:dyDescent="0.25">
      <c r="A4" s="2259" t="s">
        <v>503</v>
      </c>
      <c r="B4" s="17" t="s">
        <v>1500</v>
      </c>
      <c r="C4" s="252" t="s">
        <v>504</v>
      </c>
      <c r="D4" s="252" t="s">
        <v>505</v>
      </c>
      <c r="E4" s="252" t="s">
        <v>506</v>
      </c>
    </row>
    <row r="5" spans="1:5" ht="14.1" customHeight="1" x14ac:dyDescent="0.25">
      <c r="A5" s="2260"/>
      <c r="B5" s="253" t="s">
        <v>507</v>
      </c>
      <c r="C5" s="253">
        <v>137</v>
      </c>
      <c r="D5" s="253">
        <v>296</v>
      </c>
      <c r="E5" s="253">
        <f>SUM(C5:D5)</f>
        <v>433</v>
      </c>
    </row>
    <row r="6" spans="1:5" ht="14.1" customHeight="1" x14ac:dyDescent="0.25">
      <c r="A6" s="2260"/>
      <c r="B6" s="253" t="s">
        <v>508</v>
      </c>
      <c r="C6" s="253">
        <v>63</v>
      </c>
      <c r="D6" s="253">
        <v>160</v>
      </c>
      <c r="E6" s="253">
        <f>SUM(C6:D6)</f>
        <v>223</v>
      </c>
    </row>
    <row r="7" spans="1:5" ht="14.1" customHeight="1" x14ac:dyDescent="0.25">
      <c r="A7" s="2261"/>
      <c r="B7" s="253" t="s">
        <v>509</v>
      </c>
      <c r="C7" s="254">
        <f>C6/C5</f>
        <v>0.45985401459854014</v>
      </c>
      <c r="D7" s="254">
        <f>D6/D5</f>
        <v>0.54054054054054057</v>
      </c>
      <c r="E7" s="254">
        <f>E6/E5</f>
        <v>0.51501154734411081</v>
      </c>
    </row>
    <row r="8" spans="1:5" ht="14.1" customHeight="1" x14ac:dyDescent="0.25"/>
    <row r="9" spans="1:5" ht="14.1" customHeight="1" x14ac:dyDescent="0.25">
      <c r="A9" s="2259" t="s">
        <v>510</v>
      </c>
      <c r="B9" s="17" t="str">
        <f>+B4</f>
        <v>Fall 2007</v>
      </c>
      <c r="C9" s="252" t="s">
        <v>504</v>
      </c>
      <c r="D9" s="252" t="s">
        <v>505</v>
      </c>
      <c r="E9" s="252" t="s">
        <v>506</v>
      </c>
    </row>
    <row r="10" spans="1:5" ht="14.1" customHeight="1" x14ac:dyDescent="0.25">
      <c r="A10" s="2260"/>
      <c r="B10" s="253" t="s">
        <v>507</v>
      </c>
      <c r="C10" s="253">
        <v>1</v>
      </c>
      <c r="D10" s="253">
        <v>6</v>
      </c>
      <c r="E10" s="253">
        <f>SUM(C10:D10)</f>
        <v>7</v>
      </c>
    </row>
    <row r="11" spans="1:5" ht="14.1" customHeight="1" x14ac:dyDescent="0.25">
      <c r="A11" s="2260"/>
      <c r="B11" s="253" t="s">
        <v>508</v>
      </c>
      <c r="C11" s="253">
        <v>0</v>
      </c>
      <c r="D11" s="253">
        <v>2</v>
      </c>
      <c r="E11" s="253">
        <f>SUM(C11:D11)</f>
        <v>2</v>
      </c>
    </row>
    <row r="12" spans="1:5" ht="14.25" customHeight="1" x14ac:dyDescent="0.25">
      <c r="A12" s="2261"/>
      <c r="B12" s="253" t="s">
        <v>509</v>
      </c>
      <c r="C12" s="256">
        <f>C11/C10</f>
        <v>0</v>
      </c>
      <c r="D12" s="256">
        <f>D11/D10</f>
        <v>0.33333333333333331</v>
      </c>
      <c r="E12" s="256">
        <f>E11/E10</f>
        <v>0.2857142857142857</v>
      </c>
    </row>
    <row r="13" spans="1:5" ht="14.1" customHeight="1" x14ac:dyDescent="0.25">
      <c r="A13" s="251"/>
      <c r="C13" s="257"/>
      <c r="D13" s="255"/>
      <c r="E13" s="255"/>
    </row>
    <row r="14" spans="1:5" ht="14.1" customHeight="1" x14ac:dyDescent="0.25">
      <c r="A14" s="2259" t="s">
        <v>13</v>
      </c>
      <c r="B14" s="17" t="str">
        <f>+B9</f>
        <v>Fall 2007</v>
      </c>
      <c r="C14" s="252" t="s">
        <v>504</v>
      </c>
      <c r="D14" s="252" t="s">
        <v>505</v>
      </c>
      <c r="E14" s="252" t="s">
        <v>506</v>
      </c>
    </row>
    <row r="15" spans="1:5" ht="14.1" customHeight="1" x14ac:dyDescent="0.25">
      <c r="A15" s="2260"/>
      <c r="B15" s="253" t="s">
        <v>507</v>
      </c>
      <c r="C15" s="253">
        <v>10</v>
      </c>
      <c r="D15" s="253">
        <v>0</v>
      </c>
      <c r="E15" s="253">
        <f>SUM(C15:D15)</f>
        <v>10</v>
      </c>
    </row>
    <row r="16" spans="1:5" ht="14.1" customHeight="1" x14ac:dyDescent="0.25">
      <c r="A16" s="2260"/>
      <c r="B16" s="253" t="s">
        <v>508</v>
      </c>
      <c r="C16" s="253">
        <v>5</v>
      </c>
      <c r="D16" s="253">
        <v>0</v>
      </c>
      <c r="E16" s="253">
        <f>SUM(C16:D16)</f>
        <v>5</v>
      </c>
    </row>
    <row r="17" spans="1:5" ht="14.1" customHeight="1" x14ac:dyDescent="0.25">
      <c r="A17" s="2261"/>
      <c r="B17" s="253" t="s">
        <v>509</v>
      </c>
      <c r="C17" s="256">
        <f>C16/C15</f>
        <v>0.5</v>
      </c>
      <c r="D17" s="1192" t="s">
        <v>1099</v>
      </c>
      <c r="E17" s="256">
        <f>E16/E15</f>
        <v>0.5</v>
      </c>
    </row>
    <row r="18" spans="1:5" ht="14.1" customHeight="1" x14ac:dyDescent="0.25"/>
    <row r="19" spans="1:5" ht="14.1" customHeight="1" x14ac:dyDescent="0.25">
      <c r="A19" s="2259" t="s">
        <v>526</v>
      </c>
      <c r="B19" s="17" t="str">
        <f>+B14</f>
        <v>Fall 2007</v>
      </c>
      <c r="C19" s="252" t="s">
        <v>504</v>
      </c>
      <c r="D19" s="252" t="s">
        <v>505</v>
      </c>
      <c r="E19" s="252" t="s">
        <v>506</v>
      </c>
    </row>
    <row r="20" spans="1:5" ht="14.1" customHeight="1" x14ac:dyDescent="0.25">
      <c r="A20" s="2260"/>
      <c r="B20" s="253" t="s">
        <v>507</v>
      </c>
      <c r="C20" s="253">
        <v>0</v>
      </c>
      <c r="D20" s="253">
        <v>0</v>
      </c>
      <c r="E20" s="253">
        <f>SUM(C20:D20)</f>
        <v>0</v>
      </c>
    </row>
    <row r="21" spans="1:5" ht="14.1" customHeight="1" x14ac:dyDescent="0.25">
      <c r="A21" s="2260"/>
      <c r="B21" s="253" t="s">
        <v>508</v>
      </c>
      <c r="C21" s="253">
        <v>0</v>
      </c>
      <c r="D21" s="253">
        <v>0</v>
      </c>
      <c r="E21" s="253">
        <f>SUM(C21:D21)</f>
        <v>0</v>
      </c>
    </row>
    <row r="22" spans="1:5" ht="14.1" customHeight="1" x14ac:dyDescent="0.25">
      <c r="A22" s="2261"/>
      <c r="B22" s="253" t="s">
        <v>509</v>
      </c>
      <c r="C22" s="1192" t="s">
        <v>1099</v>
      </c>
      <c r="D22" s="1192" t="s">
        <v>1099</v>
      </c>
      <c r="E22" s="1192" t="s">
        <v>1099</v>
      </c>
    </row>
    <row r="23" spans="1:5" ht="14.1" customHeight="1" x14ac:dyDescent="0.25">
      <c r="A23" s="251"/>
      <c r="C23" s="255"/>
      <c r="D23" s="255"/>
      <c r="E23" s="255"/>
    </row>
    <row r="24" spans="1:5" ht="14.1" customHeight="1" x14ac:dyDescent="0.25">
      <c r="A24" s="2259" t="s">
        <v>527</v>
      </c>
      <c r="B24" s="17" t="str">
        <f>+B19</f>
        <v>Fall 2007</v>
      </c>
      <c r="C24" s="252" t="s">
        <v>504</v>
      </c>
      <c r="D24" s="252" t="s">
        <v>505</v>
      </c>
      <c r="E24" s="252" t="s">
        <v>506</v>
      </c>
    </row>
    <row r="25" spans="1:5" ht="14.1" customHeight="1" x14ac:dyDescent="0.25">
      <c r="A25" s="2260"/>
      <c r="B25" s="253" t="s">
        <v>507</v>
      </c>
      <c r="C25" s="253">
        <v>5</v>
      </c>
      <c r="D25" s="253">
        <v>19</v>
      </c>
      <c r="E25" s="253">
        <f>SUM(C25:D25)</f>
        <v>24</v>
      </c>
    </row>
    <row r="26" spans="1:5" ht="14.1" customHeight="1" x14ac:dyDescent="0.25">
      <c r="A26" s="2260"/>
      <c r="B26" s="253" t="s">
        <v>508</v>
      </c>
      <c r="C26" s="253">
        <v>5</v>
      </c>
      <c r="D26" s="253">
        <v>11</v>
      </c>
      <c r="E26" s="253">
        <f>SUM(C26:D26)</f>
        <v>16</v>
      </c>
    </row>
    <row r="27" spans="1:5" ht="14.1" customHeight="1" x14ac:dyDescent="0.25">
      <c r="A27" s="2261"/>
      <c r="B27" s="253" t="s">
        <v>509</v>
      </c>
      <c r="C27" s="256">
        <f>C26/C25</f>
        <v>1</v>
      </c>
      <c r="D27" s="254">
        <f>D26/D25</f>
        <v>0.57894736842105265</v>
      </c>
      <c r="E27" s="256">
        <f>E26/E25</f>
        <v>0.66666666666666663</v>
      </c>
    </row>
    <row r="29" spans="1:5" ht="26.1" customHeight="1" x14ac:dyDescent="0.25">
      <c r="A29" s="2262" t="s">
        <v>612</v>
      </c>
      <c r="B29" s="2262"/>
      <c r="C29" s="2262"/>
      <c r="D29" s="2262"/>
      <c r="E29" s="2262"/>
    </row>
  </sheetData>
  <mergeCells count="8">
    <mergeCell ref="A24:A27"/>
    <mergeCell ref="A29:E29"/>
    <mergeCell ref="A1:E1"/>
    <mergeCell ref="A2:E2"/>
    <mergeCell ref="A4:A7"/>
    <mergeCell ref="A9:A12"/>
    <mergeCell ref="A14:A17"/>
    <mergeCell ref="A19:A22"/>
  </mergeCells>
  <printOptions horizontalCentered="1" verticalCentered="1"/>
  <pageMargins left="0.75" right="0.75" top="1" bottom="1" header="0.5" footer="0.5"/>
  <pageSetup orientation="portrait" horizontalDpi="300" verticalDpi="300" r:id="rId1"/>
  <headerFooter alignWithMargins="0">
    <oddFooter>&amp;L&amp;7Source: Office of Institutional Research</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sqref="A1:E1"/>
    </sheetView>
  </sheetViews>
  <sheetFormatPr defaultRowHeight="13.2" x14ac:dyDescent="0.25"/>
  <cols>
    <col min="2" max="2" width="14.6640625" customWidth="1"/>
  </cols>
  <sheetData>
    <row r="1" spans="1:5" ht="17.399999999999999" x14ac:dyDescent="0.3">
      <c r="A1" s="2117" t="s">
        <v>791</v>
      </c>
      <c r="B1" s="2117"/>
      <c r="C1" s="2117"/>
      <c r="D1" s="2117"/>
      <c r="E1" s="2117"/>
    </row>
    <row r="2" spans="1:5" ht="39" customHeight="1" x14ac:dyDescent="0.25">
      <c r="A2" s="2263" t="s">
        <v>500</v>
      </c>
      <c r="B2" s="2263"/>
      <c r="C2" s="2263"/>
      <c r="D2" s="2263"/>
      <c r="E2" s="2263"/>
    </row>
    <row r="4" spans="1:5" ht="13.2" customHeight="1" x14ac:dyDescent="0.25">
      <c r="A4" s="2259" t="s">
        <v>503</v>
      </c>
      <c r="B4" s="17" t="s">
        <v>1499</v>
      </c>
      <c r="C4" s="252" t="s">
        <v>504</v>
      </c>
      <c r="D4" s="252" t="s">
        <v>505</v>
      </c>
      <c r="E4" s="252" t="s">
        <v>506</v>
      </c>
    </row>
    <row r="5" spans="1:5" x14ac:dyDescent="0.25">
      <c r="A5" s="2260"/>
      <c r="B5" s="253" t="s">
        <v>507</v>
      </c>
      <c r="C5" s="253">
        <v>156</v>
      </c>
      <c r="D5" s="253">
        <v>398</v>
      </c>
      <c r="E5" s="253">
        <f>SUM(C5:D5)</f>
        <v>554</v>
      </c>
    </row>
    <row r="6" spans="1:5" x14ac:dyDescent="0.25">
      <c r="A6" s="2260"/>
      <c r="B6" s="253" t="s">
        <v>508</v>
      </c>
      <c r="C6" s="253">
        <v>65</v>
      </c>
      <c r="D6" s="253">
        <v>184</v>
      </c>
      <c r="E6" s="253">
        <f>SUM(C6:D6)</f>
        <v>249</v>
      </c>
    </row>
    <row r="7" spans="1:5" x14ac:dyDescent="0.25">
      <c r="A7" s="2261"/>
      <c r="B7" s="253" t="s">
        <v>509</v>
      </c>
      <c r="C7" s="254">
        <f>C6/C5</f>
        <v>0.41666666666666669</v>
      </c>
      <c r="D7" s="254">
        <f>D6/D5</f>
        <v>0.46231155778894473</v>
      </c>
      <c r="E7" s="254">
        <f>E6/E5</f>
        <v>0.44945848375451264</v>
      </c>
    </row>
    <row r="8" spans="1:5" ht="13.95" customHeight="1" x14ac:dyDescent="0.25"/>
    <row r="9" spans="1:5" ht="13.2" customHeight="1" x14ac:dyDescent="0.25">
      <c r="A9" s="2259" t="s">
        <v>510</v>
      </c>
      <c r="B9" s="17" t="str">
        <f>+B4</f>
        <v>Fall 2008</v>
      </c>
      <c r="C9" s="252" t="s">
        <v>504</v>
      </c>
      <c r="D9" s="252" t="s">
        <v>505</v>
      </c>
      <c r="E9" s="252" t="s">
        <v>506</v>
      </c>
    </row>
    <row r="10" spans="1:5" x14ac:dyDescent="0.25">
      <c r="A10" s="2260"/>
      <c r="B10" s="253" t="s">
        <v>507</v>
      </c>
      <c r="C10" s="253">
        <v>3</v>
      </c>
      <c r="D10" s="253">
        <v>10</v>
      </c>
      <c r="E10" s="253">
        <f>SUM(C10:D10)</f>
        <v>13</v>
      </c>
    </row>
    <row r="11" spans="1:5" x14ac:dyDescent="0.25">
      <c r="A11" s="2260"/>
      <c r="B11" s="253" t="s">
        <v>508</v>
      </c>
      <c r="C11" s="253">
        <v>0</v>
      </c>
      <c r="D11" s="253">
        <v>5</v>
      </c>
      <c r="E11" s="253">
        <f>SUM(C11:D11)</f>
        <v>5</v>
      </c>
    </row>
    <row r="12" spans="1:5" ht="14.4" customHeight="1" x14ac:dyDescent="0.25">
      <c r="A12" s="2261"/>
      <c r="B12" s="253" t="s">
        <v>509</v>
      </c>
      <c r="C12" s="256">
        <f>C11/C10</f>
        <v>0</v>
      </c>
      <c r="D12" s="256">
        <f>D11/D10</f>
        <v>0.5</v>
      </c>
      <c r="E12" s="256">
        <f>E11/E10</f>
        <v>0.38461538461538464</v>
      </c>
    </row>
    <row r="13" spans="1:5" x14ac:dyDescent="0.25">
      <c r="A13" s="251"/>
      <c r="C13" s="257"/>
      <c r="D13" s="255"/>
      <c r="E13" s="255"/>
    </row>
    <row r="14" spans="1:5" ht="13.2" customHeight="1" x14ac:dyDescent="0.25">
      <c r="A14" s="2259" t="s">
        <v>13</v>
      </c>
      <c r="B14" s="17" t="str">
        <f>+B9</f>
        <v>Fall 2008</v>
      </c>
      <c r="C14" s="252" t="s">
        <v>504</v>
      </c>
      <c r="D14" s="252" t="s">
        <v>505</v>
      </c>
      <c r="E14" s="252" t="s">
        <v>506</v>
      </c>
    </row>
    <row r="15" spans="1:5" x14ac:dyDescent="0.25">
      <c r="A15" s="2260"/>
      <c r="B15" s="253" t="s">
        <v>507</v>
      </c>
      <c r="C15" s="253">
        <v>10</v>
      </c>
      <c r="D15" s="253">
        <v>0</v>
      </c>
      <c r="E15" s="253">
        <f>SUM(C15:D15)</f>
        <v>10</v>
      </c>
    </row>
    <row r="16" spans="1:5" x14ac:dyDescent="0.25">
      <c r="A16" s="2260"/>
      <c r="B16" s="253" t="s">
        <v>508</v>
      </c>
      <c r="C16" s="253">
        <v>3</v>
      </c>
      <c r="D16" s="253">
        <v>0</v>
      </c>
      <c r="E16" s="253">
        <f>SUM(C16:D16)</f>
        <v>3</v>
      </c>
    </row>
    <row r="17" spans="1:5" x14ac:dyDescent="0.25">
      <c r="A17" s="2261"/>
      <c r="B17" s="253" t="s">
        <v>509</v>
      </c>
      <c r="C17" s="256">
        <f>C16/C15</f>
        <v>0.3</v>
      </c>
      <c r="D17" s="1192" t="s">
        <v>1099</v>
      </c>
      <c r="E17" s="256">
        <f>E16/E15</f>
        <v>0.3</v>
      </c>
    </row>
    <row r="19" spans="1:5" ht="13.2" customHeight="1" x14ac:dyDescent="0.25">
      <c r="A19" s="2259" t="s">
        <v>526</v>
      </c>
      <c r="B19" s="17" t="str">
        <f>+B14</f>
        <v>Fall 2008</v>
      </c>
      <c r="C19" s="252" t="s">
        <v>504</v>
      </c>
      <c r="D19" s="252" t="s">
        <v>505</v>
      </c>
      <c r="E19" s="252" t="s">
        <v>506</v>
      </c>
    </row>
    <row r="20" spans="1:5" x14ac:dyDescent="0.25">
      <c r="A20" s="2260"/>
      <c r="B20" s="253" t="s">
        <v>507</v>
      </c>
      <c r="C20" s="253">
        <v>0</v>
      </c>
      <c r="D20" s="253">
        <v>5</v>
      </c>
      <c r="E20" s="253">
        <f>SUM(C20:D20)</f>
        <v>5</v>
      </c>
    </row>
    <row r="21" spans="1:5" x14ac:dyDescent="0.25">
      <c r="A21" s="2260"/>
      <c r="B21" s="253" t="s">
        <v>508</v>
      </c>
      <c r="C21" s="253">
        <v>0</v>
      </c>
      <c r="D21" s="253">
        <v>1</v>
      </c>
      <c r="E21" s="253">
        <f>SUM(C21:D21)</f>
        <v>1</v>
      </c>
    </row>
    <row r="22" spans="1:5" x14ac:dyDescent="0.25">
      <c r="A22" s="2261"/>
      <c r="B22" s="253" t="s">
        <v>509</v>
      </c>
      <c r="C22" s="1192" t="s">
        <v>1099</v>
      </c>
      <c r="D22" s="1192" t="s">
        <v>1099</v>
      </c>
      <c r="E22" s="1192" t="s">
        <v>1099</v>
      </c>
    </row>
    <row r="23" spans="1:5" x14ac:dyDescent="0.25">
      <c r="A23" s="251"/>
      <c r="C23" s="255"/>
      <c r="D23" s="255"/>
      <c r="E23" s="255"/>
    </row>
    <row r="24" spans="1:5" ht="13.2" customHeight="1" x14ac:dyDescent="0.25">
      <c r="A24" s="2259" t="s">
        <v>527</v>
      </c>
      <c r="B24" s="17" t="str">
        <f>+B19</f>
        <v>Fall 2008</v>
      </c>
      <c r="C24" s="252" t="s">
        <v>504</v>
      </c>
      <c r="D24" s="252" t="s">
        <v>505</v>
      </c>
      <c r="E24" s="252" t="s">
        <v>506</v>
      </c>
    </row>
    <row r="25" spans="1:5" x14ac:dyDescent="0.25">
      <c r="A25" s="2260"/>
      <c r="B25" s="253" t="s">
        <v>507</v>
      </c>
      <c r="C25" s="253">
        <v>8</v>
      </c>
      <c r="D25" s="253">
        <v>18</v>
      </c>
      <c r="E25" s="253">
        <f>SUM(C25:D25)</f>
        <v>26</v>
      </c>
    </row>
    <row r="26" spans="1:5" x14ac:dyDescent="0.25">
      <c r="A26" s="2260"/>
      <c r="B26" s="253" t="s">
        <v>508</v>
      </c>
      <c r="C26" s="253">
        <v>6</v>
      </c>
      <c r="D26" s="253">
        <v>11</v>
      </c>
      <c r="E26" s="253">
        <f>SUM(C26:D26)</f>
        <v>17</v>
      </c>
    </row>
    <row r="27" spans="1:5" x14ac:dyDescent="0.25">
      <c r="A27" s="2261"/>
      <c r="B27" s="253" t="s">
        <v>509</v>
      </c>
      <c r="C27" s="256">
        <f>C26/C25</f>
        <v>0.75</v>
      </c>
      <c r="D27" s="254">
        <f>D26/D25</f>
        <v>0.61111111111111116</v>
      </c>
      <c r="E27" s="256">
        <f>E26/E25</f>
        <v>0.65384615384615385</v>
      </c>
    </row>
    <row r="29" spans="1:5" ht="18.600000000000001" customHeight="1" x14ac:dyDescent="0.25">
      <c r="A29" s="2262" t="s">
        <v>612</v>
      </c>
      <c r="B29" s="2262"/>
      <c r="C29" s="2262"/>
      <c r="D29" s="2262"/>
      <c r="E29" s="2262"/>
    </row>
  </sheetData>
  <mergeCells count="8">
    <mergeCell ref="A24:A27"/>
    <mergeCell ref="A29:E29"/>
    <mergeCell ref="A1:E1"/>
    <mergeCell ref="A2:E2"/>
    <mergeCell ref="A4:A7"/>
    <mergeCell ref="A9:A12"/>
    <mergeCell ref="A14:A17"/>
    <mergeCell ref="A19:A2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sqref="A1:E1"/>
    </sheetView>
  </sheetViews>
  <sheetFormatPr defaultRowHeight="13.2" x14ac:dyDescent="0.25"/>
  <cols>
    <col min="2" max="2" width="14.6640625" customWidth="1"/>
  </cols>
  <sheetData>
    <row r="1" spans="1:5" ht="17.399999999999999" x14ac:dyDescent="0.3">
      <c r="A1" s="2117" t="s">
        <v>791</v>
      </c>
      <c r="B1" s="2117"/>
      <c r="C1" s="2117"/>
      <c r="D1" s="2117"/>
      <c r="E1" s="2117"/>
    </row>
    <row r="2" spans="1:5" ht="39" customHeight="1" x14ac:dyDescent="0.25">
      <c r="A2" s="2263" t="s">
        <v>500</v>
      </c>
      <c r="B2" s="2263"/>
      <c r="C2" s="2263"/>
      <c r="D2" s="2263"/>
      <c r="E2" s="2263"/>
    </row>
    <row r="4" spans="1:5" ht="13.2" customHeight="1" x14ac:dyDescent="0.25">
      <c r="A4" s="2259" t="s">
        <v>503</v>
      </c>
      <c r="B4" s="17" t="s">
        <v>1448</v>
      </c>
      <c r="C4" s="252" t="s">
        <v>504</v>
      </c>
      <c r="D4" s="252" t="s">
        <v>505</v>
      </c>
      <c r="E4" s="252" t="s">
        <v>506</v>
      </c>
    </row>
    <row r="5" spans="1:5" x14ac:dyDescent="0.25">
      <c r="A5" s="2260"/>
      <c r="B5" s="253" t="s">
        <v>507</v>
      </c>
      <c r="C5" s="253">
        <v>176</v>
      </c>
      <c r="D5" s="253">
        <v>405</v>
      </c>
      <c r="E5" s="253">
        <f>SUM(C5:D5)</f>
        <v>581</v>
      </c>
    </row>
    <row r="6" spans="1:5" x14ac:dyDescent="0.25">
      <c r="A6" s="2260"/>
      <c r="B6" s="253" t="s">
        <v>508</v>
      </c>
      <c r="C6" s="253">
        <v>73</v>
      </c>
      <c r="D6" s="253">
        <v>193</v>
      </c>
      <c r="E6" s="253">
        <f>SUM(C6:D6)</f>
        <v>266</v>
      </c>
    </row>
    <row r="7" spans="1:5" x14ac:dyDescent="0.25">
      <c r="A7" s="2261"/>
      <c r="B7" s="253" t="s">
        <v>509</v>
      </c>
      <c r="C7" s="254">
        <f>C6/C5</f>
        <v>0.41477272727272729</v>
      </c>
      <c r="D7" s="254">
        <f>D6/D5</f>
        <v>0.47654320987654319</v>
      </c>
      <c r="E7" s="254">
        <f>E6/E5</f>
        <v>0.45783132530120479</v>
      </c>
    </row>
    <row r="8" spans="1:5" ht="13.95" customHeight="1" x14ac:dyDescent="0.25"/>
    <row r="9" spans="1:5" ht="13.2" customHeight="1" x14ac:dyDescent="0.25">
      <c r="A9" s="2259" t="s">
        <v>510</v>
      </c>
      <c r="B9" s="17" t="str">
        <f>+B4</f>
        <v>Fall 2009</v>
      </c>
      <c r="C9" s="252" t="s">
        <v>504</v>
      </c>
      <c r="D9" s="252" t="s">
        <v>505</v>
      </c>
      <c r="E9" s="252" t="s">
        <v>506</v>
      </c>
    </row>
    <row r="10" spans="1:5" x14ac:dyDescent="0.25">
      <c r="A10" s="2260"/>
      <c r="B10" s="253" t="s">
        <v>507</v>
      </c>
      <c r="C10" s="253">
        <v>1</v>
      </c>
      <c r="D10" s="253">
        <v>0</v>
      </c>
      <c r="E10" s="253">
        <f>SUM(C10:D10)</f>
        <v>1</v>
      </c>
    </row>
    <row r="11" spans="1:5" x14ac:dyDescent="0.25">
      <c r="A11" s="2260"/>
      <c r="B11" s="253" t="s">
        <v>508</v>
      </c>
      <c r="C11" s="253">
        <v>0</v>
      </c>
      <c r="D11" s="253">
        <v>0</v>
      </c>
      <c r="E11" s="253">
        <f>SUM(C11:D11)</f>
        <v>0</v>
      </c>
    </row>
    <row r="12" spans="1:5" ht="14.4" customHeight="1" x14ac:dyDescent="0.25">
      <c r="A12" s="2261"/>
      <c r="B12" s="253" t="s">
        <v>509</v>
      </c>
      <c r="C12" s="256">
        <f>C11/C10</f>
        <v>0</v>
      </c>
      <c r="D12" s="256" t="e">
        <f>D11/D10</f>
        <v>#DIV/0!</v>
      </c>
      <c r="E12" s="256">
        <f>E11/E10</f>
        <v>0</v>
      </c>
    </row>
    <row r="13" spans="1:5" x14ac:dyDescent="0.25">
      <c r="A13" s="251"/>
      <c r="C13" s="257"/>
      <c r="D13" s="255"/>
      <c r="E13" s="255"/>
    </row>
    <row r="14" spans="1:5" ht="13.2" customHeight="1" x14ac:dyDescent="0.25">
      <c r="A14" s="2259" t="s">
        <v>13</v>
      </c>
      <c r="B14" s="17" t="str">
        <f>+B9</f>
        <v>Fall 2009</v>
      </c>
      <c r="C14" s="252" t="s">
        <v>504</v>
      </c>
      <c r="D14" s="252" t="s">
        <v>505</v>
      </c>
      <c r="E14" s="252" t="s">
        <v>506</v>
      </c>
    </row>
    <row r="15" spans="1:5" x14ac:dyDescent="0.25">
      <c r="A15" s="2260"/>
      <c r="B15" s="253" t="s">
        <v>507</v>
      </c>
      <c r="C15" s="253">
        <v>2</v>
      </c>
      <c r="D15" s="253">
        <v>0</v>
      </c>
      <c r="E15" s="253">
        <f>SUM(C15:D15)</f>
        <v>2</v>
      </c>
    </row>
    <row r="16" spans="1:5" x14ac:dyDescent="0.25">
      <c r="A16" s="2260"/>
      <c r="B16" s="253" t="s">
        <v>508</v>
      </c>
      <c r="C16" s="253">
        <v>1</v>
      </c>
      <c r="D16" s="1609">
        <v>0</v>
      </c>
      <c r="E16" s="253">
        <f>SUM(C16:D16)</f>
        <v>1</v>
      </c>
    </row>
    <row r="17" spans="1:5" x14ac:dyDescent="0.25">
      <c r="A17" s="2261"/>
      <c r="B17" s="253" t="s">
        <v>509</v>
      </c>
      <c r="C17" s="256">
        <f>C16/C15</f>
        <v>0.5</v>
      </c>
      <c r="D17" s="1192" t="s">
        <v>1099</v>
      </c>
      <c r="E17" s="256">
        <f>E16/E15</f>
        <v>0.5</v>
      </c>
    </row>
    <row r="19" spans="1:5" ht="13.2" customHeight="1" x14ac:dyDescent="0.25">
      <c r="A19" s="2259" t="s">
        <v>526</v>
      </c>
      <c r="B19" s="17" t="str">
        <f>+B14</f>
        <v>Fall 2009</v>
      </c>
      <c r="C19" s="252" t="s">
        <v>504</v>
      </c>
      <c r="D19" s="252" t="s">
        <v>505</v>
      </c>
      <c r="E19" s="252" t="s">
        <v>506</v>
      </c>
    </row>
    <row r="20" spans="1:5" x14ac:dyDescent="0.25">
      <c r="A20" s="2260"/>
      <c r="B20" s="253" t="s">
        <v>507</v>
      </c>
      <c r="C20" s="253">
        <v>0</v>
      </c>
      <c r="D20" s="253">
        <v>0</v>
      </c>
      <c r="E20" s="253">
        <f>SUM(C20:D20)</f>
        <v>0</v>
      </c>
    </row>
    <row r="21" spans="1:5" x14ac:dyDescent="0.25">
      <c r="A21" s="2260"/>
      <c r="B21" s="253" t="s">
        <v>508</v>
      </c>
      <c r="C21" s="253">
        <v>0</v>
      </c>
      <c r="D21" s="253">
        <v>0</v>
      </c>
      <c r="E21" s="253">
        <f>SUM(C21:D21)</f>
        <v>0</v>
      </c>
    </row>
    <row r="22" spans="1:5" x14ac:dyDescent="0.25">
      <c r="A22" s="2261"/>
      <c r="B22" s="253" t="s">
        <v>509</v>
      </c>
      <c r="C22" s="1192" t="s">
        <v>1099</v>
      </c>
      <c r="D22" s="1192" t="s">
        <v>1099</v>
      </c>
      <c r="E22" s="1192" t="s">
        <v>1099</v>
      </c>
    </row>
    <row r="23" spans="1:5" x14ac:dyDescent="0.25">
      <c r="A23" s="251"/>
      <c r="C23" s="255"/>
      <c r="D23" s="255"/>
      <c r="E23" s="255"/>
    </row>
    <row r="24" spans="1:5" ht="13.2" customHeight="1" x14ac:dyDescent="0.25">
      <c r="A24" s="2259" t="s">
        <v>527</v>
      </c>
      <c r="B24" s="17" t="str">
        <f>+B19</f>
        <v>Fall 2009</v>
      </c>
      <c r="C24" s="252" t="s">
        <v>504</v>
      </c>
      <c r="D24" s="252" t="s">
        <v>505</v>
      </c>
      <c r="E24" s="252" t="s">
        <v>506</v>
      </c>
    </row>
    <row r="25" spans="1:5" x14ac:dyDescent="0.25">
      <c r="A25" s="2260"/>
      <c r="B25" s="253" t="s">
        <v>507</v>
      </c>
      <c r="C25" s="253">
        <v>8</v>
      </c>
      <c r="D25" s="253">
        <v>21</v>
      </c>
      <c r="E25" s="253">
        <f>SUM(C25:D25)</f>
        <v>29</v>
      </c>
    </row>
    <row r="26" spans="1:5" x14ac:dyDescent="0.25">
      <c r="A26" s="2260"/>
      <c r="B26" s="253" t="s">
        <v>508</v>
      </c>
      <c r="C26" s="253">
        <v>3</v>
      </c>
      <c r="D26" s="253">
        <v>14</v>
      </c>
      <c r="E26" s="253">
        <f>SUM(C26:D26)</f>
        <v>17</v>
      </c>
    </row>
    <row r="27" spans="1:5" x14ac:dyDescent="0.25">
      <c r="A27" s="2261"/>
      <c r="B27" s="253" t="s">
        <v>509</v>
      </c>
      <c r="C27" s="256">
        <f>C26/C25</f>
        <v>0.375</v>
      </c>
      <c r="D27" s="254">
        <f>D26/D25</f>
        <v>0.66666666666666663</v>
      </c>
      <c r="E27" s="256">
        <f>E26/E25</f>
        <v>0.58620689655172409</v>
      </c>
    </row>
    <row r="29" spans="1:5" ht="18.600000000000001" customHeight="1" x14ac:dyDescent="0.25">
      <c r="A29" s="2262" t="s">
        <v>612</v>
      </c>
      <c r="B29" s="2262"/>
      <c r="C29" s="2262"/>
      <c r="D29" s="2262"/>
      <c r="E29" s="2262"/>
    </row>
  </sheetData>
  <mergeCells count="8">
    <mergeCell ref="A24:A27"/>
    <mergeCell ref="A29:E29"/>
    <mergeCell ref="A1:E1"/>
    <mergeCell ref="A2:E2"/>
    <mergeCell ref="A4:A7"/>
    <mergeCell ref="A9:A12"/>
    <mergeCell ref="A14:A17"/>
    <mergeCell ref="A19:A22"/>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dimension ref="A1:E29"/>
  <sheetViews>
    <sheetView workbookViewId="0">
      <selection sqref="A1:E1"/>
    </sheetView>
  </sheetViews>
  <sheetFormatPr defaultRowHeight="13.2" x14ac:dyDescent="0.25"/>
  <cols>
    <col min="2" max="2" width="14.6640625" customWidth="1"/>
    <col min="3" max="5" width="9.33203125" bestFit="1" customWidth="1"/>
  </cols>
  <sheetData>
    <row r="1" spans="1:5" ht="17.399999999999999" x14ac:dyDescent="0.3">
      <c r="A1" s="2267" t="s">
        <v>791</v>
      </c>
      <c r="B1" s="2267"/>
      <c r="C1" s="2267"/>
      <c r="D1" s="2267"/>
      <c r="E1" s="2267"/>
    </row>
    <row r="2" spans="1:5" ht="39" customHeight="1" x14ac:dyDescent="0.25">
      <c r="A2" s="2268" t="s">
        <v>500</v>
      </c>
      <c r="B2" s="2268"/>
      <c r="C2" s="2268"/>
      <c r="D2" s="2268"/>
      <c r="E2" s="2268"/>
    </row>
    <row r="3" spans="1:5" x14ac:dyDescent="0.25">
      <c r="A3" s="320"/>
      <c r="B3" s="320"/>
      <c r="C3" s="320"/>
      <c r="D3" s="320"/>
      <c r="E3" s="320"/>
    </row>
    <row r="4" spans="1:5" ht="14.1" customHeight="1" x14ac:dyDescent="0.25">
      <c r="A4" s="2264" t="s">
        <v>503</v>
      </c>
      <c r="B4" s="718" t="s">
        <v>528</v>
      </c>
      <c r="C4" s="542" t="s">
        <v>504</v>
      </c>
      <c r="D4" s="542" t="s">
        <v>505</v>
      </c>
      <c r="E4" s="542" t="s">
        <v>506</v>
      </c>
    </row>
    <row r="5" spans="1:5" ht="14.1" customHeight="1" x14ac:dyDescent="0.25">
      <c r="A5" s="2265"/>
      <c r="B5" s="719" t="s">
        <v>507</v>
      </c>
      <c r="C5" s="719">
        <f>+'Graduation Rates (2009)'!C5+'Graduation Rates (2008)'!C5+'Graduation Rates (2007)'!C5+'Graduation Rates (2006)'!C5</f>
        <v>668</v>
      </c>
      <c r="D5" s="719">
        <f>+'Graduation Rates (2009)'!D5+'Graduation Rates (2008)'!D5+'Graduation Rates (2007)'!D5+'Graduation Rates (2006)'!D5</f>
        <v>1478</v>
      </c>
      <c r="E5" s="719">
        <f>+C5+D5</f>
        <v>2146</v>
      </c>
    </row>
    <row r="6" spans="1:5" ht="14.1" customHeight="1" x14ac:dyDescent="0.25">
      <c r="A6" s="2265"/>
      <c r="B6" s="719" t="s">
        <v>508</v>
      </c>
      <c r="C6" s="719">
        <f>+'Graduation Rates (2009)'!C6+'Graduation Rates (2008)'!C6+'Graduation Rates (2007)'!C6+'Graduation Rates (2006)'!C6</f>
        <v>274</v>
      </c>
      <c r="D6" s="719">
        <f>+'Graduation Rates (2009)'!D6+'Graduation Rates (2008)'!D6+'Graduation Rates (2007)'!D6+'Graduation Rates (2006)'!D6</f>
        <v>698</v>
      </c>
      <c r="E6" s="719">
        <f>+C6+D6</f>
        <v>972</v>
      </c>
    </row>
    <row r="7" spans="1:5" ht="14.1" customHeight="1" x14ac:dyDescent="0.25">
      <c r="A7" s="2266"/>
      <c r="B7" s="719" t="s">
        <v>509</v>
      </c>
      <c r="C7" s="2030">
        <f>+C6/C5</f>
        <v>0.41017964071856289</v>
      </c>
      <c r="D7" s="2030">
        <f>+D6/D5</f>
        <v>0.47225981055480382</v>
      </c>
      <c r="E7" s="2030">
        <f>+E6/E5</f>
        <v>0.45293569431500463</v>
      </c>
    </row>
    <row r="8" spans="1:5" ht="14.1" customHeight="1" x14ac:dyDescent="0.25">
      <c r="A8" s="320"/>
      <c r="B8" s="320"/>
      <c r="C8" s="320"/>
      <c r="D8" s="320"/>
      <c r="E8" s="320"/>
    </row>
    <row r="9" spans="1:5" ht="14.1" customHeight="1" x14ac:dyDescent="0.25">
      <c r="A9" s="2264" t="s">
        <v>510</v>
      </c>
      <c r="B9" s="718" t="s">
        <v>528</v>
      </c>
      <c r="C9" s="542" t="s">
        <v>504</v>
      </c>
      <c r="D9" s="542" t="s">
        <v>505</v>
      </c>
      <c r="E9" s="542" t="s">
        <v>506</v>
      </c>
    </row>
    <row r="10" spans="1:5" ht="14.1" customHeight="1" x14ac:dyDescent="0.25">
      <c r="A10" s="2265"/>
      <c r="B10" s="719" t="s">
        <v>507</v>
      </c>
      <c r="C10" s="719">
        <f>+'Graduation Rates (2009)'!C10+'Graduation Rates (2008)'!C10+'Graduation Rates (2007)'!C10+'Graduation Rates (2006)'!C10</f>
        <v>10</v>
      </c>
      <c r="D10" s="719">
        <f>+'Graduation Rates (2009)'!D10+'Graduation Rates (2008)'!D10+'Graduation Rates (2007)'!D10+'Graduation Rates (2006)'!D10</f>
        <v>22</v>
      </c>
      <c r="E10" s="719">
        <f>+C10+D10</f>
        <v>32</v>
      </c>
    </row>
    <row r="11" spans="1:5" ht="14.1" customHeight="1" x14ac:dyDescent="0.25">
      <c r="A11" s="2265"/>
      <c r="B11" s="719" t="s">
        <v>508</v>
      </c>
      <c r="C11" s="719">
        <f>+'Graduation Rates (2009)'!C11+'Graduation Rates (2008)'!C11+'Graduation Rates (2007)'!C11+'Graduation Rates (2006)'!C11</f>
        <v>1</v>
      </c>
      <c r="D11" s="719">
        <f>+'Graduation Rates (2009)'!D11+'Graduation Rates (2008)'!D11+'Graduation Rates (2007)'!D11+'Graduation Rates (2006)'!D11</f>
        <v>7</v>
      </c>
      <c r="E11" s="719">
        <f>+C11+D11</f>
        <v>8</v>
      </c>
    </row>
    <row r="12" spans="1:5" ht="14.25" customHeight="1" x14ac:dyDescent="0.25">
      <c r="A12" s="2266"/>
      <c r="B12" s="719" t="s">
        <v>509</v>
      </c>
      <c r="C12" s="720">
        <f>+C11/C10</f>
        <v>0.1</v>
      </c>
      <c r="D12" s="720">
        <f>+D11/D10</f>
        <v>0.31818181818181818</v>
      </c>
      <c r="E12" s="720">
        <f>+E11/E10</f>
        <v>0.25</v>
      </c>
    </row>
    <row r="13" spans="1:5" ht="14.1" customHeight="1" x14ac:dyDescent="0.25">
      <c r="A13" s="320"/>
      <c r="B13" s="320"/>
      <c r="C13" s="320"/>
      <c r="D13" s="320"/>
      <c r="E13" s="320"/>
    </row>
    <row r="14" spans="1:5" ht="14.1" customHeight="1" x14ac:dyDescent="0.25">
      <c r="A14" s="2264" t="s">
        <v>13</v>
      </c>
      <c r="B14" s="718" t="s">
        <v>528</v>
      </c>
      <c r="C14" s="542" t="s">
        <v>504</v>
      </c>
      <c r="D14" s="542" t="s">
        <v>505</v>
      </c>
      <c r="E14" s="542" t="s">
        <v>506</v>
      </c>
    </row>
    <row r="15" spans="1:5" ht="14.1" customHeight="1" x14ac:dyDescent="0.25">
      <c r="A15" s="2265"/>
      <c r="B15" s="719" t="s">
        <v>507</v>
      </c>
      <c r="C15" s="719">
        <f>+'Graduation Rates (2009)'!C15+'Graduation Rates (2008)'!C15+'Graduation Rates (2007)'!C15+'Graduation Rates (2006)'!C15</f>
        <v>25</v>
      </c>
      <c r="D15" s="719">
        <f>+'Graduation Rates (2009)'!D15+'Graduation Rates (2008)'!D15+'Graduation Rates (2007)'!D15+'Graduation Rates (2006)'!D15</f>
        <v>0</v>
      </c>
      <c r="E15" s="719">
        <f>+C15+D15</f>
        <v>25</v>
      </c>
    </row>
    <row r="16" spans="1:5" ht="14.1" customHeight="1" x14ac:dyDescent="0.25">
      <c r="A16" s="2265"/>
      <c r="B16" s="719" t="s">
        <v>508</v>
      </c>
      <c r="C16" s="719">
        <f>+'Graduation Rates (2009)'!C16+'Graduation Rates (2008)'!C16+'Graduation Rates (2007)'!C16+'Graduation Rates (2006)'!C16</f>
        <v>9</v>
      </c>
      <c r="D16" s="719">
        <f>+'Graduation Rates (2009)'!D16+'Graduation Rates (2008)'!D16+'Graduation Rates (2007)'!D16+'Graduation Rates (2006)'!D16</f>
        <v>0</v>
      </c>
      <c r="E16" s="719">
        <f>+C16+D16</f>
        <v>9</v>
      </c>
    </row>
    <row r="17" spans="1:5" ht="14.1" customHeight="1" x14ac:dyDescent="0.25">
      <c r="A17" s="2266"/>
      <c r="B17" s="719" t="s">
        <v>509</v>
      </c>
      <c r="C17" s="720">
        <f>+C16/C15</f>
        <v>0.36</v>
      </c>
      <c r="D17" s="2031" t="s">
        <v>1099</v>
      </c>
      <c r="E17" s="720">
        <f>+E16/E15</f>
        <v>0.36</v>
      </c>
    </row>
    <row r="18" spans="1:5" ht="14.1" customHeight="1" x14ac:dyDescent="0.25">
      <c r="A18" s="320"/>
      <c r="B18" s="320"/>
      <c r="C18" s="320"/>
      <c r="D18" s="320"/>
      <c r="E18" s="320"/>
    </row>
    <row r="19" spans="1:5" ht="14.1" customHeight="1" x14ac:dyDescent="0.25">
      <c r="A19" s="2264" t="s">
        <v>526</v>
      </c>
      <c r="B19" s="718" t="s">
        <v>528</v>
      </c>
      <c r="C19" s="542" t="s">
        <v>504</v>
      </c>
      <c r="D19" s="542" t="s">
        <v>505</v>
      </c>
      <c r="E19" s="542" t="s">
        <v>506</v>
      </c>
    </row>
    <row r="20" spans="1:5" ht="14.1" customHeight="1" x14ac:dyDescent="0.25">
      <c r="A20" s="2265"/>
      <c r="B20" s="719" t="s">
        <v>507</v>
      </c>
      <c r="C20" s="719">
        <f>+'Graduation Rates (2009)'!C20+'Graduation Rates (2008)'!C20+'Graduation Rates (2007)'!C20+'Graduation Rates (2006)'!C20</f>
        <v>0</v>
      </c>
      <c r="D20" s="719">
        <f>+'Graduation Rates (2009)'!D20+'Graduation Rates (2008)'!D20+'Graduation Rates (2007)'!D20+'Graduation Rates (2006)'!D20</f>
        <v>6</v>
      </c>
      <c r="E20" s="719">
        <f>+C20+D20</f>
        <v>6</v>
      </c>
    </row>
    <row r="21" spans="1:5" ht="14.1" customHeight="1" x14ac:dyDescent="0.25">
      <c r="A21" s="2265"/>
      <c r="B21" s="719" t="s">
        <v>508</v>
      </c>
      <c r="C21" s="719">
        <f>+'Graduation Rates (2009)'!C21+'Graduation Rates (2008)'!C21+'Graduation Rates (2007)'!C21+'Graduation Rates (2006)'!C21</f>
        <v>0</v>
      </c>
      <c r="D21" s="719">
        <f>+'Graduation Rates (2009)'!D21+'Graduation Rates (2008)'!D21+'Graduation Rates (2007)'!D21+'Graduation Rates (2006)'!D21</f>
        <v>2</v>
      </c>
      <c r="E21" s="719">
        <f>+C21+D21</f>
        <v>2</v>
      </c>
    </row>
    <row r="22" spans="1:5" ht="14.1" customHeight="1" x14ac:dyDescent="0.25">
      <c r="A22" s="2266"/>
      <c r="B22" s="719" t="s">
        <v>509</v>
      </c>
      <c r="C22" s="2031" t="s">
        <v>1099</v>
      </c>
      <c r="D22" s="723">
        <f>+D21/D20</f>
        <v>0.33333333333333331</v>
      </c>
      <c r="E22" s="723">
        <f>+E21/E20</f>
        <v>0.33333333333333331</v>
      </c>
    </row>
    <row r="23" spans="1:5" ht="14.1" customHeight="1" x14ac:dyDescent="0.25">
      <c r="A23" s="721"/>
      <c r="B23" s="320"/>
      <c r="C23" s="722"/>
      <c r="D23" s="722"/>
      <c r="E23" s="722"/>
    </row>
    <row r="24" spans="1:5" ht="14.1" customHeight="1" x14ac:dyDescent="0.25">
      <c r="A24" s="2264" t="s">
        <v>527</v>
      </c>
      <c r="B24" s="718" t="s">
        <v>528</v>
      </c>
      <c r="C24" s="542" t="s">
        <v>504</v>
      </c>
      <c r="D24" s="542" t="s">
        <v>505</v>
      </c>
      <c r="E24" s="542" t="s">
        <v>506</v>
      </c>
    </row>
    <row r="25" spans="1:5" ht="14.1" customHeight="1" x14ac:dyDescent="0.25">
      <c r="A25" s="2265"/>
      <c r="B25" s="719" t="s">
        <v>507</v>
      </c>
      <c r="C25" s="719">
        <f>+'Graduation Rates (2009)'!C25+'Graduation Rates (2008)'!C25+'Graduation Rates (2007)'!C25+'Graduation Rates (2006)'!C25</f>
        <v>30</v>
      </c>
      <c r="D25" s="719">
        <f>+'Graduation Rates (2009)'!D25+'Graduation Rates (2008)'!D25+'Graduation Rates (2007)'!D25+'Graduation Rates (2006)'!D25</f>
        <v>73</v>
      </c>
      <c r="E25" s="719">
        <f>+C25+D25</f>
        <v>103</v>
      </c>
    </row>
    <row r="26" spans="1:5" ht="14.1" customHeight="1" x14ac:dyDescent="0.25">
      <c r="A26" s="2265"/>
      <c r="B26" s="719" t="s">
        <v>508</v>
      </c>
      <c r="C26" s="719">
        <f>+'Graduation Rates (2009)'!C26+'Graduation Rates (2008)'!C26+'Graduation Rates (2007)'!C26+'Graduation Rates (2006)'!C26</f>
        <v>22</v>
      </c>
      <c r="D26" s="719">
        <f>+'Graduation Rates (2009)'!D26+'Graduation Rates (2008)'!D26+'Graduation Rates (2007)'!D26+'Graduation Rates (2006)'!D26</f>
        <v>43</v>
      </c>
      <c r="E26" s="719">
        <f>+C26+D26</f>
        <v>65</v>
      </c>
    </row>
    <row r="27" spans="1:5" ht="14.1" customHeight="1" x14ac:dyDescent="0.25">
      <c r="A27" s="2266"/>
      <c r="B27" s="719" t="s">
        <v>509</v>
      </c>
      <c r="C27" s="723">
        <f>+C26/C25</f>
        <v>0.73333333333333328</v>
      </c>
      <c r="D27" s="723">
        <f>+D26/D25</f>
        <v>0.58904109589041098</v>
      </c>
      <c r="E27" s="723">
        <f>+E26/E25</f>
        <v>0.6310679611650486</v>
      </c>
    </row>
    <row r="29" spans="1:5" ht="26.1" customHeight="1" x14ac:dyDescent="0.25">
      <c r="A29" s="2262" t="s">
        <v>612</v>
      </c>
      <c r="B29" s="2262"/>
      <c r="C29" s="2262"/>
      <c r="D29" s="2262"/>
      <c r="E29" s="2262"/>
    </row>
  </sheetData>
  <mergeCells count="8">
    <mergeCell ref="A24:A27"/>
    <mergeCell ref="A29:E29"/>
    <mergeCell ref="A1:E1"/>
    <mergeCell ref="A2:E2"/>
    <mergeCell ref="A4:A7"/>
    <mergeCell ref="A9:A12"/>
    <mergeCell ref="A14:A17"/>
    <mergeCell ref="A19:A22"/>
  </mergeCells>
  <phoneticPr fontId="16" type="noConversion"/>
  <printOptions horizontalCentered="1" verticalCentered="1"/>
  <pageMargins left="0.75" right="0.75" top="1" bottom="1" header="0.5" footer="0.5"/>
  <pageSetup orientation="portrait" horizontalDpi="300" verticalDpi="300" r:id="rId1"/>
  <headerFooter alignWithMargins="0">
    <oddFooter>&amp;L&amp;7Source: Office of Institutional Research</oddFooter>
  </headerFooter>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Z41"/>
  <sheetViews>
    <sheetView workbookViewId="0">
      <selection sqref="A1:Z1"/>
    </sheetView>
  </sheetViews>
  <sheetFormatPr defaultColWidth="9.109375" defaultRowHeight="13.2" x14ac:dyDescent="0.25"/>
  <cols>
    <col min="1" max="3" width="8.6640625" style="296" customWidth="1"/>
    <col min="4" max="12" width="11.6640625" style="296" hidden="1" customWidth="1"/>
    <col min="13" max="26" width="11.6640625" style="296" customWidth="1"/>
    <col min="27" max="16384" width="9.109375" style="296"/>
  </cols>
  <sheetData>
    <row r="1" spans="1:26" s="294" customFormat="1" ht="17.399999999999999" x14ac:dyDescent="0.3">
      <c r="A1" s="2273" t="s">
        <v>864</v>
      </c>
      <c r="B1" s="2274"/>
      <c r="C1" s="2274"/>
      <c r="D1" s="2274"/>
      <c r="E1" s="2274"/>
      <c r="F1" s="2274"/>
      <c r="G1" s="2274"/>
      <c r="H1" s="2274"/>
      <c r="I1" s="2274"/>
      <c r="J1" s="2274"/>
      <c r="K1" s="2274"/>
      <c r="L1" s="2274"/>
      <c r="M1" s="2274"/>
      <c r="N1" s="2274"/>
      <c r="O1" s="2274"/>
      <c r="P1" s="2274"/>
      <c r="Q1" s="2274"/>
      <c r="R1" s="2274"/>
      <c r="S1" s="2274"/>
      <c r="T1" s="2274"/>
      <c r="U1" s="2274"/>
      <c r="V1" s="2274"/>
      <c r="W1" s="2274"/>
      <c r="X1" s="2274"/>
      <c r="Y1" s="2274"/>
      <c r="Z1" s="2274"/>
    </row>
    <row r="2" spans="1:26" s="294" customFormat="1" ht="17.399999999999999" x14ac:dyDescent="0.3">
      <c r="A2" s="2275" t="s">
        <v>897</v>
      </c>
      <c r="B2" s="2276"/>
      <c r="C2" s="2276"/>
      <c r="D2" s="2276"/>
      <c r="E2" s="2276"/>
      <c r="F2" s="2276"/>
      <c r="G2" s="2276"/>
      <c r="H2" s="2276"/>
      <c r="I2" s="2276"/>
      <c r="J2" s="2276"/>
      <c r="K2" s="2276"/>
      <c r="L2" s="2276"/>
      <c r="M2" s="2276"/>
      <c r="N2" s="2276"/>
      <c r="O2" s="2276"/>
      <c r="P2" s="2276"/>
      <c r="Q2" s="2276"/>
      <c r="R2" s="2276"/>
      <c r="S2" s="2276"/>
      <c r="T2" s="2276"/>
      <c r="U2" s="2276"/>
      <c r="V2" s="2276"/>
      <c r="W2" s="2276"/>
      <c r="X2" s="2276"/>
      <c r="Y2" s="2276"/>
      <c r="Z2" s="2276"/>
    </row>
    <row r="3" spans="1:26" s="294" customFormat="1" ht="17.399999999999999" hidden="1" x14ac:dyDescent="0.3">
      <c r="A3" s="1651" t="s">
        <v>176</v>
      </c>
      <c r="B3" s="1651"/>
      <c r="C3" s="1651"/>
      <c r="D3" s="1652"/>
      <c r="E3" s="1652"/>
      <c r="F3" s="1652"/>
      <c r="G3" s="1652"/>
      <c r="H3" s="1652"/>
      <c r="I3" s="1652"/>
      <c r="J3" s="1652"/>
      <c r="K3" s="1652"/>
      <c r="L3" s="1652"/>
      <c r="M3" s="1652"/>
      <c r="N3" s="1652"/>
      <c r="O3" s="1652"/>
      <c r="P3" s="1652"/>
      <c r="Q3" s="1653"/>
      <c r="R3" s="1653"/>
      <c r="S3" s="1653"/>
      <c r="T3" s="1653"/>
      <c r="U3" s="1653"/>
      <c r="V3" s="1653"/>
      <c r="W3" s="1653"/>
      <c r="X3" s="1653"/>
    </row>
    <row r="4" spans="1:26" s="294" customFormat="1" ht="17.399999999999999" x14ac:dyDescent="0.3">
      <c r="A4" s="2272"/>
      <c r="B4" s="2272"/>
      <c r="C4" s="2272"/>
      <c r="D4" s="2277" t="s">
        <v>865</v>
      </c>
      <c r="E4" s="2278"/>
      <c r="F4" s="2278"/>
      <c r="G4" s="2278"/>
      <c r="H4" s="2278"/>
      <c r="I4" s="2278"/>
      <c r="J4" s="2278"/>
      <c r="K4" s="2278"/>
      <c r="L4" s="2278"/>
      <c r="M4" s="2278"/>
      <c r="N4" s="2278"/>
      <c r="O4" s="2278"/>
      <c r="P4" s="2278"/>
      <c r="Q4" s="2278"/>
      <c r="R4" s="2278"/>
      <c r="S4" s="2278"/>
      <c r="T4" s="2278"/>
      <c r="U4" s="2278"/>
      <c r="V4" s="2278"/>
      <c r="W4" s="2278"/>
      <c r="X4" s="2278"/>
      <c r="Y4" s="2278"/>
      <c r="Z4" s="2278"/>
    </row>
    <row r="5" spans="1:26" ht="38.25" customHeight="1" x14ac:dyDescent="0.25">
      <c r="A5" s="2269" t="s">
        <v>713</v>
      </c>
      <c r="B5" s="2270"/>
      <c r="C5" s="2271"/>
      <c r="D5" s="295" t="s">
        <v>1033</v>
      </c>
      <c r="E5" s="295" t="s">
        <v>1034</v>
      </c>
      <c r="F5" s="295" t="s">
        <v>896</v>
      </c>
      <c r="G5" s="295" t="s">
        <v>898</v>
      </c>
      <c r="H5" s="295" t="s">
        <v>899</v>
      </c>
      <c r="I5" s="295" t="s">
        <v>900</v>
      </c>
      <c r="J5" s="295" t="s">
        <v>1372</v>
      </c>
      <c r="K5" s="295" t="s">
        <v>901</v>
      </c>
      <c r="L5" s="295" t="s">
        <v>715</v>
      </c>
      <c r="M5" s="295" t="s">
        <v>1373</v>
      </c>
      <c r="N5" s="295" t="s">
        <v>610</v>
      </c>
      <c r="O5" s="295" t="s">
        <v>177</v>
      </c>
      <c r="P5" s="295" t="s">
        <v>247</v>
      </c>
      <c r="Q5" s="295" t="s">
        <v>205</v>
      </c>
      <c r="R5" s="295" t="s">
        <v>398</v>
      </c>
      <c r="S5" s="295" t="s">
        <v>1530</v>
      </c>
      <c r="T5" s="295" t="s">
        <v>1531</v>
      </c>
      <c r="U5" s="295" t="s">
        <v>1532</v>
      </c>
      <c r="V5" s="295" t="s">
        <v>1533</v>
      </c>
      <c r="W5" s="295" t="s">
        <v>1583</v>
      </c>
      <c r="X5" s="295" t="s">
        <v>1636</v>
      </c>
      <c r="Y5" s="295" t="s">
        <v>1681</v>
      </c>
      <c r="Z5" s="295" t="s">
        <v>1781</v>
      </c>
    </row>
    <row r="6" spans="1:26" x14ac:dyDescent="0.25">
      <c r="A6" s="297" t="s">
        <v>866</v>
      </c>
      <c r="B6" s="298"/>
      <c r="C6" s="299"/>
      <c r="D6" s="300"/>
      <c r="E6" s="300"/>
      <c r="F6" s="300"/>
      <c r="G6" s="300"/>
      <c r="H6" s="300"/>
      <c r="I6" s="300"/>
      <c r="J6" s="300"/>
      <c r="K6" s="300"/>
      <c r="L6" s="300"/>
      <c r="M6" s="300"/>
      <c r="N6" s="436"/>
      <c r="O6" s="436"/>
      <c r="P6" s="436"/>
      <c r="Q6" s="436"/>
      <c r="R6" s="436"/>
      <c r="S6" s="436"/>
      <c r="T6" s="436"/>
      <c r="U6" s="436"/>
      <c r="V6" s="436"/>
      <c r="W6" s="436"/>
      <c r="X6" s="436"/>
      <c r="Y6" s="436"/>
      <c r="Z6" s="436"/>
    </row>
    <row r="7" spans="1:26" x14ac:dyDescent="0.25">
      <c r="A7" s="301"/>
      <c r="B7" s="298" t="s">
        <v>867</v>
      </c>
      <c r="C7" s="299"/>
      <c r="D7" s="300">
        <v>0</v>
      </c>
      <c r="E7" s="300">
        <v>0</v>
      </c>
      <c r="F7" s="300">
        <v>0</v>
      </c>
      <c r="G7" s="300">
        <v>0</v>
      </c>
      <c r="H7" s="300">
        <v>0</v>
      </c>
      <c r="I7" s="300">
        <v>0</v>
      </c>
      <c r="J7" s="300">
        <v>0</v>
      </c>
      <c r="K7" s="436">
        <v>0</v>
      </c>
      <c r="L7" s="436">
        <v>0</v>
      </c>
      <c r="M7" s="436">
        <v>0</v>
      </c>
      <c r="N7" s="436">
        <v>0</v>
      </c>
      <c r="O7" s="436">
        <v>0</v>
      </c>
      <c r="P7" s="436">
        <v>0</v>
      </c>
      <c r="Q7" s="436">
        <v>0</v>
      </c>
      <c r="R7" s="436">
        <v>0</v>
      </c>
      <c r="S7" s="436">
        <v>0</v>
      </c>
      <c r="T7" s="436">
        <v>0</v>
      </c>
      <c r="U7" s="436">
        <v>0</v>
      </c>
      <c r="V7" s="436">
        <v>0</v>
      </c>
      <c r="W7" s="436">
        <v>0</v>
      </c>
      <c r="X7" s="436">
        <v>0</v>
      </c>
      <c r="Y7" s="436">
        <v>0</v>
      </c>
      <c r="Z7" s="436">
        <v>0</v>
      </c>
    </row>
    <row r="8" spans="1:26" x14ac:dyDescent="0.25">
      <c r="A8" s="301"/>
      <c r="B8" s="298" t="s">
        <v>868</v>
      </c>
      <c r="C8" s="299"/>
      <c r="D8" s="300">
        <v>70.900000000000006</v>
      </c>
      <c r="E8" s="300">
        <v>67.5</v>
      </c>
      <c r="F8" s="300">
        <v>66</v>
      </c>
      <c r="G8" s="300">
        <v>70.900000000000006</v>
      </c>
      <c r="H8" s="300">
        <v>69.8</v>
      </c>
      <c r="I8" s="300">
        <v>66.7</v>
      </c>
      <c r="J8" s="300">
        <v>66.5</v>
      </c>
      <c r="K8" s="436">
        <v>67.2</v>
      </c>
      <c r="L8" s="436">
        <v>67</v>
      </c>
      <c r="M8" s="436">
        <v>66.5</v>
      </c>
      <c r="N8" s="436">
        <v>62</v>
      </c>
      <c r="O8" s="436">
        <v>65.099999999999994</v>
      </c>
      <c r="P8" s="436">
        <v>63.6</v>
      </c>
      <c r="Q8" s="436">
        <v>62.3</v>
      </c>
      <c r="R8" s="436">
        <v>59.6</v>
      </c>
      <c r="S8" s="436">
        <v>67.900000000000006</v>
      </c>
      <c r="T8" s="436">
        <v>70</v>
      </c>
      <c r="U8" s="436">
        <v>67.8</v>
      </c>
      <c r="V8" s="436">
        <v>64.400000000000006</v>
      </c>
      <c r="W8" s="436">
        <v>61</v>
      </c>
      <c r="X8" s="436">
        <v>61.7</v>
      </c>
      <c r="Y8" s="436">
        <v>68.400000000000006</v>
      </c>
      <c r="Z8" s="436">
        <v>69.400000000000006</v>
      </c>
    </row>
    <row r="9" spans="1:26" x14ac:dyDescent="0.25">
      <c r="A9" s="301"/>
      <c r="B9" s="298" t="s">
        <v>869</v>
      </c>
      <c r="C9" s="299"/>
      <c r="D9" s="300">
        <v>0</v>
      </c>
      <c r="E9" s="300">
        <v>7.7</v>
      </c>
      <c r="F9" s="300">
        <v>8.9</v>
      </c>
      <c r="G9" s="300">
        <v>6.7</v>
      </c>
      <c r="H9" s="300">
        <v>7.6</v>
      </c>
      <c r="I9" s="300">
        <v>5.3</v>
      </c>
      <c r="J9" s="300">
        <v>0</v>
      </c>
      <c r="K9" s="436">
        <v>6.3</v>
      </c>
      <c r="L9" s="436">
        <v>5.5</v>
      </c>
      <c r="M9" s="436">
        <v>6.8</v>
      </c>
      <c r="N9" s="436">
        <v>9.3000000000000007</v>
      </c>
      <c r="O9" s="436">
        <v>7.9</v>
      </c>
      <c r="P9" s="436">
        <v>12.3</v>
      </c>
      <c r="Q9" s="436">
        <v>11.6</v>
      </c>
      <c r="R9" s="436">
        <v>8.1</v>
      </c>
      <c r="S9" s="436">
        <v>4.4000000000000004</v>
      </c>
      <c r="T9" s="436">
        <v>5.2</v>
      </c>
      <c r="U9" s="436">
        <v>5.8</v>
      </c>
      <c r="V9" s="436">
        <v>7.1</v>
      </c>
      <c r="W9" s="436">
        <v>10.3</v>
      </c>
      <c r="X9" s="436">
        <v>7.1</v>
      </c>
      <c r="Y9" s="436">
        <v>8.3000000000000007</v>
      </c>
      <c r="Z9" s="436">
        <v>6.5</v>
      </c>
    </row>
    <row r="10" spans="1:26" x14ac:dyDescent="0.25">
      <c r="A10" s="302"/>
      <c r="B10" s="303" t="s">
        <v>870</v>
      </c>
      <c r="C10" s="304"/>
      <c r="D10" s="305">
        <v>29.1</v>
      </c>
      <c r="E10" s="305">
        <v>24.8</v>
      </c>
      <c r="F10" s="305">
        <v>25.1</v>
      </c>
      <c r="G10" s="305">
        <v>22.4</v>
      </c>
      <c r="H10" s="305">
        <v>22.7</v>
      </c>
      <c r="I10" s="305">
        <v>27.9</v>
      </c>
      <c r="J10" s="305">
        <v>33.5</v>
      </c>
      <c r="K10" s="437">
        <v>26.5</v>
      </c>
      <c r="L10" s="437">
        <v>27.5</v>
      </c>
      <c r="M10" s="437">
        <v>26.7</v>
      </c>
      <c r="N10" s="437">
        <v>28.7</v>
      </c>
      <c r="O10" s="437">
        <v>27</v>
      </c>
      <c r="P10" s="437">
        <v>24.1</v>
      </c>
      <c r="Q10" s="437">
        <v>26.1</v>
      </c>
      <c r="R10" s="437">
        <v>32.299999999999997</v>
      </c>
      <c r="S10" s="437">
        <v>27.7</v>
      </c>
      <c r="T10" s="437">
        <v>24.8</v>
      </c>
      <c r="U10" s="437">
        <v>26.4</v>
      </c>
      <c r="V10" s="437">
        <v>28.5</v>
      </c>
      <c r="W10" s="437">
        <v>28.7</v>
      </c>
      <c r="X10" s="437">
        <v>31.2</v>
      </c>
      <c r="Y10" s="437">
        <v>23.3</v>
      </c>
      <c r="Z10" s="437">
        <v>24.1</v>
      </c>
    </row>
    <row r="11" spans="1:26" x14ac:dyDescent="0.25">
      <c r="A11" s="306" t="s">
        <v>871</v>
      </c>
      <c r="B11" s="298"/>
      <c r="C11" s="299"/>
      <c r="D11" s="300"/>
      <c r="E11" s="300"/>
      <c r="F11" s="300"/>
      <c r="G11" s="300"/>
      <c r="H11" s="300"/>
      <c r="I11" s="300"/>
      <c r="J11" s="300"/>
      <c r="K11" s="436"/>
      <c r="L11" s="436"/>
      <c r="M11" s="436"/>
      <c r="N11" s="436"/>
      <c r="O11" s="436"/>
      <c r="P11" s="436"/>
      <c r="Q11" s="436"/>
      <c r="R11" s="436"/>
      <c r="S11" s="436"/>
      <c r="T11" s="436"/>
      <c r="U11" s="436"/>
      <c r="V11" s="436"/>
      <c r="W11" s="436"/>
      <c r="X11" s="436"/>
      <c r="Y11" s="436"/>
      <c r="Z11" s="436"/>
    </row>
    <row r="12" spans="1:26" x14ac:dyDescent="0.25">
      <c r="A12" s="301"/>
      <c r="B12" s="298" t="s">
        <v>867</v>
      </c>
      <c r="C12" s="299"/>
      <c r="D12" s="300">
        <v>0</v>
      </c>
      <c r="E12" s="300">
        <v>0</v>
      </c>
      <c r="F12" s="300">
        <v>0</v>
      </c>
      <c r="G12" s="300">
        <v>0.2</v>
      </c>
      <c r="H12" s="300">
        <v>0</v>
      </c>
      <c r="I12" s="300">
        <v>0</v>
      </c>
      <c r="J12" s="300">
        <v>0</v>
      </c>
      <c r="K12" s="436">
        <v>0</v>
      </c>
      <c r="L12" s="436">
        <v>0</v>
      </c>
      <c r="M12" s="436">
        <v>0</v>
      </c>
      <c r="N12" s="436">
        <v>0</v>
      </c>
      <c r="O12" s="436">
        <v>0</v>
      </c>
      <c r="P12" s="436">
        <v>0</v>
      </c>
      <c r="Q12" s="436">
        <v>0</v>
      </c>
      <c r="R12" s="436">
        <v>0</v>
      </c>
      <c r="S12" s="436">
        <v>0</v>
      </c>
      <c r="T12" s="436">
        <v>0</v>
      </c>
      <c r="U12" s="436">
        <v>0</v>
      </c>
      <c r="V12" s="436">
        <v>0.1</v>
      </c>
      <c r="W12" s="436">
        <v>0</v>
      </c>
      <c r="X12" s="436">
        <v>0</v>
      </c>
      <c r="Y12" s="436">
        <v>0</v>
      </c>
      <c r="Z12" s="436"/>
    </row>
    <row r="13" spans="1:26" x14ac:dyDescent="0.25">
      <c r="A13" s="301"/>
      <c r="B13" s="298" t="s">
        <v>868</v>
      </c>
      <c r="C13" s="299"/>
      <c r="D13" s="300">
        <v>56</v>
      </c>
      <c r="E13" s="300">
        <v>55</v>
      </c>
      <c r="F13" s="300">
        <v>57.8</v>
      </c>
      <c r="G13" s="300">
        <v>59.5</v>
      </c>
      <c r="H13" s="300">
        <v>58.6</v>
      </c>
      <c r="I13" s="300">
        <v>58</v>
      </c>
      <c r="J13" s="300">
        <v>51.2</v>
      </c>
      <c r="K13" s="436">
        <v>57.3</v>
      </c>
      <c r="L13" s="436">
        <v>52.1</v>
      </c>
      <c r="M13" s="436">
        <v>57.9</v>
      </c>
      <c r="N13" s="436">
        <v>53</v>
      </c>
      <c r="O13" s="436">
        <v>53.2</v>
      </c>
      <c r="P13" s="436">
        <v>52.1</v>
      </c>
      <c r="Q13" s="436">
        <v>46.6</v>
      </c>
      <c r="R13" s="436">
        <v>50.7</v>
      </c>
      <c r="S13" s="436">
        <v>60.6</v>
      </c>
      <c r="T13" s="436">
        <v>55.1</v>
      </c>
      <c r="U13" s="436">
        <v>55.1</v>
      </c>
      <c r="V13" s="436">
        <v>54.4</v>
      </c>
      <c r="W13" s="436">
        <v>50.4</v>
      </c>
      <c r="X13" s="436">
        <v>53.6</v>
      </c>
      <c r="Y13" s="436">
        <v>54.5</v>
      </c>
      <c r="Z13" s="436"/>
    </row>
    <row r="14" spans="1:26" x14ac:dyDescent="0.25">
      <c r="A14" s="301"/>
      <c r="B14" s="298" t="s">
        <v>869</v>
      </c>
      <c r="C14" s="299"/>
      <c r="D14" s="300">
        <v>4.7</v>
      </c>
      <c r="E14" s="300">
        <v>10.1</v>
      </c>
      <c r="F14" s="300">
        <v>8.3000000000000007</v>
      </c>
      <c r="G14" s="300">
        <v>8.6</v>
      </c>
      <c r="H14" s="300">
        <v>7.3</v>
      </c>
      <c r="I14" s="300">
        <v>5.0999999999999996</v>
      </c>
      <c r="J14" s="300">
        <v>2.9</v>
      </c>
      <c r="K14" s="436">
        <v>6.7</v>
      </c>
      <c r="L14" s="436">
        <v>7.9</v>
      </c>
      <c r="M14" s="436">
        <v>6.6</v>
      </c>
      <c r="N14" s="436">
        <v>10.3</v>
      </c>
      <c r="O14" s="436">
        <v>9.8000000000000007</v>
      </c>
      <c r="P14" s="436">
        <v>13.9</v>
      </c>
      <c r="Q14" s="436">
        <v>12.3</v>
      </c>
      <c r="R14" s="436">
        <v>11.1</v>
      </c>
      <c r="S14" s="436">
        <v>6.2</v>
      </c>
      <c r="T14" s="436">
        <v>6.9</v>
      </c>
      <c r="U14" s="436">
        <v>8.4</v>
      </c>
      <c r="V14" s="436">
        <v>10.1</v>
      </c>
      <c r="W14" s="436">
        <v>10.4</v>
      </c>
      <c r="X14" s="436">
        <v>8.6</v>
      </c>
      <c r="Y14" s="436">
        <v>8.6999999999999993</v>
      </c>
      <c r="Z14" s="436"/>
    </row>
    <row r="15" spans="1:26" x14ac:dyDescent="0.25">
      <c r="A15" s="302"/>
      <c r="B15" s="303" t="s">
        <v>870</v>
      </c>
      <c r="C15" s="304"/>
      <c r="D15" s="305">
        <v>39.299999999999997</v>
      </c>
      <c r="E15" s="305">
        <v>34.9</v>
      </c>
      <c r="F15" s="305">
        <v>34</v>
      </c>
      <c r="G15" s="305">
        <v>31.7</v>
      </c>
      <c r="H15" s="305">
        <v>34.1</v>
      </c>
      <c r="I15" s="305">
        <v>37</v>
      </c>
      <c r="J15" s="305">
        <v>45.9</v>
      </c>
      <c r="K15" s="437">
        <v>36</v>
      </c>
      <c r="L15" s="437">
        <v>40.1</v>
      </c>
      <c r="M15" s="437">
        <v>35.5</v>
      </c>
      <c r="N15" s="437">
        <v>36.700000000000003</v>
      </c>
      <c r="O15" s="437">
        <v>37</v>
      </c>
      <c r="P15" s="437">
        <v>34</v>
      </c>
      <c r="Q15" s="437">
        <v>41.1</v>
      </c>
      <c r="R15" s="437">
        <v>38.200000000000003</v>
      </c>
      <c r="S15" s="437">
        <v>33.200000000000003</v>
      </c>
      <c r="T15" s="437">
        <v>38</v>
      </c>
      <c r="U15" s="437">
        <v>36.5</v>
      </c>
      <c r="V15" s="437">
        <v>35.4</v>
      </c>
      <c r="W15" s="437">
        <v>39.200000000000003</v>
      </c>
      <c r="X15" s="437">
        <v>37.799999999999997</v>
      </c>
      <c r="Y15" s="437">
        <v>36.799999999999997</v>
      </c>
      <c r="Z15" s="437"/>
    </row>
    <row r="16" spans="1:26" x14ac:dyDescent="0.25">
      <c r="A16" s="306" t="s">
        <v>874</v>
      </c>
      <c r="B16" s="298"/>
      <c r="C16" s="299"/>
      <c r="D16" s="300"/>
      <c r="E16" s="300"/>
      <c r="F16" s="300"/>
      <c r="G16" s="300"/>
      <c r="H16" s="300"/>
      <c r="I16" s="300"/>
      <c r="J16" s="300"/>
      <c r="K16" s="436"/>
      <c r="L16" s="436"/>
      <c r="M16" s="436"/>
      <c r="N16" s="436"/>
      <c r="O16" s="436"/>
      <c r="P16" s="436"/>
      <c r="Q16" s="436"/>
      <c r="R16" s="436"/>
      <c r="S16" s="436"/>
      <c r="T16" s="436"/>
      <c r="U16" s="436"/>
      <c r="V16" s="436"/>
      <c r="W16" s="436"/>
      <c r="X16" s="436"/>
      <c r="Y16" s="436"/>
      <c r="Z16" s="436"/>
    </row>
    <row r="17" spans="1:26" x14ac:dyDescent="0.25">
      <c r="A17" s="301"/>
      <c r="B17" s="298" t="s">
        <v>867</v>
      </c>
      <c r="C17" s="299"/>
      <c r="D17" s="300">
        <v>1.5</v>
      </c>
      <c r="E17" s="300">
        <v>1.4</v>
      </c>
      <c r="F17" s="300">
        <v>2.5</v>
      </c>
      <c r="G17" s="300">
        <v>3.6</v>
      </c>
      <c r="H17" s="300">
        <v>2.1</v>
      </c>
      <c r="I17" s="300">
        <v>1.6</v>
      </c>
      <c r="J17" s="300">
        <v>2.2999999999999998</v>
      </c>
      <c r="K17" s="436">
        <v>1.8</v>
      </c>
      <c r="L17" s="436">
        <v>0.8</v>
      </c>
      <c r="M17" s="436">
        <v>2.2999999999999998</v>
      </c>
      <c r="N17" s="436">
        <v>2.9</v>
      </c>
      <c r="O17" s="436">
        <v>2.4</v>
      </c>
      <c r="P17" s="436">
        <v>0.3</v>
      </c>
      <c r="Q17" s="436">
        <v>0</v>
      </c>
      <c r="R17" s="436">
        <v>0.2</v>
      </c>
      <c r="S17" s="436">
        <v>0.5</v>
      </c>
      <c r="T17" s="436">
        <v>0.5</v>
      </c>
      <c r="U17" s="436">
        <v>1.4</v>
      </c>
      <c r="V17" s="436">
        <v>1.2</v>
      </c>
      <c r="W17" s="436">
        <v>0.5</v>
      </c>
      <c r="X17" s="436">
        <v>1.4</v>
      </c>
      <c r="Y17" s="436"/>
      <c r="Z17" s="436"/>
    </row>
    <row r="18" spans="1:26" x14ac:dyDescent="0.25">
      <c r="A18" s="301"/>
      <c r="B18" s="298" t="s">
        <v>868</v>
      </c>
      <c r="C18" s="299"/>
      <c r="D18" s="300">
        <v>48.3</v>
      </c>
      <c r="E18" s="300">
        <v>50.4</v>
      </c>
      <c r="F18" s="300">
        <v>49.5</v>
      </c>
      <c r="G18" s="300">
        <v>48.8</v>
      </c>
      <c r="H18" s="300">
        <v>50.1</v>
      </c>
      <c r="I18" s="300">
        <v>49.2</v>
      </c>
      <c r="J18" s="300">
        <v>46.3</v>
      </c>
      <c r="K18" s="436">
        <v>52.4</v>
      </c>
      <c r="L18" s="436">
        <v>45.6</v>
      </c>
      <c r="M18" s="436">
        <v>51.5</v>
      </c>
      <c r="N18" s="436">
        <v>48.5</v>
      </c>
      <c r="O18" s="436">
        <v>47</v>
      </c>
      <c r="P18" s="436">
        <v>46.8</v>
      </c>
      <c r="Q18" s="436">
        <v>43.3</v>
      </c>
      <c r="R18" s="436">
        <v>47.4</v>
      </c>
      <c r="S18" s="436">
        <v>55.6</v>
      </c>
      <c r="T18" s="436">
        <v>49.3</v>
      </c>
      <c r="U18" s="436">
        <v>49.9</v>
      </c>
      <c r="V18" s="436">
        <v>47.2</v>
      </c>
      <c r="W18" s="436">
        <v>47.1</v>
      </c>
      <c r="X18" s="436">
        <v>45</v>
      </c>
      <c r="Y18" s="436"/>
      <c r="Z18" s="436"/>
    </row>
    <row r="19" spans="1:26" x14ac:dyDescent="0.25">
      <c r="A19" s="301"/>
      <c r="B19" s="298" t="s">
        <v>869</v>
      </c>
      <c r="C19" s="299"/>
      <c r="D19" s="300">
        <v>5.2</v>
      </c>
      <c r="E19" s="300">
        <v>10.9</v>
      </c>
      <c r="F19" s="300">
        <v>8.5</v>
      </c>
      <c r="G19" s="300">
        <v>9.9</v>
      </c>
      <c r="H19" s="300">
        <v>7.8</v>
      </c>
      <c r="I19" s="300">
        <v>6</v>
      </c>
      <c r="J19" s="300">
        <v>4.0999999999999996</v>
      </c>
      <c r="K19" s="436">
        <v>7.5</v>
      </c>
      <c r="L19" s="436">
        <v>8.4</v>
      </c>
      <c r="M19" s="436">
        <v>6.8</v>
      </c>
      <c r="N19" s="436">
        <v>12.4</v>
      </c>
      <c r="O19" s="436">
        <v>10.4</v>
      </c>
      <c r="P19" s="436">
        <v>13.4</v>
      </c>
      <c r="Q19" s="436">
        <v>12.5</v>
      </c>
      <c r="R19" s="436">
        <v>11.8</v>
      </c>
      <c r="S19" s="436">
        <v>6.9</v>
      </c>
      <c r="T19" s="436">
        <v>7.4</v>
      </c>
      <c r="U19" s="436">
        <v>9.3000000000000007</v>
      </c>
      <c r="V19" s="436">
        <v>10.3</v>
      </c>
      <c r="W19" s="436">
        <v>10.6</v>
      </c>
      <c r="X19" s="436">
        <v>8.3000000000000007</v>
      </c>
      <c r="Y19" s="436"/>
      <c r="Z19" s="436"/>
    </row>
    <row r="20" spans="1:26" x14ac:dyDescent="0.25">
      <c r="A20" s="302"/>
      <c r="B20" s="303" t="s">
        <v>870</v>
      </c>
      <c r="C20" s="304"/>
      <c r="D20" s="305">
        <v>45</v>
      </c>
      <c r="E20" s="305">
        <v>37.299999999999997</v>
      </c>
      <c r="F20" s="305">
        <v>39.5</v>
      </c>
      <c r="G20" s="305">
        <v>37.700000000000003</v>
      </c>
      <c r="H20" s="305">
        <v>40</v>
      </c>
      <c r="I20" s="305">
        <v>43.2</v>
      </c>
      <c r="J20" s="305">
        <v>47.3</v>
      </c>
      <c r="K20" s="437">
        <v>38.299999999999997</v>
      </c>
      <c r="L20" s="437">
        <v>45.2</v>
      </c>
      <c r="M20" s="437">
        <v>39.4</v>
      </c>
      <c r="N20" s="437">
        <v>36.200000000000003</v>
      </c>
      <c r="O20" s="437">
        <v>40.200000000000003</v>
      </c>
      <c r="P20" s="437">
        <v>39.5</v>
      </c>
      <c r="Q20" s="437">
        <v>44.2</v>
      </c>
      <c r="R20" s="437">
        <v>40.6</v>
      </c>
      <c r="S20" s="437">
        <v>37</v>
      </c>
      <c r="T20" s="437">
        <v>42.8</v>
      </c>
      <c r="U20" s="437">
        <v>39.4</v>
      </c>
      <c r="V20" s="437">
        <v>41.3</v>
      </c>
      <c r="W20" s="437">
        <v>41.8</v>
      </c>
      <c r="X20" s="437">
        <v>45.3</v>
      </c>
      <c r="Y20" s="437"/>
      <c r="Z20" s="437"/>
    </row>
    <row r="21" spans="1:26" x14ac:dyDescent="0.25">
      <c r="A21" s="306" t="s">
        <v>891</v>
      </c>
      <c r="B21" s="298"/>
      <c r="C21" s="299"/>
      <c r="D21" s="300"/>
      <c r="E21" s="300"/>
      <c r="F21" s="300"/>
      <c r="G21" s="300"/>
      <c r="H21" s="300"/>
      <c r="I21" s="300"/>
      <c r="J21" s="300"/>
      <c r="K21" s="436"/>
      <c r="L21" s="436"/>
      <c r="M21" s="436"/>
      <c r="N21" s="436"/>
      <c r="O21" s="436"/>
      <c r="P21" s="436"/>
      <c r="Q21" s="436"/>
      <c r="R21" s="436"/>
      <c r="S21" s="436"/>
      <c r="T21" s="436"/>
      <c r="U21" s="436"/>
      <c r="V21" s="1097"/>
      <c r="W21" s="436"/>
      <c r="X21" s="436"/>
      <c r="Y21" s="436"/>
      <c r="Z21" s="436"/>
    </row>
    <row r="22" spans="1:26" x14ac:dyDescent="0.25">
      <c r="A22" s="301"/>
      <c r="B22" s="307" t="s">
        <v>867</v>
      </c>
      <c r="C22" s="308"/>
      <c r="D22" s="309">
        <v>26.4</v>
      </c>
      <c r="E22" s="309">
        <v>29.2</v>
      </c>
      <c r="F22" s="309">
        <v>28</v>
      </c>
      <c r="G22" s="309">
        <v>32.5</v>
      </c>
      <c r="H22" s="309">
        <v>30.7</v>
      </c>
      <c r="I22" s="309">
        <v>33.5</v>
      </c>
      <c r="J22" s="309">
        <v>27.7</v>
      </c>
      <c r="K22" s="619">
        <v>31</v>
      </c>
      <c r="L22" s="619">
        <v>27.9</v>
      </c>
      <c r="M22" s="619">
        <v>35.299999999999997</v>
      </c>
      <c r="N22" s="619">
        <v>32.299999999999997</v>
      </c>
      <c r="O22" s="619">
        <v>25.7</v>
      </c>
      <c r="P22" s="619">
        <v>21.6</v>
      </c>
      <c r="Q22" s="619">
        <v>19.8</v>
      </c>
      <c r="R22" s="619">
        <v>22.3</v>
      </c>
      <c r="S22" s="619">
        <v>32.200000000000003</v>
      </c>
      <c r="T22" s="619">
        <v>29.4</v>
      </c>
      <c r="U22" s="619">
        <v>27.9</v>
      </c>
      <c r="V22" s="619">
        <v>28.4</v>
      </c>
      <c r="W22" s="619">
        <v>25</v>
      </c>
      <c r="X22" s="619"/>
      <c r="Y22" s="619"/>
      <c r="Z22" s="619"/>
    </row>
    <row r="23" spans="1:26" x14ac:dyDescent="0.25">
      <c r="A23" s="301"/>
      <c r="B23" s="298" t="s">
        <v>868</v>
      </c>
      <c r="C23" s="299"/>
      <c r="D23" s="300">
        <v>21.4</v>
      </c>
      <c r="E23" s="300">
        <v>19.8</v>
      </c>
      <c r="F23" s="300">
        <v>21.3</v>
      </c>
      <c r="G23" s="300">
        <v>19.3</v>
      </c>
      <c r="H23" s="300">
        <v>18.3</v>
      </c>
      <c r="I23" s="300">
        <v>16.899999999999999</v>
      </c>
      <c r="J23" s="300">
        <v>17.7</v>
      </c>
      <c r="K23" s="436">
        <v>20.2</v>
      </c>
      <c r="L23" s="436">
        <v>15.9</v>
      </c>
      <c r="M23" s="436">
        <v>24.8</v>
      </c>
      <c r="N23" s="436">
        <v>25.8</v>
      </c>
      <c r="O23" s="436">
        <v>20.100000000000001</v>
      </c>
      <c r="P23" s="436">
        <v>33.5</v>
      </c>
      <c r="Q23" s="436">
        <v>20.8</v>
      </c>
      <c r="R23" s="436">
        <v>22.7</v>
      </c>
      <c r="S23" s="436">
        <v>23.6</v>
      </c>
      <c r="T23" s="436">
        <v>19.3</v>
      </c>
      <c r="U23" s="436">
        <v>20.5</v>
      </c>
      <c r="V23" s="436">
        <v>17.8</v>
      </c>
      <c r="W23" s="436">
        <v>22.4</v>
      </c>
      <c r="X23" s="436"/>
      <c r="Y23" s="436"/>
      <c r="Z23" s="436"/>
    </row>
    <row r="24" spans="1:26" x14ac:dyDescent="0.25">
      <c r="A24" s="301"/>
      <c r="B24" s="298" t="s">
        <v>869</v>
      </c>
      <c r="C24" s="299"/>
      <c r="D24" s="300">
        <v>5.7</v>
      </c>
      <c r="E24" s="300">
        <v>11.5</v>
      </c>
      <c r="F24" s="300">
        <v>9.3000000000000007</v>
      </c>
      <c r="G24" s="300">
        <v>10.1</v>
      </c>
      <c r="H24" s="300">
        <v>8.9</v>
      </c>
      <c r="I24" s="300">
        <v>5.8</v>
      </c>
      <c r="J24" s="300">
        <v>4.9000000000000004</v>
      </c>
      <c r="K24" s="436">
        <v>8.3000000000000007</v>
      </c>
      <c r="L24" s="436">
        <v>9</v>
      </c>
      <c r="M24" s="436">
        <v>9.9</v>
      </c>
      <c r="N24" s="436">
        <v>12.9</v>
      </c>
      <c r="O24" s="436">
        <v>10.4</v>
      </c>
      <c r="P24" s="436">
        <v>13.7</v>
      </c>
      <c r="Q24" s="436">
        <v>12.5</v>
      </c>
      <c r="R24" s="436">
        <v>12.5</v>
      </c>
      <c r="S24" s="436">
        <v>7.4</v>
      </c>
      <c r="T24" s="436">
        <v>7.9</v>
      </c>
      <c r="U24" s="436">
        <v>10</v>
      </c>
      <c r="V24" s="436">
        <v>10.5</v>
      </c>
      <c r="W24" s="436">
        <v>10.4</v>
      </c>
      <c r="X24" s="436"/>
      <c r="Y24" s="436"/>
      <c r="Z24" s="436"/>
    </row>
    <row r="25" spans="1:26" x14ac:dyDescent="0.25">
      <c r="A25" s="302"/>
      <c r="B25" s="303" t="s">
        <v>870</v>
      </c>
      <c r="C25" s="304"/>
      <c r="D25" s="305">
        <v>46.5</v>
      </c>
      <c r="E25" s="305">
        <v>39.5</v>
      </c>
      <c r="F25" s="305">
        <v>41.4</v>
      </c>
      <c r="G25" s="305">
        <v>38.200000000000003</v>
      </c>
      <c r="H25" s="305">
        <v>42.1</v>
      </c>
      <c r="I25" s="305">
        <v>43.9</v>
      </c>
      <c r="J25" s="305">
        <v>49.7</v>
      </c>
      <c r="K25" s="437">
        <v>40.5</v>
      </c>
      <c r="L25" s="437">
        <v>47.2</v>
      </c>
      <c r="M25" s="437">
        <v>30</v>
      </c>
      <c r="N25" s="437">
        <v>29</v>
      </c>
      <c r="O25" s="437">
        <v>43.8</v>
      </c>
      <c r="P25" s="437">
        <v>31.2</v>
      </c>
      <c r="Q25" s="437">
        <v>46.9</v>
      </c>
      <c r="R25" s="437">
        <v>42.5</v>
      </c>
      <c r="S25" s="437">
        <v>36</v>
      </c>
      <c r="T25" s="437">
        <v>43.4</v>
      </c>
      <c r="U25" s="437">
        <v>41.6</v>
      </c>
      <c r="V25" s="437">
        <v>43.3</v>
      </c>
      <c r="W25" s="437">
        <v>42.2</v>
      </c>
      <c r="X25" s="437"/>
      <c r="Y25" s="437"/>
      <c r="Z25" s="437"/>
    </row>
    <row r="26" spans="1:26" x14ac:dyDescent="0.25">
      <c r="A26" s="306" t="s">
        <v>892</v>
      </c>
      <c r="B26" s="298"/>
      <c r="C26" s="299"/>
      <c r="D26" s="300"/>
      <c r="E26" s="300"/>
      <c r="F26" s="300"/>
      <c r="G26" s="300"/>
      <c r="H26" s="300"/>
      <c r="I26" s="300"/>
      <c r="J26" s="300"/>
      <c r="K26" s="436"/>
      <c r="L26" s="436"/>
      <c r="M26" s="436"/>
      <c r="N26" s="436"/>
      <c r="O26" s="436"/>
      <c r="P26" s="436"/>
      <c r="Q26" s="436"/>
      <c r="R26" s="436"/>
      <c r="S26" s="436"/>
      <c r="T26" s="436"/>
      <c r="U26" s="436"/>
      <c r="V26" s="436"/>
      <c r="W26" s="436"/>
      <c r="X26" s="436"/>
      <c r="Y26" s="436"/>
      <c r="Z26" s="436"/>
    </row>
    <row r="27" spans="1:26" x14ac:dyDescent="0.25">
      <c r="A27" s="301"/>
      <c r="B27" s="298" t="s">
        <v>867</v>
      </c>
      <c r="C27" s="299"/>
      <c r="D27" s="300">
        <v>38.799999999999997</v>
      </c>
      <c r="E27" s="300">
        <v>41.5</v>
      </c>
      <c r="F27" s="300">
        <v>39.799999999999997</v>
      </c>
      <c r="G27" s="300">
        <v>45.1</v>
      </c>
      <c r="H27" s="300">
        <v>45.3</v>
      </c>
      <c r="I27" s="300">
        <v>43.9</v>
      </c>
      <c r="J27" s="300">
        <v>38.4</v>
      </c>
      <c r="K27" s="436">
        <v>44.3</v>
      </c>
      <c r="L27" s="436">
        <v>38.9</v>
      </c>
      <c r="M27" s="436">
        <v>45.8</v>
      </c>
      <c r="N27" s="436">
        <v>40.200000000000003</v>
      </c>
      <c r="O27" s="436">
        <v>37.5</v>
      </c>
      <c r="P27" s="436">
        <v>37.4</v>
      </c>
      <c r="Q27" s="436">
        <v>33.299999999999997</v>
      </c>
      <c r="R27" s="436">
        <v>36.5</v>
      </c>
      <c r="S27" s="436">
        <v>48.1</v>
      </c>
      <c r="T27" s="436">
        <v>42.6</v>
      </c>
      <c r="U27" s="436">
        <v>42.8</v>
      </c>
      <c r="V27" s="436">
        <v>39.799999999999997</v>
      </c>
      <c r="W27" s="436"/>
      <c r="X27" s="436"/>
      <c r="Y27" s="436"/>
      <c r="Z27" s="436"/>
    </row>
    <row r="28" spans="1:26" x14ac:dyDescent="0.25">
      <c r="A28" s="301"/>
      <c r="B28" s="298" t="s">
        <v>868</v>
      </c>
      <c r="C28" s="299"/>
      <c r="D28" s="300">
        <v>5.7</v>
      </c>
      <c r="E28" s="300">
        <v>6.3</v>
      </c>
      <c r="F28" s="300">
        <v>6.8</v>
      </c>
      <c r="G28" s="300">
        <v>6.1</v>
      </c>
      <c r="H28" s="300">
        <v>5.7</v>
      </c>
      <c r="I28" s="300">
        <v>4.4000000000000004</v>
      </c>
      <c r="J28" s="300">
        <v>6.6</v>
      </c>
      <c r="K28" s="436">
        <v>5.7</v>
      </c>
      <c r="L28" s="436">
        <v>6.7</v>
      </c>
      <c r="M28" s="436">
        <v>2.4</v>
      </c>
      <c r="N28" s="436">
        <v>6.5</v>
      </c>
      <c r="O28" s="436">
        <v>7.6</v>
      </c>
      <c r="P28" s="436">
        <v>8</v>
      </c>
      <c r="Q28" s="436">
        <v>7.9</v>
      </c>
      <c r="R28" s="436">
        <v>7.8</v>
      </c>
      <c r="S28" s="436">
        <v>6.7</v>
      </c>
      <c r="T28" s="436">
        <v>5.0999999999999996</v>
      </c>
      <c r="U28" s="436">
        <v>5.8</v>
      </c>
      <c r="V28" s="436">
        <v>6.3</v>
      </c>
      <c r="W28" s="436"/>
      <c r="X28" s="436"/>
      <c r="Y28" s="436"/>
      <c r="Z28" s="436"/>
    </row>
    <row r="29" spans="1:26" x14ac:dyDescent="0.25">
      <c r="A29" s="301"/>
      <c r="B29" s="298" t="s">
        <v>869</v>
      </c>
      <c r="C29" s="299"/>
      <c r="D29" s="300">
        <v>5.5</v>
      </c>
      <c r="E29" s="300">
        <v>11.5</v>
      </c>
      <c r="F29" s="300">
        <v>9.1</v>
      </c>
      <c r="G29" s="300">
        <v>10.1</v>
      </c>
      <c r="H29" s="300">
        <v>9.1999999999999993</v>
      </c>
      <c r="I29" s="300">
        <v>7.2</v>
      </c>
      <c r="J29" s="300">
        <v>4.7</v>
      </c>
      <c r="K29" s="436">
        <v>8.5</v>
      </c>
      <c r="L29" s="436">
        <v>9</v>
      </c>
      <c r="M29" s="436">
        <v>9.5</v>
      </c>
      <c r="N29" s="436">
        <v>12.5</v>
      </c>
      <c r="O29" s="436">
        <v>10</v>
      </c>
      <c r="P29" s="436">
        <v>13.7</v>
      </c>
      <c r="Q29" s="436">
        <v>12.5</v>
      </c>
      <c r="R29" s="436">
        <v>13.1</v>
      </c>
      <c r="S29" s="436">
        <v>7.4</v>
      </c>
      <c r="T29" s="436">
        <v>8.5</v>
      </c>
      <c r="U29" s="436">
        <v>9.6</v>
      </c>
      <c r="V29" s="436">
        <v>10.5</v>
      </c>
      <c r="W29" s="436"/>
      <c r="X29" s="436"/>
      <c r="Y29" s="436"/>
      <c r="Z29" s="436"/>
    </row>
    <row r="30" spans="1:26" x14ac:dyDescent="0.25">
      <c r="A30" s="302"/>
      <c r="B30" s="303" t="s">
        <v>870</v>
      </c>
      <c r="C30" s="304"/>
      <c r="D30" s="305">
        <v>50</v>
      </c>
      <c r="E30" s="305">
        <v>40.700000000000003</v>
      </c>
      <c r="F30" s="305">
        <v>44.3</v>
      </c>
      <c r="G30" s="305">
        <v>38.799999999999997</v>
      </c>
      <c r="H30" s="305">
        <v>39.799999999999997</v>
      </c>
      <c r="I30" s="305">
        <v>44.6</v>
      </c>
      <c r="J30" s="305">
        <v>50.3</v>
      </c>
      <c r="K30" s="437">
        <v>41.5</v>
      </c>
      <c r="L30" s="437">
        <v>45.4</v>
      </c>
      <c r="M30" s="437">
        <v>42.3</v>
      </c>
      <c r="N30" s="437">
        <v>40.799999999999997</v>
      </c>
      <c r="O30" s="437">
        <v>44.9</v>
      </c>
      <c r="P30" s="437">
        <v>40.9</v>
      </c>
      <c r="Q30" s="437">
        <v>46.3</v>
      </c>
      <c r="R30" s="437">
        <v>42.6</v>
      </c>
      <c r="S30" s="437">
        <v>37.799999999999997</v>
      </c>
      <c r="T30" s="437">
        <v>43.8</v>
      </c>
      <c r="U30" s="437">
        <v>41.8</v>
      </c>
      <c r="V30" s="437">
        <v>43.4</v>
      </c>
      <c r="W30" s="437"/>
      <c r="X30" s="437"/>
      <c r="Y30" s="437"/>
      <c r="Z30" s="437"/>
    </row>
    <row r="31" spans="1:26" x14ac:dyDescent="0.25">
      <c r="A31" s="306" t="s">
        <v>893</v>
      </c>
      <c r="B31" s="298"/>
      <c r="C31" s="299"/>
      <c r="D31" s="300"/>
      <c r="E31" s="300"/>
      <c r="F31" s="300"/>
      <c r="G31" s="300"/>
      <c r="H31" s="300"/>
      <c r="I31" s="300"/>
      <c r="J31" s="300"/>
      <c r="K31" s="436"/>
      <c r="L31" s="436"/>
      <c r="M31" s="436"/>
      <c r="N31" s="436"/>
      <c r="O31" s="436"/>
      <c r="P31" s="436"/>
      <c r="Q31" s="436"/>
      <c r="R31" s="436"/>
      <c r="S31" s="436"/>
      <c r="T31" s="436"/>
      <c r="U31" s="436"/>
      <c r="V31" s="436"/>
      <c r="W31" s="436"/>
      <c r="X31" s="436"/>
      <c r="Y31" s="436"/>
      <c r="Z31" s="436"/>
    </row>
    <row r="32" spans="1:26" x14ac:dyDescent="0.25">
      <c r="A32" s="301"/>
      <c r="B32" s="307" t="s">
        <v>867</v>
      </c>
      <c r="C32" s="308"/>
      <c r="D32" s="309">
        <v>43.8</v>
      </c>
      <c r="E32" s="309">
        <v>44.6</v>
      </c>
      <c r="F32" s="309">
        <v>42.4</v>
      </c>
      <c r="G32" s="310">
        <v>48.2</v>
      </c>
      <c r="H32" s="310">
        <v>49</v>
      </c>
      <c r="I32" s="310">
        <v>46.4</v>
      </c>
      <c r="J32" s="619">
        <v>43.1</v>
      </c>
      <c r="K32" s="619">
        <v>48.4</v>
      </c>
      <c r="L32" s="619">
        <v>40.4</v>
      </c>
      <c r="M32" s="619">
        <v>46.4</v>
      </c>
      <c r="N32" s="619">
        <v>43.5</v>
      </c>
      <c r="O32" s="619">
        <v>41.2</v>
      </c>
      <c r="P32" s="619">
        <v>42.1</v>
      </c>
      <c r="Q32" s="619">
        <v>36.9</v>
      </c>
      <c r="R32" s="619">
        <v>40.799999999999997</v>
      </c>
      <c r="S32" s="619">
        <v>51.5</v>
      </c>
      <c r="T32" s="619">
        <v>45.1</v>
      </c>
      <c r="U32" s="619">
        <v>46</v>
      </c>
      <c r="V32" s="619"/>
      <c r="W32" s="619"/>
      <c r="X32" s="619"/>
      <c r="Y32" s="619"/>
      <c r="Z32" s="619"/>
    </row>
    <row r="33" spans="1:26" x14ac:dyDescent="0.25">
      <c r="A33" s="301"/>
      <c r="B33" s="298" t="s">
        <v>868</v>
      </c>
      <c r="C33" s="299"/>
      <c r="D33" s="300">
        <v>2</v>
      </c>
      <c r="E33" s="300">
        <v>3</v>
      </c>
      <c r="F33" s="300">
        <v>3.9</v>
      </c>
      <c r="G33" s="300">
        <v>3.4</v>
      </c>
      <c r="H33" s="300">
        <v>2.7</v>
      </c>
      <c r="I33" s="300">
        <v>1.6</v>
      </c>
      <c r="J33" s="436">
        <v>1.6</v>
      </c>
      <c r="K33" s="436">
        <v>1.8</v>
      </c>
      <c r="L33" s="436">
        <v>2.4</v>
      </c>
      <c r="M33" s="436">
        <v>0.8</v>
      </c>
      <c r="N33" s="436">
        <v>3.4</v>
      </c>
      <c r="O33" s="436">
        <v>3.6</v>
      </c>
      <c r="P33" s="436">
        <v>1.7</v>
      </c>
      <c r="Q33" s="436">
        <v>2.2999999999999998</v>
      </c>
      <c r="R33" s="436">
        <v>2.6</v>
      </c>
      <c r="S33" s="436">
        <v>2.1</v>
      </c>
      <c r="T33" s="436">
        <v>2</v>
      </c>
      <c r="U33" s="436">
        <v>2.4</v>
      </c>
      <c r="V33" s="436"/>
      <c r="W33" s="436"/>
      <c r="X33" s="436"/>
      <c r="Y33" s="436"/>
      <c r="Z33" s="436"/>
    </row>
    <row r="34" spans="1:26" x14ac:dyDescent="0.25">
      <c r="A34" s="301"/>
      <c r="B34" s="298" t="s">
        <v>869</v>
      </c>
      <c r="C34" s="299"/>
      <c r="D34" s="300">
        <v>5.5</v>
      </c>
      <c r="E34" s="300">
        <v>11.1</v>
      </c>
      <c r="F34" s="300">
        <v>9.5</v>
      </c>
      <c r="G34" s="300">
        <v>10.5</v>
      </c>
      <c r="H34" s="300">
        <v>8.9</v>
      </c>
      <c r="I34" s="300">
        <v>7.6</v>
      </c>
      <c r="J34" s="436">
        <v>4.9000000000000004</v>
      </c>
      <c r="K34" s="436">
        <v>8.5</v>
      </c>
      <c r="L34" s="436">
        <v>9</v>
      </c>
      <c r="M34" s="436">
        <v>9.6999999999999993</v>
      </c>
      <c r="N34" s="436">
        <v>12.1</v>
      </c>
      <c r="O34" s="436">
        <v>10</v>
      </c>
      <c r="P34" s="436">
        <v>13.7</v>
      </c>
      <c r="Q34" s="436">
        <v>12.5</v>
      </c>
      <c r="R34" s="436">
        <v>13.5</v>
      </c>
      <c r="S34" s="436">
        <v>7.6</v>
      </c>
      <c r="T34" s="436">
        <v>8.5</v>
      </c>
      <c r="U34" s="436">
        <v>9.6</v>
      </c>
      <c r="V34" s="436"/>
      <c r="W34" s="436"/>
      <c r="X34" s="436"/>
      <c r="Y34" s="436"/>
      <c r="Z34" s="436"/>
    </row>
    <row r="35" spans="1:26" x14ac:dyDescent="0.25">
      <c r="A35" s="302"/>
      <c r="B35" s="303" t="s">
        <v>870</v>
      </c>
      <c r="C35" s="304"/>
      <c r="D35" s="305">
        <v>48.8</v>
      </c>
      <c r="E35" s="305">
        <v>41.3</v>
      </c>
      <c r="F35" s="305">
        <v>44.1</v>
      </c>
      <c r="G35" s="305">
        <v>37.9</v>
      </c>
      <c r="H35" s="305">
        <v>39.4</v>
      </c>
      <c r="I35" s="305">
        <v>44.3</v>
      </c>
      <c r="J35" s="437">
        <v>50.3</v>
      </c>
      <c r="K35" s="437">
        <v>41.3</v>
      </c>
      <c r="L35" s="437">
        <v>48.2</v>
      </c>
      <c r="M35" s="437">
        <v>43.1</v>
      </c>
      <c r="N35" s="437">
        <v>41</v>
      </c>
      <c r="O35" s="437">
        <v>45.2</v>
      </c>
      <c r="P35" s="437">
        <v>42.5</v>
      </c>
      <c r="Q35" s="437">
        <v>48.3</v>
      </c>
      <c r="R35" s="437">
        <v>43.1</v>
      </c>
      <c r="S35" s="437">
        <v>38.799999999999997</v>
      </c>
      <c r="T35" s="437">
        <v>44.4</v>
      </c>
      <c r="U35" s="437">
        <v>42</v>
      </c>
      <c r="V35" s="437"/>
      <c r="W35" s="437"/>
      <c r="X35" s="437"/>
      <c r="Y35" s="437"/>
      <c r="Z35" s="437"/>
    </row>
    <row r="36" spans="1:26" x14ac:dyDescent="0.25">
      <c r="A36" s="311" t="s">
        <v>894</v>
      </c>
      <c r="E36" s="312"/>
      <c r="G36" s="312"/>
      <c r="H36" s="312"/>
      <c r="K36" s="312"/>
      <c r="N36" s="1096"/>
      <c r="O36" s="312"/>
      <c r="P36" s="312"/>
      <c r="Q36" s="312"/>
      <c r="R36" s="1194"/>
      <c r="T36" s="312"/>
      <c r="U36" s="1650"/>
      <c r="V36" s="1650"/>
      <c r="W36" s="1650"/>
      <c r="X36" s="1650"/>
      <c r="Y36" s="1650"/>
      <c r="Z36" s="1650"/>
    </row>
    <row r="37" spans="1:26" x14ac:dyDescent="0.25">
      <c r="F37" s="312"/>
    </row>
    <row r="40" spans="1:26" x14ac:dyDescent="0.25">
      <c r="U40" s="296">
        <v>201530</v>
      </c>
      <c r="V40" s="296">
        <v>201530</v>
      </c>
      <c r="W40" s="296">
        <v>201530</v>
      </c>
      <c r="X40" s="296">
        <v>201530</v>
      </c>
      <c r="Y40" s="296">
        <v>201530</v>
      </c>
      <c r="Z40" s="296">
        <v>201530</v>
      </c>
    </row>
    <row r="41" spans="1:26" x14ac:dyDescent="0.25">
      <c r="U41" s="296">
        <v>201610</v>
      </c>
      <c r="V41" s="296">
        <v>201610</v>
      </c>
      <c r="W41" s="296">
        <v>201610</v>
      </c>
      <c r="X41" s="296">
        <v>201610</v>
      </c>
      <c r="Y41" s="296">
        <v>201610</v>
      </c>
      <c r="Z41" s="296">
        <v>201610</v>
      </c>
    </row>
  </sheetData>
  <mergeCells count="5">
    <mergeCell ref="A5:C5"/>
    <mergeCell ref="A4:C4"/>
    <mergeCell ref="A1:Z1"/>
    <mergeCell ref="A2:Z2"/>
    <mergeCell ref="D4:Z4"/>
  </mergeCells>
  <phoneticPr fontId="0" type="noConversion"/>
  <printOptions horizontalCentered="1" verticalCentered="1"/>
  <pageMargins left="0.25" right="0.25" top="1" bottom="1" header="0.5" footer="0.5"/>
  <pageSetup scale="67" orientation="landscape" r:id="rId1"/>
  <headerFooter alignWithMargins="0">
    <oddFooter xml:space="preserve">&amp;RSource: Office of Institutional Research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V28"/>
  <sheetViews>
    <sheetView workbookViewId="0"/>
  </sheetViews>
  <sheetFormatPr defaultColWidth="6.6640625" defaultRowHeight="13.2" x14ac:dyDescent="0.25"/>
  <cols>
    <col min="1" max="1" width="1.109375" style="49" customWidth="1"/>
    <col min="2" max="2" width="28.5546875" style="49" customWidth="1"/>
    <col min="3" max="3" width="8.109375" style="49" customWidth="1"/>
    <col min="4" max="4" width="10.44140625" style="50" customWidth="1"/>
    <col min="5" max="5" width="8.109375" style="49" customWidth="1"/>
    <col min="6" max="6" width="10.44140625" style="50" customWidth="1"/>
    <col min="7" max="7" width="8.109375" style="49" customWidth="1"/>
    <col min="8" max="8" width="10.44140625" style="50" customWidth="1"/>
    <col min="9" max="9" width="8.109375" style="49" customWidth="1"/>
    <col min="10" max="10" width="10.44140625" style="50" customWidth="1"/>
    <col min="11" max="11" width="8.109375" style="49" customWidth="1"/>
    <col min="12" max="12" width="10.44140625" style="50" customWidth="1"/>
    <col min="13" max="13" width="8.109375" style="49" customWidth="1"/>
    <col min="14" max="14" width="10.44140625" style="50" customWidth="1"/>
    <col min="15" max="15" width="8.5546875" style="49" customWidth="1"/>
    <col min="16" max="16" width="11" style="49" customWidth="1"/>
    <col min="17" max="17" width="7" style="49" customWidth="1"/>
    <col min="18" max="18" width="7.88671875" style="49" customWidth="1"/>
    <col min="19" max="16384" width="6.6640625" style="49"/>
  </cols>
  <sheetData>
    <row r="1" spans="1:22" s="51" customFormat="1" ht="17.399999999999999" x14ac:dyDescent="0.3">
      <c r="B1" s="2116" t="s">
        <v>841</v>
      </c>
      <c r="C1" s="2116"/>
      <c r="D1" s="2116"/>
      <c r="E1" s="2116"/>
      <c r="F1" s="2116"/>
      <c r="G1" s="2116"/>
      <c r="H1" s="2116"/>
      <c r="I1" s="2116"/>
      <c r="J1" s="2116"/>
      <c r="K1" s="2116"/>
      <c r="L1" s="2116"/>
      <c r="M1" s="2116"/>
      <c r="N1" s="2116"/>
      <c r="O1" s="2116"/>
      <c r="P1" s="2116"/>
      <c r="Q1" s="2116"/>
    </row>
    <row r="2" spans="1:22" s="51" customFormat="1" ht="12.75" customHeight="1" thickBot="1" x14ac:dyDescent="0.35">
      <c r="A2" s="52"/>
      <c r="B2" s="416"/>
      <c r="C2" s="52"/>
      <c r="D2" s="53"/>
      <c r="F2" s="53"/>
      <c r="H2" s="53"/>
      <c r="J2" s="53"/>
      <c r="L2" s="53"/>
      <c r="N2" s="53"/>
    </row>
    <row r="3" spans="1:22" ht="30" customHeight="1" x14ac:dyDescent="0.25">
      <c r="B3" s="420" t="s">
        <v>842</v>
      </c>
      <c r="C3" s="419" t="s">
        <v>843</v>
      </c>
      <c r="D3" s="54"/>
      <c r="E3" s="55" t="s">
        <v>844</v>
      </c>
      <c r="F3" s="54"/>
      <c r="G3" s="56" t="s">
        <v>845</v>
      </c>
      <c r="H3" s="57"/>
      <c r="I3" s="55" t="s">
        <v>846</v>
      </c>
      <c r="J3" s="54"/>
      <c r="K3" s="55" t="s">
        <v>847</v>
      </c>
      <c r="L3" s="54"/>
      <c r="M3" s="55" t="s">
        <v>848</v>
      </c>
      <c r="N3" s="54"/>
      <c r="O3" s="765" t="s">
        <v>760</v>
      </c>
      <c r="P3" s="422"/>
      <c r="Q3" s="58" t="s">
        <v>831</v>
      </c>
    </row>
    <row r="4" spans="1:22" ht="24.9" customHeight="1" x14ac:dyDescent="0.25">
      <c r="B4" s="421" t="s">
        <v>849</v>
      </c>
      <c r="C4" s="60" t="s">
        <v>850</v>
      </c>
      <c r="D4" s="59" t="s">
        <v>851</v>
      </c>
      <c r="E4" s="60" t="s">
        <v>850</v>
      </c>
      <c r="F4" s="59" t="s">
        <v>851</v>
      </c>
      <c r="G4" s="60" t="s">
        <v>850</v>
      </c>
      <c r="H4" s="59" t="s">
        <v>851</v>
      </c>
      <c r="I4" s="60" t="s">
        <v>850</v>
      </c>
      <c r="J4" s="59" t="s">
        <v>851</v>
      </c>
      <c r="K4" s="60" t="s">
        <v>850</v>
      </c>
      <c r="L4" s="59" t="s">
        <v>851</v>
      </c>
      <c r="M4" s="60" t="s">
        <v>850</v>
      </c>
      <c r="N4" s="759" t="s">
        <v>851</v>
      </c>
      <c r="O4" s="764" t="s">
        <v>850</v>
      </c>
      <c r="P4" s="759" t="s">
        <v>851</v>
      </c>
      <c r="Q4" s="1012" t="s">
        <v>835</v>
      </c>
    </row>
    <row r="5" spans="1:22" ht="14.25" customHeight="1" x14ac:dyDescent="0.25">
      <c r="B5" s="756" t="s">
        <v>820</v>
      </c>
      <c r="C5" s="396"/>
      <c r="D5" s="533"/>
      <c r="E5" s="532"/>
      <c r="F5" s="533"/>
      <c r="G5" s="532"/>
      <c r="H5" s="533"/>
      <c r="I5" s="532"/>
      <c r="J5" s="533"/>
      <c r="K5" s="532"/>
      <c r="L5" s="533"/>
      <c r="M5" s="532"/>
      <c r="N5" s="534"/>
      <c r="O5" s="532"/>
      <c r="P5" s="760"/>
      <c r="Q5" s="1011"/>
    </row>
    <row r="6" spans="1:22" ht="14.25" hidden="1" customHeight="1" x14ac:dyDescent="0.25">
      <c r="B6" s="758">
        <v>2009</v>
      </c>
      <c r="C6" s="755">
        <v>1129</v>
      </c>
      <c r="D6" s="539">
        <f t="shared" ref="D6:D12" si="0">C6/Q6</f>
        <v>0.42539562923888469</v>
      </c>
      <c r="E6" s="538">
        <v>1349</v>
      </c>
      <c r="F6" s="539">
        <f t="shared" ref="F6:F12" si="1">E6/Q6</f>
        <v>0.50828937452901279</v>
      </c>
      <c r="G6" s="538">
        <v>33</v>
      </c>
      <c r="H6" s="539">
        <f t="shared" ref="H6:H12" si="2">G6/Q6</f>
        <v>1.2434061793519217E-2</v>
      </c>
      <c r="I6" s="538">
        <v>18</v>
      </c>
      <c r="J6" s="539">
        <f t="shared" ref="J6:J12" si="3">I6/Q6</f>
        <v>6.782215523737754E-3</v>
      </c>
      <c r="K6" s="538">
        <v>10</v>
      </c>
      <c r="L6" s="539">
        <f t="shared" ref="L6:L12" si="4">K6/Q6</f>
        <v>3.7678975131876413E-3</v>
      </c>
      <c r="M6" s="538">
        <v>16</v>
      </c>
      <c r="N6" s="536">
        <f t="shared" ref="N6:N12" si="5">M6/Q6</f>
        <v>6.0286360211002261E-3</v>
      </c>
      <c r="O6" s="538">
        <v>99</v>
      </c>
      <c r="P6" s="762">
        <f t="shared" ref="P6:P12" si="6">O6/Q6</f>
        <v>3.7302185380557649E-2</v>
      </c>
      <c r="Q6" s="540">
        <f t="shared" ref="Q6:Q12" si="7">SUM(C6,E6,G6,I6,K6,O6,M6)</f>
        <v>2654</v>
      </c>
      <c r="S6" s="50"/>
      <c r="T6" s="50"/>
      <c r="U6" s="50"/>
      <c r="V6" s="50"/>
    </row>
    <row r="7" spans="1:22" ht="14.25" hidden="1" customHeight="1" x14ac:dyDescent="0.25">
      <c r="B7" s="758">
        <v>2010</v>
      </c>
      <c r="C7" s="755">
        <v>1363</v>
      </c>
      <c r="D7" s="539">
        <f t="shared" si="0"/>
        <v>0.46983798690106859</v>
      </c>
      <c r="E7" s="538">
        <v>1313</v>
      </c>
      <c r="F7" s="539">
        <f t="shared" si="1"/>
        <v>0.45260255084453638</v>
      </c>
      <c r="G7" s="538">
        <v>49</v>
      </c>
      <c r="H7" s="539">
        <f t="shared" si="2"/>
        <v>1.6890727335401586E-2</v>
      </c>
      <c r="I7" s="538">
        <v>18</v>
      </c>
      <c r="J7" s="539">
        <f t="shared" si="3"/>
        <v>6.2047569803516025E-3</v>
      </c>
      <c r="K7" s="538">
        <v>18</v>
      </c>
      <c r="L7" s="539">
        <f t="shared" si="4"/>
        <v>6.2047569803516025E-3</v>
      </c>
      <c r="M7" s="538">
        <v>31</v>
      </c>
      <c r="N7" s="536">
        <f t="shared" si="5"/>
        <v>1.0685970355049982E-2</v>
      </c>
      <c r="O7" s="538">
        <v>109</v>
      </c>
      <c r="P7" s="762">
        <f t="shared" si="6"/>
        <v>3.7573250603240259E-2</v>
      </c>
      <c r="Q7" s="540">
        <f t="shared" si="7"/>
        <v>2901</v>
      </c>
    </row>
    <row r="8" spans="1:22" x14ac:dyDescent="0.25">
      <c r="B8" s="758">
        <v>2011</v>
      </c>
      <c r="C8" s="755">
        <v>1550</v>
      </c>
      <c r="D8" s="539">
        <f t="shared" si="0"/>
        <v>0.48604578237692064</v>
      </c>
      <c r="E8" s="538">
        <v>1440</v>
      </c>
      <c r="F8" s="539">
        <f t="shared" si="1"/>
        <v>0.45155221072436502</v>
      </c>
      <c r="G8" s="538">
        <v>45</v>
      </c>
      <c r="H8" s="539">
        <f t="shared" si="2"/>
        <v>1.4111006585136407E-2</v>
      </c>
      <c r="I8" s="538">
        <v>13</v>
      </c>
      <c r="J8" s="539">
        <f t="shared" si="3"/>
        <v>4.0765130134838507E-3</v>
      </c>
      <c r="K8" s="538">
        <v>19</v>
      </c>
      <c r="L8" s="539">
        <f t="shared" si="4"/>
        <v>5.9579805581687047E-3</v>
      </c>
      <c r="M8" s="538">
        <v>31</v>
      </c>
      <c r="N8" s="536">
        <f t="shared" si="5"/>
        <v>9.7209156475384136E-3</v>
      </c>
      <c r="O8" s="538">
        <v>91</v>
      </c>
      <c r="P8" s="762">
        <f t="shared" si="6"/>
        <v>2.8535591094386956E-2</v>
      </c>
      <c r="Q8" s="540">
        <f t="shared" si="7"/>
        <v>3189</v>
      </c>
    </row>
    <row r="9" spans="1:22" x14ac:dyDescent="0.25">
      <c r="B9" s="758">
        <v>2012</v>
      </c>
      <c r="C9" s="755">
        <v>1477</v>
      </c>
      <c r="D9" s="539">
        <f t="shared" si="0"/>
        <v>0.44102717229023591</v>
      </c>
      <c r="E9" s="538">
        <v>1370</v>
      </c>
      <c r="F9" s="539">
        <f t="shared" si="1"/>
        <v>0.4090773365183637</v>
      </c>
      <c r="G9" s="538">
        <v>49</v>
      </c>
      <c r="H9" s="539">
        <f t="shared" si="2"/>
        <v>1.4631233203941475E-2</v>
      </c>
      <c r="I9" s="538">
        <v>24</v>
      </c>
      <c r="J9" s="539">
        <f t="shared" si="3"/>
        <v>7.1663183039713347E-3</v>
      </c>
      <c r="K9" s="538">
        <v>13</v>
      </c>
      <c r="L9" s="539">
        <f t="shared" si="4"/>
        <v>3.8817557479844732E-3</v>
      </c>
      <c r="M9" s="538">
        <v>43</v>
      </c>
      <c r="N9" s="536">
        <f t="shared" si="5"/>
        <v>1.2839653627948642E-2</v>
      </c>
      <c r="O9" s="538">
        <f>326+47</f>
        <v>373</v>
      </c>
      <c r="P9" s="762">
        <f t="shared" si="6"/>
        <v>0.1113765303075545</v>
      </c>
      <c r="Q9" s="540">
        <f t="shared" si="7"/>
        <v>3349</v>
      </c>
    </row>
    <row r="10" spans="1:22" x14ac:dyDescent="0.25">
      <c r="B10" s="758">
        <v>2013</v>
      </c>
      <c r="C10" s="755">
        <v>1026</v>
      </c>
      <c r="D10" s="539">
        <f t="shared" si="0"/>
        <v>0.33300876338851021</v>
      </c>
      <c r="E10" s="538">
        <v>918</v>
      </c>
      <c r="F10" s="539">
        <f t="shared" si="1"/>
        <v>0.29795520934761444</v>
      </c>
      <c r="G10" s="538">
        <v>34</v>
      </c>
      <c r="H10" s="539">
        <f t="shared" si="2"/>
        <v>1.1035378123985719E-2</v>
      </c>
      <c r="I10" s="538">
        <v>16</v>
      </c>
      <c r="J10" s="539">
        <f t="shared" si="3"/>
        <v>5.19311911716975E-3</v>
      </c>
      <c r="K10" s="538">
        <v>10</v>
      </c>
      <c r="L10" s="539">
        <f t="shared" si="4"/>
        <v>3.2456994482310936E-3</v>
      </c>
      <c r="M10" s="538">
        <v>26</v>
      </c>
      <c r="N10" s="536">
        <f t="shared" si="5"/>
        <v>8.4388185654008432E-3</v>
      </c>
      <c r="O10" s="538">
        <f>1017+34</f>
        <v>1051</v>
      </c>
      <c r="P10" s="762">
        <f t="shared" si="6"/>
        <v>0.34112301200908796</v>
      </c>
      <c r="Q10" s="540">
        <f t="shared" si="7"/>
        <v>3081</v>
      </c>
    </row>
    <row r="11" spans="1:22" x14ac:dyDescent="0.25">
      <c r="B11" s="758">
        <v>2014</v>
      </c>
      <c r="C11" s="755">
        <v>1163</v>
      </c>
      <c r="D11" s="539">
        <f>C11/Q11</f>
        <v>0.39250759365507931</v>
      </c>
      <c r="E11" s="538">
        <v>1327</v>
      </c>
      <c r="F11" s="539">
        <f>E11/Q11</f>
        <v>0.44785690178872767</v>
      </c>
      <c r="G11" s="538">
        <v>43</v>
      </c>
      <c r="H11" s="539">
        <f>G11/Q11</f>
        <v>1.4512318596017549E-2</v>
      </c>
      <c r="I11" s="538">
        <v>22</v>
      </c>
      <c r="J11" s="539">
        <f>I11/Q11</f>
        <v>7.4249071886601419E-3</v>
      </c>
      <c r="K11" s="538">
        <v>8</v>
      </c>
      <c r="L11" s="539">
        <f>K11/Q11</f>
        <v>2.6999662504218697E-3</v>
      </c>
      <c r="M11" s="538">
        <v>41</v>
      </c>
      <c r="N11" s="536">
        <f>M11/Q11</f>
        <v>1.3837327033412082E-2</v>
      </c>
      <c r="O11" s="538">
        <v>359</v>
      </c>
      <c r="P11" s="762">
        <f>O11/Q11</f>
        <v>0.12116098548768141</v>
      </c>
      <c r="Q11" s="540">
        <f>SUM(C11,E11,G11,I11,K11,O11,M11)</f>
        <v>2963</v>
      </c>
    </row>
    <row r="12" spans="1:22" x14ac:dyDescent="0.25">
      <c r="B12" s="758">
        <v>2015</v>
      </c>
      <c r="C12" s="755">
        <v>1033</v>
      </c>
      <c r="D12" s="539">
        <f t="shared" si="0"/>
        <v>0.3951798010711553</v>
      </c>
      <c r="E12" s="538">
        <v>1268</v>
      </c>
      <c r="F12" s="539">
        <f t="shared" si="1"/>
        <v>0.48508033664881406</v>
      </c>
      <c r="G12" s="538">
        <v>17</v>
      </c>
      <c r="H12" s="539">
        <f t="shared" si="2"/>
        <v>6.5034429992348892E-3</v>
      </c>
      <c r="I12" s="538">
        <v>14</v>
      </c>
      <c r="J12" s="539">
        <f t="shared" si="3"/>
        <v>5.3557765876052028E-3</v>
      </c>
      <c r="K12" s="538">
        <v>10</v>
      </c>
      <c r="L12" s="539">
        <f t="shared" si="4"/>
        <v>3.8255547054322878E-3</v>
      </c>
      <c r="M12" s="538">
        <v>51</v>
      </c>
      <c r="N12" s="536">
        <f t="shared" si="5"/>
        <v>1.9510328997704666E-2</v>
      </c>
      <c r="O12" s="538">
        <v>221</v>
      </c>
      <c r="P12" s="762">
        <f t="shared" si="6"/>
        <v>8.4544758990053565E-2</v>
      </c>
      <c r="Q12" s="540">
        <f t="shared" si="7"/>
        <v>2614</v>
      </c>
    </row>
    <row r="13" spans="1:22" x14ac:dyDescent="0.25">
      <c r="B13" s="756" t="s">
        <v>821</v>
      </c>
      <c r="C13" s="396"/>
      <c r="D13" s="533"/>
      <c r="E13" s="532"/>
      <c r="F13" s="533"/>
      <c r="G13" s="532"/>
      <c r="H13" s="533"/>
      <c r="I13" s="532"/>
      <c r="J13" s="533"/>
      <c r="K13" s="532"/>
      <c r="L13" s="533"/>
      <c r="M13" s="532"/>
      <c r="N13" s="534"/>
      <c r="O13" s="532"/>
      <c r="P13" s="760"/>
      <c r="Q13" s="535"/>
    </row>
    <row r="14" spans="1:22" hidden="1" x14ac:dyDescent="0.25">
      <c r="B14" s="757">
        <v>2009</v>
      </c>
      <c r="C14" s="755">
        <v>413</v>
      </c>
      <c r="D14" s="539">
        <f t="shared" ref="D14:D20" si="8">C14/Q14</f>
        <v>0.33146067415730335</v>
      </c>
      <c r="E14" s="538">
        <v>770</v>
      </c>
      <c r="F14" s="539">
        <f t="shared" ref="F14:F20" si="9">E14/Q14</f>
        <v>0.6179775280898876</v>
      </c>
      <c r="G14" s="538">
        <v>18</v>
      </c>
      <c r="H14" s="539">
        <f t="shared" ref="H14:H20" si="10">G14/Q14</f>
        <v>1.4446227929373997E-2</v>
      </c>
      <c r="I14" s="538">
        <v>8</v>
      </c>
      <c r="J14" s="539">
        <f t="shared" ref="J14:J20" si="11">I14/Q14</f>
        <v>6.420545746388443E-3</v>
      </c>
      <c r="K14" s="538">
        <v>3</v>
      </c>
      <c r="L14" s="539">
        <f t="shared" ref="L14:L20" si="12">K14/Q14</f>
        <v>2.407704654895666E-3</v>
      </c>
      <c r="M14" s="538">
        <v>5</v>
      </c>
      <c r="N14" s="536">
        <f t="shared" ref="N14:N20" si="13">M14/Q14</f>
        <v>4.0128410914927765E-3</v>
      </c>
      <c r="O14" s="538">
        <v>29</v>
      </c>
      <c r="P14" s="762">
        <f t="shared" ref="P14:P20" si="14">O14/Q14</f>
        <v>2.3274478330658106E-2</v>
      </c>
      <c r="Q14" s="540">
        <f t="shared" ref="Q14:Q20" si="15">SUM(C14,E14,G14,I14,K14,O14,M14)</f>
        <v>1246</v>
      </c>
    </row>
    <row r="15" spans="1:22" hidden="1" x14ac:dyDescent="0.25">
      <c r="B15" s="757">
        <v>2010</v>
      </c>
      <c r="C15" s="755">
        <v>439</v>
      </c>
      <c r="D15" s="539">
        <f t="shared" si="8"/>
        <v>0.33282789992418499</v>
      </c>
      <c r="E15" s="538">
        <v>795</v>
      </c>
      <c r="F15" s="539">
        <f t="shared" si="9"/>
        <v>0.60272934040940107</v>
      </c>
      <c r="G15" s="538">
        <v>28</v>
      </c>
      <c r="H15" s="539">
        <f t="shared" si="10"/>
        <v>2.1228203184230479E-2</v>
      </c>
      <c r="I15" s="538">
        <v>4</v>
      </c>
      <c r="J15" s="539">
        <f t="shared" si="11"/>
        <v>3.0326004548900682E-3</v>
      </c>
      <c r="K15" s="538">
        <v>6</v>
      </c>
      <c r="L15" s="539">
        <f t="shared" si="12"/>
        <v>4.5489006823351023E-3</v>
      </c>
      <c r="M15" s="538">
        <v>11</v>
      </c>
      <c r="N15" s="536">
        <f t="shared" si="13"/>
        <v>8.339651250947688E-3</v>
      </c>
      <c r="O15" s="538">
        <v>36</v>
      </c>
      <c r="P15" s="762">
        <f t="shared" si="14"/>
        <v>2.7293404094010616E-2</v>
      </c>
      <c r="Q15" s="540">
        <f t="shared" si="15"/>
        <v>1319</v>
      </c>
    </row>
    <row r="16" spans="1:22" x14ac:dyDescent="0.25">
      <c r="B16" s="757">
        <v>2011</v>
      </c>
      <c r="C16" s="755">
        <v>516</v>
      </c>
      <c r="D16" s="539">
        <f t="shared" si="8"/>
        <v>0.3827893175074184</v>
      </c>
      <c r="E16" s="538">
        <v>751</v>
      </c>
      <c r="F16" s="539">
        <f t="shared" si="9"/>
        <v>0.55712166172106825</v>
      </c>
      <c r="G16" s="538">
        <v>26</v>
      </c>
      <c r="H16" s="539">
        <f t="shared" si="10"/>
        <v>1.9287833827893175E-2</v>
      </c>
      <c r="I16" s="538">
        <v>5</v>
      </c>
      <c r="J16" s="539">
        <f t="shared" si="11"/>
        <v>3.70919881305638E-3</v>
      </c>
      <c r="K16" s="538">
        <v>9</v>
      </c>
      <c r="L16" s="539">
        <f t="shared" si="12"/>
        <v>6.6765578635014835E-3</v>
      </c>
      <c r="M16" s="538">
        <v>13</v>
      </c>
      <c r="N16" s="536">
        <f t="shared" si="13"/>
        <v>9.6439169139465875E-3</v>
      </c>
      <c r="O16" s="538">
        <v>28</v>
      </c>
      <c r="P16" s="762">
        <f t="shared" si="14"/>
        <v>2.0771513353115726E-2</v>
      </c>
      <c r="Q16" s="540">
        <f t="shared" si="15"/>
        <v>1348</v>
      </c>
    </row>
    <row r="17" spans="2:17" x14ac:dyDescent="0.25">
      <c r="B17" s="757">
        <v>2012</v>
      </c>
      <c r="C17" s="755">
        <v>481</v>
      </c>
      <c r="D17" s="539">
        <f t="shared" si="8"/>
        <v>0.34065155807365438</v>
      </c>
      <c r="E17" s="538">
        <v>768</v>
      </c>
      <c r="F17" s="539">
        <f t="shared" si="9"/>
        <v>0.5439093484419264</v>
      </c>
      <c r="G17" s="538">
        <v>22</v>
      </c>
      <c r="H17" s="539">
        <f t="shared" si="10"/>
        <v>1.5580736543909348E-2</v>
      </c>
      <c r="I17" s="538">
        <v>9</v>
      </c>
      <c r="J17" s="539">
        <f t="shared" si="11"/>
        <v>6.3739376770538241E-3</v>
      </c>
      <c r="K17" s="538">
        <v>6</v>
      </c>
      <c r="L17" s="539">
        <f t="shared" si="12"/>
        <v>4.24929178470255E-3</v>
      </c>
      <c r="M17" s="538">
        <v>14</v>
      </c>
      <c r="N17" s="536">
        <f t="shared" si="13"/>
        <v>9.9150141643059488E-3</v>
      </c>
      <c r="O17" s="538">
        <v>112</v>
      </c>
      <c r="P17" s="762">
        <f t="shared" si="14"/>
        <v>7.9320113314447591E-2</v>
      </c>
      <c r="Q17" s="540">
        <f t="shared" si="15"/>
        <v>1412</v>
      </c>
    </row>
    <row r="18" spans="2:17" x14ac:dyDescent="0.25">
      <c r="B18" s="757">
        <v>2013</v>
      </c>
      <c r="C18" s="755">
        <v>348</v>
      </c>
      <c r="D18" s="539">
        <f t="shared" si="8"/>
        <v>0.25</v>
      </c>
      <c r="E18" s="538">
        <v>543</v>
      </c>
      <c r="F18" s="539">
        <f t="shared" si="9"/>
        <v>0.39008620689655171</v>
      </c>
      <c r="G18" s="538">
        <v>20</v>
      </c>
      <c r="H18" s="539">
        <f t="shared" si="10"/>
        <v>1.4367816091954023E-2</v>
      </c>
      <c r="I18" s="538">
        <v>9</v>
      </c>
      <c r="J18" s="539">
        <f t="shared" si="11"/>
        <v>6.4655172413793103E-3</v>
      </c>
      <c r="K18" s="538">
        <v>4</v>
      </c>
      <c r="L18" s="539">
        <f t="shared" si="12"/>
        <v>2.8735632183908046E-3</v>
      </c>
      <c r="M18" s="538">
        <v>7</v>
      </c>
      <c r="N18" s="536">
        <f t="shared" si="13"/>
        <v>5.028735632183908E-3</v>
      </c>
      <c r="O18" s="538">
        <v>461</v>
      </c>
      <c r="P18" s="762">
        <f t="shared" si="14"/>
        <v>0.33117816091954022</v>
      </c>
      <c r="Q18" s="540">
        <f t="shared" si="15"/>
        <v>1392</v>
      </c>
    </row>
    <row r="19" spans="2:17" x14ac:dyDescent="0.25">
      <c r="B19" s="757">
        <v>2014</v>
      </c>
      <c r="C19" s="755">
        <v>457</v>
      </c>
      <c r="D19" s="539">
        <f>C19/Q19</f>
        <v>0.26693925233644861</v>
      </c>
      <c r="E19" s="538">
        <v>990</v>
      </c>
      <c r="F19" s="539">
        <f>E19/Q19</f>
        <v>0.57827102803738317</v>
      </c>
      <c r="G19" s="538">
        <v>28</v>
      </c>
      <c r="H19" s="539">
        <f>G19/Q19</f>
        <v>1.6355140186915886E-2</v>
      </c>
      <c r="I19" s="538">
        <v>16</v>
      </c>
      <c r="J19" s="539">
        <f>I19/Q19</f>
        <v>9.3457943925233638E-3</v>
      </c>
      <c r="K19" s="538">
        <v>3</v>
      </c>
      <c r="L19" s="539">
        <f>K19/Q19</f>
        <v>1.7523364485981308E-3</v>
      </c>
      <c r="M19" s="538">
        <v>20</v>
      </c>
      <c r="N19" s="536">
        <f>M19/Q19</f>
        <v>1.1682242990654205E-2</v>
      </c>
      <c r="O19" s="538">
        <v>198</v>
      </c>
      <c r="P19" s="762">
        <f>O19/Q19</f>
        <v>0.11565420560747663</v>
      </c>
      <c r="Q19" s="540">
        <f>SUM(C19,E19,G19,I19,K19,O19,M19)</f>
        <v>1712</v>
      </c>
    </row>
    <row r="20" spans="2:17" x14ac:dyDescent="0.25">
      <c r="B20" s="757">
        <v>2015</v>
      </c>
      <c r="C20" s="755">
        <v>381</v>
      </c>
      <c r="D20" s="539">
        <f t="shared" si="8"/>
        <v>0.29696024941543259</v>
      </c>
      <c r="E20" s="538">
        <v>750</v>
      </c>
      <c r="F20" s="539">
        <f t="shared" si="9"/>
        <v>0.58456742010911922</v>
      </c>
      <c r="G20" s="538">
        <v>10</v>
      </c>
      <c r="H20" s="539">
        <f t="shared" si="10"/>
        <v>7.7942322681215899E-3</v>
      </c>
      <c r="I20" s="538">
        <v>8</v>
      </c>
      <c r="J20" s="539">
        <f t="shared" si="11"/>
        <v>6.2353858144972721E-3</v>
      </c>
      <c r="K20" s="538">
        <v>7</v>
      </c>
      <c r="L20" s="539">
        <f t="shared" si="12"/>
        <v>5.4559625876851132E-3</v>
      </c>
      <c r="M20" s="538">
        <v>21</v>
      </c>
      <c r="N20" s="536">
        <f t="shared" si="13"/>
        <v>1.6367887763055339E-2</v>
      </c>
      <c r="O20" s="538">
        <v>106</v>
      </c>
      <c r="P20" s="762">
        <f t="shared" si="14"/>
        <v>8.2618862042088848E-2</v>
      </c>
      <c r="Q20" s="540">
        <f t="shared" si="15"/>
        <v>1283</v>
      </c>
    </row>
    <row r="21" spans="2:17" x14ac:dyDescent="0.25">
      <c r="B21" s="756" t="s">
        <v>823</v>
      </c>
      <c r="C21" s="396"/>
      <c r="D21" s="533"/>
      <c r="E21" s="532"/>
      <c r="F21" s="533"/>
      <c r="G21" s="532"/>
      <c r="H21" s="533"/>
      <c r="I21" s="532"/>
      <c r="J21" s="533"/>
      <c r="K21" s="532"/>
      <c r="L21" s="533"/>
      <c r="M21" s="532"/>
      <c r="N21" s="534"/>
      <c r="O21" s="532"/>
      <c r="P21" s="760"/>
      <c r="Q21" s="535"/>
    </row>
    <row r="22" spans="2:17" hidden="1" x14ac:dyDescent="0.25">
      <c r="B22" s="757">
        <v>2009</v>
      </c>
      <c r="C22" s="63">
        <f>43+135</f>
        <v>178</v>
      </c>
      <c r="D22" s="675">
        <f t="shared" ref="D22:D28" si="16">C22/Q22</f>
        <v>0.30584192439862545</v>
      </c>
      <c r="E22" s="674">
        <f>121+263</f>
        <v>384</v>
      </c>
      <c r="F22" s="675">
        <f t="shared" ref="F22:F28" si="17">E22/Q22</f>
        <v>0.65979381443298968</v>
      </c>
      <c r="G22" s="674">
        <v>3</v>
      </c>
      <c r="H22" s="675">
        <f t="shared" ref="H22:H28" si="18">G22/Q22</f>
        <v>5.1546391752577319E-3</v>
      </c>
      <c r="I22" s="674">
        <v>3</v>
      </c>
      <c r="J22" s="675">
        <f t="shared" ref="J22:J28" si="19">I22/Q22</f>
        <v>5.1546391752577319E-3</v>
      </c>
      <c r="K22" s="674">
        <v>2</v>
      </c>
      <c r="L22" s="675">
        <f t="shared" ref="L22:L28" si="20">K22/Q22</f>
        <v>3.4364261168384879E-3</v>
      </c>
      <c r="M22" s="674">
        <v>4</v>
      </c>
      <c r="N22" s="536">
        <f t="shared" ref="N22:N28" si="21">M22/Q22</f>
        <v>6.8728522336769758E-3</v>
      </c>
      <c r="O22" s="64">
        <v>8</v>
      </c>
      <c r="P22" s="763">
        <f t="shared" ref="P22:P28" si="22">O22/Q22</f>
        <v>1.3745704467353952E-2</v>
      </c>
      <c r="Q22" s="676">
        <f t="shared" ref="Q22:Q28" si="23">SUM(C22,E22,G22,I22,K22,O22,M22)</f>
        <v>582</v>
      </c>
    </row>
    <row r="23" spans="2:17" hidden="1" x14ac:dyDescent="0.25">
      <c r="B23" s="757">
        <v>2010</v>
      </c>
      <c r="C23" s="66">
        <f>46+152</f>
        <v>198</v>
      </c>
      <c r="D23" s="289">
        <f t="shared" si="16"/>
        <v>0.28862973760932947</v>
      </c>
      <c r="E23" s="64">
        <f>146+302</f>
        <v>448</v>
      </c>
      <c r="F23" s="289">
        <f t="shared" si="17"/>
        <v>0.65306122448979587</v>
      </c>
      <c r="G23" s="64">
        <v>10</v>
      </c>
      <c r="H23" s="289">
        <f t="shared" si="18"/>
        <v>1.4577259475218658E-2</v>
      </c>
      <c r="I23" s="64">
        <v>1</v>
      </c>
      <c r="J23" s="289">
        <f t="shared" si="19"/>
        <v>1.4577259475218659E-3</v>
      </c>
      <c r="K23" s="64">
        <v>1</v>
      </c>
      <c r="L23" s="289">
        <f t="shared" si="20"/>
        <v>1.4577259475218659E-3</v>
      </c>
      <c r="M23" s="64">
        <v>11</v>
      </c>
      <c r="N23" s="536">
        <f t="shared" si="21"/>
        <v>1.6034985422740525E-2</v>
      </c>
      <c r="O23" s="64">
        <v>17</v>
      </c>
      <c r="P23" s="292">
        <f t="shared" si="22"/>
        <v>2.478134110787172E-2</v>
      </c>
      <c r="Q23" s="67">
        <f t="shared" si="23"/>
        <v>686</v>
      </c>
    </row>
    <row r="24" spans="2:17" x14ac:dyDescent="0.25">
      <c r="B24" s="757">
        <v>2011</v>
      </c>
      <c r="C24" s="66">
        <v>216</v>
      </c>
      <c r="D24" s="289">
        <f t="shared" si="16"/>
        <v>0.3630252100840336</v>
      </c>
      <c r="E24" s="64">
        <v>341</v>
      </c>
      <c r="F24" s="289">
        <f t="shared" si="17"/>
        <v>0.57310924369747895</v>
      </c>
      <c r="G24" s="64">
        <v>12</v>
      </c>
      <c r="H24" s="289">
        <f t="shared" si="18"/>
        <v>2.0168067226890758E-2</v>
      </c>
      <c r="I24" s="64">
        <v>1</v>
      </c>
      <c r="J24" s="289">
        <f t="shared" si="19"/>
        <v>1.6806722689075631E-3</v>
      </c>
      <c r="K24" s="64">
        <v>2</v>
      </c>
      <c r="L24" s="289">
        <f t="shared" si="20"/>
        <v>3.3613445378151263E-3</v>
      </c>
      <c r="M24" s="64">
        <v>9</v>
      </c>
      <c r="N24" s="289">
        <f t="shared" si="21"/>
        <v>1.5126050420168067E-2</v>
      </c>
      <c r="O24" s="64">
        <v>14</v>
      </c>
      <c r="P24" s="761">
        <f t="shared" si="22"/>
        <v>2.3529411764705882E-2</v>
      </c>
      <c r="Q24" s="537">
        <f t="shared" si="23"/>
        <v>595</v>
      </c>
    </row>
    <row r="25" spans="2:17" x14ac:dyDescent="0.25">
      <c r="B25" s="757">
        <v>2012</v>
      </c>
      <c r="C25" s="66">
        <v>183</v>
      </c>
      <c r="D25" s="289">
        <f t="shared" si="16"/>
        <v>0.32161687170474518</v>
      </c>
      <c r="E25" s="64">
        <v>344</v>
      </c>
      <c r="F25" s="289">
        <f t="shared" si="17"/>
        <v>0.60456942003514935</v>
      </c>
      <c r="G25" s="64">
        <v>8</v>
      </c>
      <c r="H25" s="289">
        <f t="shared" si="18"/>
        <v>1.4059753954305799E-2</v>
      </c>
      <c r="I25" s="64">
        <v>2</v>
      </c>
      <c r="J25" s="289">
        <f t="shared" si="19"/>
        <v>3.5149384885764497E-3</v>
      </c>
      <c r="K25" s="64">
        <v>2</v>
      </c>
      <c r="L25" s="289">
        <f t="shared" si="20"/>
        <v>3.5149384885764497E-3</v>
      </c>
      <c r="M25" s="64">
        <v>9</v>
      </c>
      <c r="N25" s="289">
        <f t="shared" si="21"/>
        <v>1.5817223198594025E-2</v>
      </c>
      <c r="O25" s="64">
        <v>21</v>
      </c>
      <c r="P25" s="761">
        <f t="shared" si="22"/>
        <v>3.6906854130052721E-2</v>
      </c>
      <c r="Q25" s="537">
        <f t="shared" si="23"/>
        <v>569</v>
      </c>
    </row>
    <row r="26" spans="2:17" x14ac:dyDescent="0.25">
      <c r="B26" s="757">
        <v>2013</v>
      </c>
      <c r="C26" s="66">
        <v>123</v>
      </c>
      <c r="D26" s="289">
        <f t="shared" si="16"/>
        <v>0.23791102514506771</v>
      </c>
      <c r="E26" s="64">
        <v>229</v>
      </c>
      <c r="F26" s="289">
        <f t="shared" si="17"/>
        <v>0.44294003868471954</v>
      </c>
      <c r="G26" s="64">
        <v>7</v>
      </c>
      <c r="H26" s="289">
        <f t="shared" si="18"/>
        <v>1.3539651837524178E-2</v>
      </c>
      <c r="I26" s="64">
        <v>2</v>
      </c>
      <c r="J26" s="289">
        <f t="shared" si="19"/>
        <v>3.8684719535783366E-3</v>
      </c>
      <c r="K26" s="64">
        <v>3</v>
      </c>
      <c r="L26" s="289">
        <f t="shared" si="20"/>
        <v>5.8027079303675051E-3</v>
      </c>
      <c r="M26" s="64">
        <v>6</v>
      </c>
      <c r="N26" s="289">
        <f t="shared" si="21"/>
        <v>1.160541586073501E-2</v>
      </c>
      <c r="O26" s="64">
        <v>147</v>
      </c>
      <c r="P26" s="761">
        <f t="shared" si="22"/>
        <v>0.28433268858800775</v>
      </c>
      <c r="Q26" s="537">
        <f t="shared" si="23"/>
        <v>517</v>
      </c>
    </row>
    <row r="27" spans="2:17" x14ac:dyDescent="0.25">
      <c r="B27" s="757">
        <v>2014</v>
      </c>
      <c r="C27" s="66">
        <v>122</v>
      </c>
      <c r="D27" s="289">
        <f>C27/Q27</f>
        <v>0.22021660649819494</v>
      </c>
      <c r="E27" s="64">
        <v>350</v>
      </c>
      <c r="F27" s="289">
        <f>E27/Q27</f>
        <v>0.63176895306859204</v>
      </c>
      <c r="G27" s="64">
        <v>5</v>
      </c>
      <c r="H27" s="289">
        <f>G27/Q27</f>
        <v>9.0252707581227436E-3</v>
      </c>
      <c r="I27" s="64">
        <v>7</v>
      </c>
      <c r="J27" s="289">
        <f>I27/Q27</f>
        <v>1.263537906137184E-2</v>
      </c>
      <c r="K27" s="64">
        <v>0</v>
      </c>
      <c r="L27" s="289">
        <f>K27/Q27</f>
        <v>0</v>
      </c>
      <c r="M27" s="64">
        <v>18</v>
      </c>
      <c r="N27" s="289">
        <f>M27/Q27</f>
        <v>3.2490974729241874E-2</v>
      </c>
      <c r="O27" s="64">
        <v>52</v>
      </c>
      <c r="P27" s="761">
        <f>O27/Q27</f>
        <v>9.3862815884476536E-2</v>
      </c>
      <c r="Q27" s="537">
        <f>SUM(C27,E27,G27,I27,K27,O27,M27)</f>
        <v>554</v>
      </c>
    </row>
    <row r="28" spans="2:17" ht="13.8" thickBot="1" x14ac:dyDescent="0.3">
      <c r="B28" s="891">
        <v>2015</v>
      </c>
      <c r="C28" s="1297">
        <v>168</v>
      </c>
      <c r="D28" s="1298">
        <f t="shared" si="16"/>
        <v>0.30107526881720431</v>
      </c>
      <c r="E28" s="1299">
        <v>325</v>
      </c>
      <c r="F28" s="1298">
        <f t="shared" si="17"/>
        <v>0.58243727598566308</v>
      </c>
      <c r="G28" s="1299">
        <v>4</v>
      </c>
      <c r="H28" s="1298">
        <f t="shared" si="18"/>
        <v>7.1684587813620072E-3</v>
      </c>
      <c r="I28" s="1299">
        <v>5</v>
      </c>
      <c r="J28" s="1298">
        <f t="shared" si="19"/>
        <v>8.9605734767025085E-3</v>
      </c>
      <c r="K28" s="1299">
        <v>0</v>
      </c>
      <c r="L28" s="1298">
        <f t="shared" si="20"/>
        <v>0</v>
      </c>
      <c r="M28" s="1299">
        <v>28</v>
      </c>
      <c r="N28" s="1298">
        <f t="shared" si="21"/>
        <v>5.0179211469534052E-2</v>
      </c>
      <c r="O28" s="1299">
        <v>28</v>
      </c>
      <c r="P28" s="1300">
        <f t="shared" si="22"/>
        <v>5.0179211469534052E-2</v>
      </c>
      <c r="Q28" s="1301">
        <f t="shared" si="23"/>
        <v>558</v>
      </c>
    </row>
  </sheetData>
  <mergeCells count="1">
    <mergeCell ref="B1:Q1"/>
  </mergeCells>
  <phoneticPr fontId="16" type="noConversion"/>
  <printOptions horizontalCentered="1" verticalCentered="1"/>
  <pageMargins left="0.5" right="0.5" top="0.25" bottom="0.25" header="0.5" footer="0.5"/>
  <pageSetup scale="77" orientation="landscape" r:id="rId1"/>
  <headerFooter alignWithMargins="0">
    <oddHeader xml:space="preserve">&amp;C </oddHeader>
    <oddFooter>&amp;L &amp;C &amp;RSource: Office of Admissions</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8"/>
  <sheetViews>
    <sheetView workbookViewId="0">
      <selection sqref="A1:Z1"/>
    </sheetView>
  </sheetViews>
  <sheetFormatPr defaultColWidth="9.109375" defaultRowHeight="13.2" x14ac:dyDescent="0.25"/>
  <cols>
    <col min="1" max="3" width="8.6640625" style="1098" customWidth="1"/>
    <col min="4" max="12" width="10.6640625" style="1098" hidden="1" customWidth="1"/>
    <col min="13" max="42" width="10.6640625" style="1098" customWidth="1"/>
    <col min="43" max="16384" width="9.109375" style="1098"/>
  </cols>
  <sheetData>
    <row r="1" spans="1:26" s="294" customFormat="1" ht="17.399999999999999" x14ac:dyDescent="0.3">
      <c r="A1" s="2283" t="s">
        <v>717</v>
      </c>
      <c r="B1" s="2284"/>
      <c r="C1" s="2284"/>
      <c r="D1" s="2284"/>
      <c r="E1" s="2284"/>
      <c r="F1" s="2284"/>
      <c r="G1" s="2284"/>
      <c r="H1" s="2284"/>
      <c r="I1" s="2284"/>
      <c r="J1" s="2284"/>
      <c r="K1" s="2284"/>
      <c r="L1" s="2284"/>
      <c r="M1" s="2284"/>
      <c r="N1" s="2284"/>
      <c r="O1" s="2284"/>
      <c r="P1" s="2284"/>
      <c r="Q1" s="2284"/>
      <c r="R1" s="2284"/>
      <c r="S1" s="2284"/>
      <c r="T1" s="2284"/>
      <c r="U1" s="2284"/>
      <c r="V1" s="2284"/>
      <c r="W1" s="2284"/>
      <c r="X1" s="2284"/>
      <c r="Y1" s="2284"/>
      <c r="Z1" s="2284"/>
    </row>
    <row r="2" spans="1:26" s="294" customFormat="1" ht="17.399999999999999" x14ac:dyDescent="0.3">
      <c r="A2" s="2285" t="s">
        <v>718</v>
      </c>
      <c r="B2" s="2286"/>
      <c r="C2" s="2286"/>
      <c r="D2" s="2286"/>
      <c r="E2" s="2286"/>
      <c r="F2" s="2286"/>
      <c r="G2" s="2286"/>
      <c r="H2" s="2286"/>
      <c r="I2" s="2286"/>
      <c r="J2" s="2286"/>
      <c r="K2" s="2286"/>
      <c r="L2" s="2286"/>
      <c r="M2" s="2286"/>
      <c r="N2" s="2286"/>
      <c r="O2" s="2286"/>
      <c r="P2" s="2286"/>
      <c r="Q2" s="2286"/>
      <c r="R2" s="2286"/>
      <c r="S2" s="2286"/>
      <c r="T2" s="2286"/>
      <c r="U2" s="2286"/>
      <c r="V2" s="2286"/>
      <c r="W2" s="2286"/>
      <c r="X2" s="2286"/>
      <c r="Y2" s="2286"/>
      <c r="Z2" s="2286"/>
    </row>
    <row r="3" spans="1:26" s="294" customFormat="1" ht="17.399999999999999" x14ac:dyDescent="0.3">
      <c r="A3" s="2279"/>
      <c r="B3" s="2279"/>
      <c r="C3" s="2279"/>
      <c r="D3" s="2277" t="s">
        <v>865</v>
      </c>
      <c r="E3" s="2278"/>
      <c r="F3" s="2278"/>
      <c r="G3" s="2278"/>
      <c r="H3" s="2278"/>
      <c r="I3" s="2278"/>
      <c r="J3" s="2278"/>
      <c r="K3" s="2278"/>
      <c r="L3" s="2278"/>
      <c r="M3" s="2278"/>
      <c r="N3" s="2278"/>
      <c r="O3" s="2278"/>
      <c r="P3" s="2278"/>
      <c r="Q3" s="2278"/>
      <c r="R3" s="2278"/>
      <c r="S3" s="2278"/>
      <c r="T3" s="2278"/>
      <c r="U3" s="2278"/>
      <c r="V3" s="2278"/>
      <c r="W3" s="2278"/>
      <c r="X3" s="2278"/>
      <c r="Y3" s="2278"/>
      <c r="Z3" s="2278"/>
    </row>
    <row r="4" spans="1:26" ht="38.25" customHeight="1" x14ac:dyDescent="0.25">
      <c r="A4" s="2280" t="s">
        <v>713</v>
      </c>
      <c r="B4" s="2281"/>
      <c r="C4" s="2282"/>
      <c r="D4" s="1636" t="s">
        <v>719</v>
      </c>
      <c r="E4" s="1636" t="s">
        <v>720</v>
      </c>
      <c r="F4" s="1636" t="s">
        <v>721</v>
      </c>
      <c r="G4" s="1636" t="s">
        <v>722</v>
      </c>
      <c r="H4" s="1636" t="s">
        <v>723</v>
      </c>
      <c r="I4" s="1636" t="s">
        <v>724</v>
      </c>
      <c r="J4" s="1636" t="s">
        <v>725</v>
      </c>
      <c r="K4" s="1636" t="s">
        <v>726</v>
      </c>
      <c r="L4" s="1636" t="s">
        <v>714</v>
      </c>
      <c r="M4" s="1636" t="s">
        <v>1374</v>
      </c>
      <c r="N4" s="1636" t="s">
        <v>739</v>
      </c>
      <c r="O4" s="1636" t="s">
        <v>178</v>
      </c>
      <c r="P4" s="1636" t="s">
        <v>248</v>
      </c>
      <c r="Q4" s="1636" t="s">
        <v>1537</v>
      </c>
      <c r="R4" s="1636" t="s">
        <v>1536</v>
      </c>
      <c r="S4" s="1636" t="s">
        <v>1677</v>
      </c>
      <c r="T4" s="1636" t="s">
        <v>1535</v>
      </c>
      <c r="U4" s="1636" t="s">
        <v>1678</v>
      </c>
      <c r="V4" s="1636" t="s">
        <v>1534</v>
      </c>
      <c r="W4" s="1636" t="s">
        <v>1584</v>
      </c>
      <c r="X4" s="1636" t="s">
        <v>1679</v>
      </c>
      <c r="Y4" s="1636" t="s">
        <v>1680</v>
      </c>
      <c r="Z4" s="1636" t="s">
        <v>1780</v>
      </c>
    </row>
    <row r="5" spans="1:26" x14ac:dyDescent="0.25">
      <c r="A5" s="297" t="s">
        <v>866</v>
      </c>
      <c r="B5" s="1637"/>
      <c r="C5" s="1638"/>
      <c r="D5" s="1639"/>
      <c r="E5" s="1639"/>
      <c r="F5" s="1639"/>
      <c r="G5" s="1639"/>
      <c r="H5" s="1639"/>
      <c r="I5" s="1639"/>
      <c r="J5" s="1639"/>
      <c r="K5" s="1639"/>
      <c r="L5" s="1639"/>
      <c r="M5" s="1097"/>
      <c r="N5" s="1097"/>
      <c r="O5" s="1097"/>
      <c r="P5" s="1097"/>
      <c r="Q5" s="1097"/>
      <c r="R5" s="1097"/>
      <c r="S5" s="1097"/>
      <c r="T5" s="1097"/>
      <c r="U5" s="1097"/>
      <c r="V5" s="1097"/>
      <c r="W5" s="1097"/>
      <c r="X5" s="1097"/>
      <c r="Y5" s="1097"/>
      <c r="Z5" s="1097"/>
    </row>
    <row r="6" spans="1:26" x14ac:dyDescent="0.25">
      <c r="A6" s="1640"/>
      <c r="B6" s="1637" t="s">
        <v>867</v>
      </c>
      <c r="C6" s="1638"/>
      <c r="D6" s="1639">
        <v>2.1</v>
      </c>
      <c r="E6" s="1639">
        <v>2</v>
      </c>
      <c r="F6" s="1639">
        <v>0.6</v>
      </c>
      <c r="G6" s="1639">
        <v>1.3</v>
      </c>
      <c r="H6" s="1639">
        <v>1.3</v>
      </c>
      <c r="I6" s="1639">
        <v>1.6</v>
      </c>
      <c r="J6" s="1639">
        <v>0.7</v>
      </c>
      <c r="K6" s="1097">
        <v>2.2999999999999998</v>
      </c>
      <c r="L6" s="1097">
        <v>3.9</v>
      </c>
      <c r="M6" s="1097">
        <v>2.4</v>
      </c>
      <c r="N6" s="1097">
        <v>2.2000000000000002</v>
      </c>
      <c r="O6" s="1097">
        <v>1.2</v>
      </c>
      <c r="P6" s="1097">
        <v>0.6</v>
      </c>
      <c r="Q6" s="1097">
        <v>3.7</v>
      </c>
      <c r="R6" s="1097">
        <v>0.6</v>
      </c>
      <c r="S6" s="1097">
        <v>0</v>
      </c>
      <c r="T6" s="1097">
        <v>0.6</v>
      </c>
      <c r="U6" s="1097">
        <v>0.4</v>
      </c>
      <c r="V6" s="1097">
        <v>0.5</v>
      </c>
      <c r="W6" s="1097">
        <v>0</v>
      </c>
      <c r="X6" s="1097">
        <v>0</v>
      </c>
      <c r="Y6" s="1097">
        <v>0</v>
      </c>
      <c r="Z6" s="1097">
        <v>0</v>
      </c>
    </row>
    <row r="7" spans="1:26" x14ac:dyDescent="0.25">
      <c r="A7" s="1640"/>
      <c r="B7" s="1637" t="s">
        <v>868</v>
      </c>
      <c r="C7" s="1638"/>
      <c r="D7" s="1639">
        <v>69.8</v>
      </c>
      <c r="E7" s="1639">
        <v>71.400000000000006</v>
      </c>
      <c r="F7" s="1639">
        <v>72</v>
      </c>
      <c r="G7" s="1639">
        <v>65.2</v>
      </c>
      <c r="H7" s="1639">
        <v>66</v>
      </c>
      <c r="I7" s="1639">
        <v>69.2</v>
      </c>
      <c r="J7" s="1639">
        <v>59.4</v>
      </c>
      <c r="K7" s="1097">
        <v>66.099999999999994</v>
      </c>
      <c r="L7" s="1097">
        <v>66</v>
      </c>
      <c r="M7" s="1097">
        <v>66.3</v>
      </c>
      <c r="N7" s="1097">
        <v>57.4</v>
      </c>
      <c r="O7" s="1097">
        <v>61.4</v>
      </c>
      <c r="P7" s="1097">
        <v>66.099999999999994</v>
      </c>
      <c r="Q7" s="1097">
        <v>67.3</v>
      </c>
      <c r="R7" s="1097">
        <v>63.5</v>
      </c>
      <c r="S7" s="1097">
        <v>66.099999999999994</v>
      </c>
      <c r="T7" s="1097">
        <v>64.099999999999994</v>
      </c>
      <c r="U7" s="1097">
        <v>66.099999999999994</v>
      </c>
      <c r="V7" s="1097">
        <v>65.099999999999994</v>
      </c>
      <c r="W7" s="1097">
        <v>72.599999999999994</v>
      </c>
      <c r="X7" s="1097">
        <v>67.760000000000005</v>
      </c>
      <c r="Y7" s="1097">
        <v>70.900000000000006</v>
      </c>
      <c r="Z7" s="1097">
        <v>66.5</v>
      </c>
    </row>
    <row r="8" spans="1:26" x14ac:dyDescent="0.25">
      <c r="A8" s="1640"/>
      <c r="B8" s="1637" t="s">
        <v>869</v>
      </c>
      <c r="C8" s="1638"/>
      <c r="D8" s="1639">
        <v>1</v>
      </c>
      <c r="E8" s="1639">
        <v>7</v>
      </c>
      <c r="F8" s="1639">
        <v>10.4</v>
      </c>
      <c r="G8" s="1639">
        <v>8.9</v>
      </c>
      <c r="H8" s="1639">
        <v>6.4</v>
      </c>
      <c r="I8" s="1639">
        <v>11</v>
      </c>
      <c r="J8" s="1639">
        <v>0.7</v>
      </c>
      <c r="K8" s="1097">
        <v>9.1999999999999993</v>
      </c>
      <c r="L8" s="1097">
        <v>9.8000000000000007</v>
      </c>
      <c r="M8" s="1097">
        <v>7.1</v>
      </c>
      <c r="N8" s="1097">
        <v>7.1</v>
      </c>
      <c r="O8" s="1097">
        <v>11.1</v>
      </c>
      <c r="P8" s="1097">
        <v>5.4</v>
      </c>
      <c r="Q8" s="1097">
        <v>5</v>
      </c>
      <c r="R8" s="1097">
        <v>10.1</v>
      </c>
      <c r="S8" s="1097">
        <v>5.6</v>
      </c>
      <c r="T8" s="1097">
        <v>11.6</v>
      </c>
      <c r="U8" s="1097">
        <v>4.8</v>
      </c>
      <c r="V8" s="1097">
        <v>5.9</v>
      </c>
      <c r="W8" s="1097">
        <v>7.4</v>
      </c>
      <c r="X8" s="1097">
        <v>10.38</v>
      </c>
      <c r="Y8" s="1097">
        <v>9.1</v>
      </c>
      <c r="Z8" s="1097">
        <v>6.7</v>
      </c>
    </row>
    <row r="9" spans="1:26" x14ac:dyDescent="0.25">
      <c r="A9" s="1641"/>
      <c r="B9" s="1642" t="s">
        <v>870</v>
      </c>
      <c r="C9" s="1643"/>
      <c r="D9" s="1644">
        <v>27.1</v>
      </c>
      <c r="E9" s="1644">
        <v>19.600000000000001</v>
      </c>
      <c r="F9" s="1644">
        <v>17.100000000000001</v>
      </c>
      <c r="G9" s="1644">
        <v>24.7</v>
      </c>
      <c r="H9" s="1644">
        <v>26.3</v>
      </c>
      <c r="I9" s="1644">
        <v>18.100000000000001</v>
      </c>
      <c r="J9" s="1644">
        <v>39.1</v>
      </c>
      <c r="K9" s="1645">
        <v>22.4</v>
      </c>
      <c r="L9" s="1645">
        <v>20.3</v>
      </c>
      <c r="M9" s="1645">
        <v>24.2</v>
      </c>
      <c r="N9" s="1645">
        <v>33.299999999999997</v>
      </c>
      <c r="O9" s="1645">
        <v>26.3</v>
      </c>
      <c r="P9" s="1645">
        <v>27.9</v>
      </c>
      <c r="Q9" s="1645">
        <v>24</v>
      </c>
      <c r="R9" s="1645">
        <v>25.8</v>
      </c>
      <c r="S9" s="1645">
        <v>28.3</v>
      </c>
      <c r="T9" s="1645">
        <v>23.7</v>
      </c>
      <c r="U9" s="1645">
        <v>28.7</v>
      </c>
      <c r="V9" s="1645">
        <v>28.5</v>
      </c>
      <c r="W9" s="1645">
        <v>20</v>
      </c>
      <c r="X9" s="1645">
        <v>21.86</v>
      </c>
      <c r="Y9" s="1645">
        <v>20</v>
      </c>
      <c r="Z9" s="1645">
        <v>26.8</v>
      </c>
    </row>
    <row r="10" spans="1:26" x14ac:dyDescent="0.25">
      <c r="A10" s="306" t="s">
        <v>871</v>
      </c>
      <c r="B10" s="1637"/>
      <c r="C10" s="1638"/>
      <c r="D10" s="1639"/>
      <c r="E10" s="1639"/>
      <c r="F10" s="1639"/>
      <c r="G10" s="1639"/>
      <c r="H10" s="1639"/>
      <c r="I10" s="1639"/>
      <c r="J10" s="1639"/>
      <c r="K10" s="1097"/>
      <c r="L10" s="1097"/>
      <c r="M10" s="1097"/>
      <c r="N10" s="1097"/>
      <c r="O10" s="1097"/>
      <c r="P10" s="1097"/>
      <c r="Q10" s="1097"/>
      <c r="R10" s="1097"/>
      <c r="S10" s="1097"/>
      <c r="T10" s="1097"/>
      <c r="U10" s="1097"/>
      <c r="V10" s="1097"/>
      <c r="W10" s="1097"/>
      <c r="X10" s="1097"/>
      <c r="Y10" s="1097"/>
      <c r="Z10" s="1097"/>
    </row>
    <row r="11" spans="1:26" x14ac:dyDescent="0.25">
      <c r="A11" s="1640"/>
      <c r="B11" s="1637" t="s">
        <v>867</v>
      </c>
      <c r="C11" s="1638"/>
      <c r="D11" s="1639">
        <v>13.5</v>
      </c>
      <c r="E11" s="1639">
        <v>18.100000000000001</v>
      </c>
      <c r="F11" s="1639">
        <v>12.2</v>
      </c>
      <c r="G11" s="1639">
        <v>14.6</v>
      </c>
      <c r="H11" s="1639">
        <v>16.7</v>
      </c>
      <c r="I11" s="1639">
        <v>15.9</v>
      </c>
      <c r="J11" s="1639">
        <v>9.4</v>
      </c>
      <c r="K11" s="1097">
        <v>13.2</v>
      </c>
      <c r="L11" s="1097">
        <v>14.4</v>
      </c>
      <c r="M11" s="1097">
        <v>10.1</v>
      </c>
      <c r="N11" s="1097">
        <v>13.7</v>
      </c>
      <c r="O11" s="1097">
        <v>7.6</v>
      </c>
      <c r="P11" s="1097">
        <v>18.399999999999999</v>
      </c>
      <c r="Q11" s="1097">
        <v>10.1</v>
      </c>
      <c r="R11" s="1097">
        <v>6.9</v>
      </c>
      <c r="S11" s="1097">
        <v>10.6</v>
      </c>
      <c r="T11" s="1097">
        <v>9.9</v>
      </c>
      <c r="U11" s="1097">
        <v>7</v>
      </c>
      <c r="V11" s="1097">
        <v>8.1</v>
      </c>
      <c r="W11" s="1097">
        <v>9.14</v>
      </c>
      <c r="X11" s="1097">
        <v>6.5</v>
      </c>
      <c r="Y11" s="1097">
        <v>5.7</v>
      </c>
      <c r="Z11" s="1097"/>
    </row>
    <row r="12" spans="1:26" x14ac:dyDescent="0.25">
      <c r="A12" s="1640"/>
      <c r="B12" s="1637" t="s">
        <v>868</v>
      </c>
      <c r="C12" s="1638"/>
      <c r="D12" s="1639">
        <v>49.5</v>
      </c>
      <c r="E12" s="1639">
        <v>50.3</v>
      </c>
      <c r="F12" s="1639">
        <v>49.4</v>
      </c>
      <c r="G12" s="1639">
        <v>44.3</v>
      </c>
      <c r="H12" s="1639">
        <v>41</v>
      </c>
      <c r="I12" s="1639">
        <v>50</v>
      </c>
      <c r="J12" s="1639">
        <v>42.8</v>
      </c>
      <c r="K12" s="1097">
        <v>48.3</v>
      </c>
      <c r="L12" s="1097">
        <v>47.7</v>
      </c>
      <c r="M12" s="1097">
        <v>40.799999999999997</v>
      </c>
      <c r="N12" s="1097">
        <v>35.5</v>
      </c>
      <c r="O12" s="1097">
        <v>49.7</v>
      </c>
      <c r="P12" s="1097">
        <v>47.5</v>
      </c>
      <c r="Q12" s="1097">
        <v>49.1</v>
      </c>
      <c r="R12" s="1097">
        <v>46.5</v>
      </c>
      <c r="S12" s="1097">
        <v>50.6</v>
      </c>
      <c r="T12" s="1097">
        <v>46.4</v>
      </c>
      <c r="U12" s="1097">
        <v>50.9</v>
      </c>
      <c r="V12" s="1097">
        <v>51.1</v>
      </c>
      <c r="W12" s="1097">
        <v>56</v>
      </c>
      <c r="X12" s="1097">
        <v>50.5</v>
      </c>
      <c r="Y12" s="1097">
        <v>57.7</v>
      </c>
      <c r="Z12" s="1097"/>
    </row>
    <row r="13" spans="1:26" x14ac:dyDescent="0.25">
      <c r="A13" s="1640"/>
      <c r="B13" s="1637" t="s">
        <v>869</v>
      </c>
      <c r="C13" s="1638"/>
      <c r="D13" s="1639">
        <v>6.3</v>
      </c>
      <c r="E13" s="1639">
        <v>7</v>
      </c>
      <c r="F13" s="1639">
        <v>12.8</v>
      </c>
      <c r="G13" s="1639">
        <v>8.9</v>
      </c>
      <c r="H13" s="1639">
        <v>9</v>
      </c>
      <c r="I13" s="1639">
        <v>9.3000000000000007</v>
      </c>
      <c r="J13" s="1639">
        <v>6.5</v>
      </c>
      <c r="K13" s="1097">
        <v>10.9</v>
      </c>
      <c r="L13" s="1097">
        <v>9.8000000000000007</v>
      </c>
      <c r="M13" s="1097">
        <v>9.5</v>
      </c>
      <c r="N13" s="1097">
        <v>9.8000000000000007</v>
      </c>
      <c r="O13" s="1097">
        <v>15.2</v>
      </c>
      <c r="P13" s="1097">
        <v>8.9</v>
      </c>
      <c r="Q13" s="1097">
        <v>7.5</v>
      </c>
      <c r="R13" s="1097">
        <v>12.6</v>
      </c>
      <c r="S13" s="1097">
        <v>6.7</v>
      </c>
      <c r="T13" s="1097">
        <v>16.600000000000001</v>
      </c>
      <c r="U13" s="1097">
        <v>5.7</v>
      </c>
      <c r="V13" s="1097">
        <v>7</v>
      </c>
      <c r="W13" s="1097">
        <v>8</v>
      </c>
      <c r="X13" s="1097">
        <v>11.4</v>
      </c>
      <c r="Y13" s="1097">
        <v>8.6</v>
      </c>
      <c r="Z13" s="1097"/>
    </row>
    <row r="14" spans="1:26" x14ac:dyDescent="0.25">
      <c r="A14" s="1641"/>
      <c r="B14" s="1642" t="s">
        <v>870</v>
      </c>
      <c r="C14" s="1643"/>
      <c r="D14" s="1644">
        <v>30.7</v>
      </c>
      <c r="E14" s="1644">
        <v>24.6</v>
      </c>
      <c r="F14" s="1644">
        <v>25.6</v>
      </c>
      <c r="G14" s="1644">
        <v>32.299999999999997</v>
      </c>
      <c r="H14" s="1644">
        <v>33.299999999999997</v>
      </c>
      <c r="I14" s="1644">
        <v>24.7</v>
      </c>
      <c r="J14" s="1644">
        <v>41.3</v>
      </c>
      <c r="K14" s="1645">
        <v>27.6</v>
      </c>
      <c r="L14" s="1645">
        <v>28.1</v>
      </c>
      <c r="M14" s="1645">
        <v>39.6</v>
      </c>
      <c r="N14" s="1645">
        <v>41</v>
      </c>
      <c r="O14" s="1645">
        <v>27.5</v>
      </c>
      <c r="P14" s="1645">
        <v>25.2</v>
      </c>
      <c r="Q14" s="1645">
        <v>33.299999999999997</v>
      </c>
      <c r="R14" s="1645">
        <v>34</v>
      </c>
      <c r="S14" s="1645">
        <v>32.1</v>
      </c>
      <c r="T14" s="1645">
        <v>27.1</v>
      </c>
      <c r="U14" s="1645">
        <v>36.4</v>
      </c>
      <c r="V14" s="1645">
        <v>33.799999999999997</v>
      </c>
      <c r="W14" s="1645">
        <v>26.86</v>
      </c>
      <c r="X14" s="1645">
        <v>31.6</v>
      </c>
      <c r="Y14" s="1645">
        <v>28</v>
      </c>
      <c r="Z14" s="1645"/>
    </row>
    <row r="15" spans="1:26" x14ac:dyDescent="0.25">
      <c r="A15" s="306" t="s">
        <v>874</v>
      </c>
      <c r="B15" s="1637"/>
      <c r="C15" s="1638"/>
      <c r="D15" s="1639"/>
      <c r="E15" s="1639"/>
      <c r="F15" s="1639"/>
      <c r="G15" s="1639"/>
      <c r="H15" s="1639"/>
      <c r="I15" s="1639"/>
      <c r="J15" s="1639"/>
      <c r="K15" s="1097"/>
      <c r="L15" s="1097"/>
      <c r="M15" s="1097"/>
      <c r="N15" s="1097"/>
      <c r="O15" s="1097"/>
      <c r="P15" s="1097"/>
      <c r="Q15" s="1097"/>
      <c r="R15" s="1097"/>
      <c r="S15" s="1097"/>
      <c r="T15" s="1097"/>
      <c r="U15" s="1097"/>
      <c r="V15" s="1097"/>
      <c r="W15" s="1097"/>
      <c r="X15" s="1097"/>
      <c r="Y15" s="1097"/>
      <c r="Z15" s="1097"/>
    </row>
    <row r="16" spans="1:26" x14ac:dyDescent="0.25">
      <c r="A16" s="1640"/>
      <c r="B16" s="1637" t="s">
        <v>867</v>
      </c>
      <c r="C16" s="1638"/>
      <c r="D16" s="1639">
        <v>35.4</v>
      </c>
      <c r="E16" s="1639">
        <v>41.2</v>
      </c>
      <c r="F16" s="1639">
        <v>36.6</v>
      </c>
      <c r="G16" s="1639">
        <v>37.299999999999997</v>
      </c>
      <c r="H16" s="1639">
        <v>37.799999999999997</v>
      </c>
      <c r="I16" s="1639">
        <v>36.299999999999997</v>
      </c>
      <c r="J16" s="1639">
        <v>31.2</v>
      </c>
      <c r="K16" s="1097">
        <v>32.799999999999997</v>
      </c>
      <c r="L16" s="1097">
        <v>37.9</v>
      </c>
      <c r="M16" s="1097">
        <v>32</v>
      </c>
      <c r="N16" s="1097">
        <v>31.7</v>
      </c>
      <c r="O16" s="1097">
        <v>28.1</v>
      </c>
      <c r="P16" s="1097">
        <v>36.9</v>
      </c>
      <c r="Q16" s="1097">
        <v>27.7</v>
      </c>
      <c r="R16" s="1097">
        <v>23.3</v>
      </c>
      <c r="S16" s="1097">
        <v>32.200000000000003</v>
      </c>
      <c r="T16" s="1097">
        <v>26</v>
      </c>
      <c r="U16" s="1097">
        <v>25.3</v>
      </c>
      <c r="V16" s="1097">
        <v>27.42</v>
      </c>
      <c r="W16" s="1097">
        <v>36</v>
      </c>
      <c r="X16" s="1097">
        <v>28.8</v>
      </c>
      <c r="Y16" s="1097"/>
      <c r="Z16" s="1097"/>
    </row>
    <row r="17" spans="1:26" x14ac:dyDescent="0.25">
      <c r="A17" s="1640"/>
      <c r="B17" s="1637" t="s">
        <v>868</v>
      </c>
      <c r="C17" s="1638"/>
      <c r="D17" s="1639">
        <v>22.9</v>
      </c>
      <c r="E17" s="1639">
        <v>20.6</v>
      </c>
      <c r="F17" s="1639">
        <v>18.3</v>
      </c>
      <c r="G17" s="1639">
        <v>17.100000000000001</v>
      </c>
      <c r="H17" s="1639">
        <v>16</v>
      </c>
      <c r="I17" s="1639">
        <v>23.6</v>
      </c>
      <c r="J17" s="1639">
        <v>18.100000000000001</v>
      </c>
      <c r="K17" s="1097">
        <v>25.9</v>
      </c>
      <c r="L17" s="1097">
        <v>16.3</v>
      </c>
      <c r="M17" s="1097">
        <v>15.4</v>
      </c>
      <c r="N17" s="1097">
        <v>20.2</v>
      </c>
      <c r="O17" s="1097">
        <v>27.5</v>
      </c>
      <c r="P17" s="1097">
        <v>19.600000000000001</v>
      </c>
      <c r="Q17" s="1097">
        <v>30.8</v>
      </c>
      <c r="R17" s="1097">
        <v>24.5</v>
      </c>
      <c r="S17" s="1097">
        <v>23.3</v>
      </c>
      <c r="T17" s="1097">
        <v>22.7</v>
      </c>
      <c r="U17" s="1097">
        <v>27.1</v>
      </c>
      <c r="V17" s="1097">
        <v>27.96</v>
      </c>
      <c r="W17" s="1097">
        <v>26.9</v>
      </c>
      <c r="X17" s="1097">
        <v>23.4</v>
      </c>
      <c r="Y17" s="1097"/>
      <c r="Z17" s="1097"/>
    </row>
    <row r="18" spans="1:26" x14ac:dyDescent="0.25">
      <c r="A18" s="1640"/>
      <c r="B18" s="1637" t="s">
        <v>869</v>
      </c>
      <c r="C18" s="1638"/>
      <c r="D18" s="1639">
        <v>7.8</v>
      </c>
      <c r="E18" s="1639">
        <v>7.5</v>
      </c>
      <c r="F18" s="1639">
        <v>13.4</v>
      </c>
      <c r="G18" s="1639">
        <v>8.1999999999999993</v>
      </c>
      <c r="H18" s="1639">
        <v>9</v>
      </c>
      <c r="I18" s="1639">
        <v>9.3000000000000007</v>
      </c>
      <c r="J18" s="1639">
        <v>6.5</v>
      </c>
      <c r="K18" s="1097">
        <v>10.9</v>
      </c>
      <c r="L18" s="1097">
        <v>10.5</v>
      </c>
      <c r="M18" s="1097">
        <v>11.2</v>
      </c>
      <c r="N18" s="1097">
        <v>9.3000000000000007</v>
      </c>
      <c r="O18" s="1097">
        <v>15.8</v>
      </c>
      <c r="P18" s="1097">
        <v>11.3</v>
      </c>
      <c r="Q18" s="1097">
        <v>7.5</v>
      </c>
      <c r="R18" s="1097">
        <v>13.8</v>
      </c>
      <c r="S18" s="1097">
        <v>7.2</v>
      </c>
      <c r="T18" s="1097">
        <v>20.399999999999999</v>
      </c>
      <c r="U18" s="1097">
        <v>7.4</v>
      </c>
      <c r="V18" s="1097">
        <v>8.6</v>
      </c>
      <c r="W18" s="1097">
        <v>9.1</v>
      </c>
      <c r="X18" s="1097">
        <v>9.8000000000000007</v>
      </c>
      <c r="Y18" s="1097"/>
      <c r="Z18" s="1097"/>
    </row>
    <row r="19" spans="1:26" x14ac:dyDescent="0.25">
      <c r="A19" s="1641"/>
      <c r="B19" s="1642" t="s">
        <v>870</v>
      </c>
      <c r="C19" s="1643"/>
      <c r="D19" s="1644">
        <v>33.9</v>
      </c>
      <c r="E19" s="1644">
        <v>30.7</v>
      </c>
      <c r="F19" s="1644">
        <v>31.7</v>
      </c>
      <c r="G19" s="1644">
        <v>37.299999999999997</v>
      </c>
      <c r="H19" s="1644">
        <v>37.200000000000003</v>
      </c>
      <c r="I19" s="1644">
        <v>30.8</v>
      </c>
      <c r="J19" s="1644">
        <v>44.2</v>
      </c>
      <c r="K19" s="1645">
        <v>30.5</v>
      </c>
      <c r="L19" s="1645">
        <v>35.299999999999997</v>
      </c>
      <c r="M19" s="1645">
        <v>41.4</v>
      </c>
      <c r="N19" s="1645">
        <v>38.799999999999997</v>
      </c>
      <c r="O19" s="1645">
        <f>100-O18-O17-O16</f>
        <v>28.6</v>
      </c>
      <c r="P19" s="1645">
        <v>32.200000000000003</v>
      </c>
      <c r="Q19" s="1645">
        <v>34</v>
      </c>
      <c r="R19" s="1645">
        <v>38.4</v>
      </c>
      <c r="S19" s="1645">
        <v>37.299999999999997</v>
      </c>
      <c r="T19" s="1645">
        <v>30.9</v>
      </c>
      <c r="U19" s="1645">
        <v>40.200000000000003</v>
      </c>
      <c r="V19" s="1645">
        <v>36.020000000000003</v>
      </c>
      <c r="W19" s="1645">
        <v>28</v>
      </c>
      <c r="X19" s="1645">
        <v>38</v>
      </c>
      <c r="Y19" s="1645"/>
      <c r="Z19" s="1645"/>
    </row>
    <row r="20" spans="1:26" x14ac:dyDescent="0.25">
      <c r="A20" s="306" t="s">
        <v>891</v>
      </c>
      <c r="B20" s="1637"/>
      <c r="C20" s="1638"/>
      <c r="D20" s="1639"/>
      <c r="E20" s="1639"/>
      <c r="F20" s="1639"/>
      <c r="G20" s="1639"/>
      <c r="H20" s="1639"/>
      <c r="I20" s="1639"/>
      <c r="J20" s="1639"/>
      <c r="K20" s="1097"/>
      <c r="L20" s="1097"/>
      <c r="M20" s="1097"/>
      <c r="N20" s="1097"/>
      <c r="O20" s="1097"/>
      <c r="P20" s="1097"/>
      <c r="Q20" s="1097"/>
      <c r="R20" s="1097"/>
      <c r="S20" s="1097"/>
      <c r="T20" s="1097"/>
      <c r="U20" s="1097"/>
      <c r="V20" s="1097"/>
      <c r="W20" s="1097"/>
      <c r="X20" s="1097"/>
      <c r="Y20" s="1097"/>
      <c r="Z20" s="1097"/>
    </row>
    <row r="21" spans="1:26" x14ac:dyDescent="0.25">
      <c r="A21" s="1640"/>
      <c r="B21" s="1646" t="s">
        <v>867</v>
      </c>
      <c r="C21" s="1647"/>
      <c r="D21" s="309">
        <v>47.9</v>
      </c>
      <c r="E21" s="309">
        <v>52.8</v>
      </c>
      <c r="F21" s="309">
        <v>47</v>
      </c>
      <c r="G21" s="309">
        <v>45.6</v>
      </c>
      <c r="H21" s="309">
        <v>46.2</v>
      </c>
      <c r="I21" s="309">
        <v>54.4</v>
      </c>
      <c r="J21" s="309">
        <v>42</v>
      </c>
      <c r="K21" s="619">
        <v>48.3</v>
      </c>
      <c r="L21" s="619">
        <v>51</v>
      </c>
      <c r="M21" s="619">
        <v>46.7</v>
      </c>
      <c r="N21" s="619">
        <v>39.299999999999997</v>
      </c>
      <c r="O21" s="619">
        <v>43.9</v>
      </c>
      <c r="P21" s="619">
        <v>51.8</v>
      </c>
      <c r="Q21" s="619">
        <v>51.6</v>
      </c>
      <c r="R21" s="619">
        <v>37.1</v>
      </c>
      <c r="S21" s="619">
        <v>48.9</v>
      </c>
      <c r="T21" s="619">
        <v>41.4</v>
      </c>
      <c r="U21" s="619">
        <v>40.61</v>
      </c>
      <c r="V21" s="619">
        <v>46.8</v>
      </c>
      <c r="W21" s="619">
        <v>55.4</v>
      </c>
      <c r="X21" s="619"/>
      <c r="Y21" s="619"/>
      <c r="Z21" s="619"/>
    </row>
    <row r="22" spans="1:26" x14ac:dyDescent="0.25">
      <c r="A22" s="1640"/>
      <c r="B22" s="1637" t="s">
        <v>868</v>
      </c>
      <c r="C22" s="1638"/>
      <c r="D22" s="1639">
        <v>9.4</v>
      </c>
      <c r="E22" s="1639">
        <v>5.5</v>
      </c>
      <c r="F22" s="1639">
        <v>7.9</v>
      </c>
      <c r="G22" s="1639">
        <v>6.3</v>
      </c>
      <c r="H22" s="1639">
        <v>7.7</v>
      </c>
      <c r="I22" s="1639">
        <v>6</v>
      </c>
      <c r="J22" s="1639">
        <v>7.2</v>
      </c>
      <c r="K22" s="1097">
        <v>9.8000000000000007</v>
      </c>
      <c r="L22" s="1097">
        <v>4.5999999999999996</v>
      </c>
      <c r="M22" s="1097">
        <v>7.7</v>
      </c>
      <c r="N22" s="1097">
        <v>9.3000000000000007</v>
      </c>
      <c r="O22" s="1097">
        <v>9.4</v>
      </c>
      <c r="P22" s="1097">
        <v>4.8</v>
      </c>
      <c r="Q22" s="1097">
        <v>10.1</v>
      </c>
      <c r="R22" s="1097">
        <v>10.7</v>
      </c>
      <c r="S22" s="1097">
        <v>6.7</v>
      </c>
      <c r="T22" s="1097">
        <v>11.1</v>
      </c>
      <c r="U22" s="1097">
        <v>11.35</v>
      </c>
      <c r="V22" s="1097">
        <v>5.4</v>
      </c>
      <c r="W22" s="1097">
        <v>4.5999999999999996</v>
      </c>
      <c r="X22" s="1097"/>
      <c r="Y22" s="1097"/>
      <c r="Z22" s="1097"/>
    </row>
    <row r="23" spans="1:26" x14ac:dyDescent="0.25">
      <c r="A23" s="1640"/>
      <c r="B23" s="1637" t="s">
        <v>869</v>
      </c>
      <c r="C23" s="1638"/>
      <c r="D23" s="1639">
        <v>8.9</v>
      </c>
      <c r="E23" s="1639">
        <v>9.5</v>
      </c>
      <c r="F23" s="1639">
        <v>15.2</v>
      </c>
      <c r="G23" s="1639">
        <v>7.6</v>
      </c>
      <c r="H23" s="1639">
        <v>11.5</v>
      </c>
      <c r="I23" s="1639">
        <v>9.9</v>
      </c>
      <c r="J23" s="1639">
        <v>6.5</v>
      </c>
      <c r="K23" s="1097">
        <v>11.5</v>
      </c>
      <c r="L23" s="1097">
        <v>9.8000000000000007</v>
      </c>
      <c r="M23" s="1097">
        <v>11.2</v>
      </c>
      <c r="N23" s="1097">
        <v>9.3000000000000007</v>
      </c>
      <c r="O23" s="1097">
        <v>17.5</v>
      </c>
      <c r="P23" s="1097">
        <v>12.5</v>
      </c>
      <c r="Q23" s="1097">
        <v>7.5</v>
      </c>
      <c r="R23" s="1097">
        <v>14.5</v>
      </c>
      <c r="S23" s="1097">
        <v>7.8</v>
      </c>
      <c r="T23" s="1097">
        <v>13.3</v>
      </c>
      <c r="U23" s="1097">
        <v>10.48</v>
      </c>
      <c r="V23" s="1097">
        <v>9.1</v>
      </c>
      <c r="W23" s="1097">
        <v>9.1</v>
      </c>
      <c r="X23" s="1097"/>
      <c r="Y23" s="1097"/>
      <c r="Z23" s="1097"/>
    </row>
    <row r="24" spans="1:26" x14ac:dyDescent="0.25">
      <c r="A24" s="1641"/>
      <c r="B24" s="1642" t="s">
        <v>870</v>
      </c>
      <c r="C24" s="1643"/>
      <c r="D24" s="1644">
        <v>33.9</v>
      </c>
      <c r="E24" s="1644">
        <v>32.200000000000003</v>
      </c>
      <c r="F24" s="1644">
        <v>29.9</v>
      </c>
      <c r="G24" s="1644">
        <v>40.5</v>
      </c>
      <c r="H24" s="1644">
        <v>34.6</v>
      </c>
      <c r="I24" s="1644">
        <v>29.7</v>
      </c>
      <c r="J24" s="1644">
        <v>44.2</v>
      </c>
      <c r="K24" s="1645">
        <v>30.5</v>
      </c>
      <c r="L24" s="1645">
        <v>34.6</v>
      </c>
      <c r="M24" s="1645">
        <v>34.4</v>
      </c>
      <c r="N24" s="1645">
        <f>100-N23-N22-N21</f>
        <v>42.100000000000009</v>
      </c>
      <c r="O24" s="1645">
        <v>29.2</v>
      </c>
      <c r="P24" s="1645">
        <v>30.9</v>
      </c>
      <c r="Q24" s="1645">
        <v>30.8</v>
      </c>
      <c r="R24" s="1645">
        <v>37.700000000000003</v>
      </c>
      <c r="S24" s="1645">
        <v>36.6</v>
      </c>
      <c r="T24" s="1645">
        <v>34.200000000000003</v>
      </c>
      <c r="U24" s="1645">
        <v>37.56</v>
      </c>
      <c r="V24" s="1645">
        <v>38.700000000000003</v>
      </c>
      <c r="W24" s="1645">
        <v>30.9</v>
      </c>
      <c r="X24" s="1645"/>
      <c r="Y24" s="1645"/>
      <c r="Z24" s="1645"/>
    </row>
    <row r="25" spans="1:26" x14ac:dyDescent="0.25">
      <c r="A25" s="306" t="s">
        <v>892</v>
      </c>
      <c r="B25" s="1637"/>
      <c r="C25" s="1638"/>
      <c r="D25" s="1639"/>
      <c r="E25" s="1639"/>
      <c r="F25" s="1639"/>
      <c r="G25" s="1639"/>
      <c r="H25" s="1639"/>
      <c r="I25" s="1639"/>
      <c r="J25" s="1639"/>
      <c r="K25" s="1097"/>
      <c r="L25" s="1097"/>
      <c r="M25" s="1097"/>
      <c r="N25" s="1097"/>
      <c r="O25" s="1097"/>
      <c r="P25" s="1097"/>
      <c r="Q25" s="1097"/>
      <c r="R25" s="1097"/>
      <c r="S25" s="1097"/>
      <c r="T25" s="1097"/>
      <c r="U25" s="1097"/>
      <c r="V25" s="1097"/>
      <c r="W25" s="1097"/>
      <c r="X25" s="1097"/>
      <c r="Y25" s="1097"/>
      <c r="Z25" s="1097"/>
    </row>
    <row r="26" spans="1:26" x14ac:dyDescent="0.25">
      <c r="A26" s="1640"/>
      <c r="B26" s="1637" t="s">
        <v>867</v>
      </c>
      <c r="C26" s="1638"/>
      <c r="D26" s="1639">
        <v>52.1</v>
      </c>
      <c r="E26" s="1639">
        <v>56.8</v>
      </c>
      <c r="F26" s="1639">
        <v>49.4</v>
      </c>
      <c r="G26" s="1639">
        <v>49.4</v>
      </c>
      <c r="H26" s="1639">
        <v>50.6</v>
      </c>
      <c r="I26" s="1639">
        <v>56.6</v>
      </c>
      <c r="J26" s="1639">
        <v>46.4</v>
      </c>
      <c r="K26" s="1097">
        <v>54.6</v>
      </c>
      <c r="L26" s="1097">
        <v>53.3</v>
      </c>
      <c r="M26" s="1097">
        <v>50.3</v>
      </c>
      <c r="N26" s="1097">
        <v>43.2</v>
      </c>
      <c r="O26" s="1097">
        <v>49.7</v>
      </c>
      <c r="P26" s="1097">
        <v>54.8</v>
      </c>
      <c r="Q26" s="1097">
        <v>56.6</v>
      </c>
      <c r="R26" s="1097">
        <v>45.9</v>
      </c>
      <c r="S26" s="1097">
        <v>52.8</v>
      </c>
      <c r="T26" s="1097">
        <v>47.22</v>
      </c>
      <c r="U26" s="1097">
        <v>46.7</v>
      </c>
      <c r="V26" s="1097">
        <v>50</v>
      </c>
      <c r="W26" s="1097"/>
      <c r="X26" s="1097"/>
      <c r="Y26" s="1097"/>
      <c r="Z26" s="1097"/>
    </row>
    <row r="27" spans="1:26" x14ac:dyDescent="0.25">
      <c r="A27" s="1640"/>
      <c r="B27" s="1637" t="s">
        <v>868</v>
      </c>
      <c r="C27" s="1638"/>
      <c r="D27" s="1639">
        <v>5.7</v>
      </c>
      <c r="E27" s="1639">
        <v>2.5</v>
      </c>
      <c r="F27" s="1639">
        <v>3.7</v>
      </c>
      <c r="G27" s="1639">
        <v>2.5</v>
      </c>
      <c r="H27" s="1639">
        <v>3.8</v>
      </c>
      <c r="I27" s="1639">
        <v>6</v>
      </c>
      <c r="J27" s="1639">
        <v>2.2000000000000002</v>
      </c>
      <c r="K27" s="1097">
        <v>1.1000000000000001</v>
      </c>
      <c r="L27" s="1097">
        <v>2.6</v>
      </c>
      <c r="M27" s="1097">
        <v>7.3</v>
      </c>
      <c r="N27" s="1097">
        <v>4.4000000000000004</v>
      </c>
      <c r="O27" s="1097">
        <v>4.0999999999999996</v>
      </c>
      <c r="P27" s="1097">
        <v>2.4</v>
      </c>
      <c r="Q27" s="1097">
        <v>2.5</v>
      </c>
      <c r="R27" s="1097">
        <v>2.5</v>
      </c>
      <c r="S27" s="1097">
        <v>2.8</v>
      </c>
      <c r="T27" s="1097">
        <v>1.1100000000000001</v>
      </c>
      <c r="U27" s="1097">
        <v>2.2000000000000002</v>
      </c>
      <c r="V27" s="1097">
        <v>1.1000000000000001</v>
      </c>
      <c r="W27" s="1097"/>
      <c r="X27" s="1097"/>
      <c r="Y27" s="1097"/>
      <c r="Z27" s="1097"/>
    </row>
    <row r="28" spans="1:26" x14ac:dyDescent="0.25">
      <c r="A28" s="1640"/>
      <c r="B28" s="1637" t="s">
        <v>869</v>
      </c>
      <c r="C28" s="1638"/>
      <c r="D28" s="1639">
        <v>8.3000000000000007</v>
      </c>
      <c r="E28" s="1639">
        <v>8.5</v>
      </c>
      <c r="F28" s="1639">
        <v>15.2</v>
      </c>
      <c r="G28" s="1639">
        <v>7.6</v>
      </c>
      <c r="H28" s="1639">
        <v>11.5</v>
      </c>
      <c r="I28" s="1639">
        <v>9.9</v>
      </c>
      <c r="J28" s="1639">
        <v>6.5</v>
      </c>
      <c r="K28" s="1097">
        <v>12.6</v>
      </c>
      <c r="L28" s="1097">
        <v>10.5</v>
      </c>
      <c r="M28" s="1097">
        <v>11.8</v>
      </c>
      <c r="N28" s="1097">
        <v>9.3000000000000007</v>
      </c>
      <c r="O28" s="1097">
        <v>17.5</v>
      </c>
      <c r="P28" s="1097">
        <v>13.1</v>
      </c>
      <c r="Q28" s="1097">
        <v>8.1999999999999993</v>
      </c>
      <c r="R28" s="1097">
        <v>14.5</v>
      </c>
      <c r="S28" s="1097">
        <v>7.8</v>
      </c>
      <c r="T28" s="1097">
        <v>14.44</v>
      </c>
      <c r="U28" s="1097">
        <v>10.5</v>
      </c>
      <c r="V28" s="1097">
        <v>8.6</v>
      </c>
      <c r="W28" s="1097"/>
      <c r="X28" s="1097"/>
      <c r="Y28" s="1097"/>
      <c r="Z28" s="1097"/>
    </row>
    <row r="29" spans="1:26" x14ac:dyDescent="0.25">
      <c r="A29" s="1641"/>
      <c r="B29" s="1642" t="s">
        <v>870</v>
      </c>
      <c r="C29" s="1643"/>
      <c r="D29" s="1644">
        <v>33.9</v>
      </c>
      <c r="E29" s="1644">
        <v>32.200000000000003</v>
      </c>
      <c r="F29" s="1644">
        <v>31.7</v>
      </c>
      <c r="G29" s="1644">
        <v>40.5</v>
      </c>
      <c r="H29" s="1644">
        <v>34</v>
      </c>
      <c r="I29" s="1644">
        <v>27.5</v>
      </c>
      <c r="J29" s="1644">
        <v>44.9</v>
      </c>
      <c r="K29" s="1645">
        <v>31.6</v>
      </c>
      <c r="L29" s="1645">
        <v>33.6</v>
      </c>
      <c r="M29" s="1645">
        <v>30.6</v>
      </c>
      <c r="N29" s="1645">
        <v>43.1</v>
      </c>
      <c r="O29" s="1645">
        <v>28.7</v>
      </c>
      <c r="P29" s="1645">
        <v>29.7</v>
      </c>
      <c r="Q29" s="1645">
        <v>32.700000000000003</v>
      </c>
      <c r="R29" s="1645">
        <v>37.1</v>
      </c>
      <c r="S29" s="1645">
        <v>36.6</v>
      </c>
      <c r="T29" s="1645">
        <v>37.229999999999997</v>
      </c>
      <c r="U29" s="1645">
        <v>40.6</v>
      </c>
      <c r="V29" s="1645">
        <v>40.299999999999997</v>
      </c>
      <c r="W29" s="1645"/>
      <c r="X29" s="1645"/>
      <c r="Y29" s="1645"/>
      <c r="Z29" s="1645"/>
    </row>
    <row r="30" spans="1:26" x14ac:dyDescent="0.25">
      <c r="A30" s="306" t="s">
        <v>893</v>
      </c>
      <c r="B30" s="1637"/>
      <c r="C30" s="1638"/>
      <c r="D30" s="1639"/>
      <c r="E30" s="1639"/>
      <c r="F30" s="1639"/>
      <c r="G30" s="1639"/>
      <c r="H30" s="1639"/>
      <c r="I30" s="1639"/>
      <c r="J30" s="1097"/>
      <c r="K30" s="1097"/>
      <c r="L30" s="1097"/>
      <c r="M30" s="1097"/>
      <c r="N30" s="1097"/>
      <c r="O30" s="1097"/>
      <c r="P30" s="1097"/>
      <c r="Q30" s="1097"/>
      <c r="R30" s="1097"/>
      <c r="S30" s="1097"/>
      <c r="T30" s="1097"/>
      <c r="U30" s="1097"/>
      <c r="V30" s="1097"/>
      <c r="W30" s="1097"/>
      <c r="X30" s="1097"/>
      <c r="Y30" s="1097"/>
      <c r="Z30" s="1097"/>
    </row>
    <row r="31" spans="1:26" x14ac:dyDescent="0.25">
      <c r="A31" s="1640"/>
      <c r="B31" s="1646" t="s">
        <v>867</v>
      </c>
      <c r="C31" s="1647"/>
      <c r="D31" s="309">
        <v>55.7</v>
      </c>
      <c r="E31" s="309">
        <v>58.8</v>
      </c>
      <c r="F31" s="309">
        <v>50.6</v>
      </c>
      <c r="G31" s="309">
        <v>50.6</v>
      </c>
      <c r="H31" s="309">
        <v>51.9</v>
      </c>
      <c r="I31" s="310">
        <v>61</v>
      </c>
      <c r="J31" s="619">
        <v>47.1</v>
      </c>
      <c r="K31" s="619">
        <v>54.6</v>
      </c>
      <c r="L31" s="619">
        <v>53.3</v>
      </c>
      <c r="M31" s="619">
        <v>50.9</v>
      </c>
      <c r="N31" s="619">
        <v>44.8</v>
      </c>
      <c r="O31" s="619">
        <v>53.8</v>
      </c>
      <c r="P31" s="619">
        <v>56</v>
      </c>
      <c r="Q31" s="619">
        <v>57.9</v>
      </c>
      <c r="R31" s="619">
        <v>46.5</v>
      </c>
      <c r="S31" s="619">
        <v>56.12</v>
      </c>
      <c r="T31" s="619">
        <v>48.6</v>
      </c>
      <c r="U31" s="619">
        <v>48.9</v>
      </c>
      <c r="V31" s="619"/>
      <c r="W31" s="619"/>
      <c r="X31" s="619"/>
      <c r="Y31" s="619"/>
      <c r="Z31" s="619"/>
    </row>
    <row r="32" spans="1:26" x14ac:dyDescent="0.25">
      <c r="A32" s="1640"/>
      <c r="B32" s="1637" t="s">
        <v>868</v>
      </c>
      <c r="C32" s="1638"/>
      <c r="D32" s="1639">
        <v>1.6</v>
      </c>
      <c r="E32" s="1639">
        <v>1</v>
      </c>
      <c r="F32" s="1639">
        <v>2.4</v>
      </c>
      <c r="G32" s="1639">
        <v>1.3</v>
      </c>
      <c r="H32" s="1639">
        <v>1.9</v>
      </c>
      <c r="I32" s="1639">
        <v>1.6</v>
      </c>
      <c r="J32" s="1097">
        <v>2.2000000000000002</v>
      </c>
      <c r="K32" s="1097">
        <v>2.2999999999999998</v>
      </c>
      <c r="L32" s="1097">
        <v>2</v>
      </c>
      <c r="M32" s="1097">
        <v>4.4000000000000004</v>
      </c>
      <c r="N32" s="1097">
        <v>1.6</v>
      </c>
      <c r="O32" s="1097">
        <v>1.8</v>
      </c>
      <c r="P32" s="1097">
        <v>1.2</v>
      </c>
      <c r="Q32" s="1097">
        <v>0.6</v>
      </c>
      <c r="R32" s="1097">
        <v>1.9</v>
      </c>
      <c r="S32" s="1097">
        <v>0.72</v>
      </c>
      <c r="T32" s="1097">
        <v>1.7</v>
      </c>
      <c r="U32" s="1097">
        <v>0.4</v>
      </c>
      <c r="V32" s="1097"/>
      <c r="W32" s="1097"/>
      <c r="X32" s="1097"/>
      <c r="Y32" s="1097"/>
      <c r="Z32" s="1097"/>
    </row>
    <row r="33" spans="1:26" x14ac:dyDescent="0.25">
      <c r="A33" s="1640"/>
      <c r="B33" s="1637" t="s">
        <v>869</v>
      </c>
      <c r="C33" s="1638"/>
      <c r="D33" s="1639">
        <v>8.3000000000000007</v>
      </c>
      <c r="E33" s="1639">
        <v>8.5</v>
      </c>
      <c r="F33" s="1639">
        <v>15.2</v>
      </c>
      <c r="G33" s="1639">
        <v>7.6</v>
      </c>
      <c r="H33" s="1639">
        <v>11.5</v>
      </c>
      <c r="I33" s="1639">
        <v>9.9</v>
      </c>
      <c r="J33" s="1097">
        <v>6.5</v>
      </c>
      <c r="K33" s="1097">
        <v>13.2</v>
      </c>
      <c r="L33" s="1097">
        <v>10.5</v>
      </c>
      <c r="M33" s="1097">
        <v>11.8</v>
      </c>
      <c r="N33" s="1097">
        <v>9.3000000000000007</v>
      </c>
      <c r="O33" s="1097">
        <v>17.5</v>
      </c>
      <c r="P33" s="1097">
        <v>13.1</v>
      </c>
      <c r="Q33" s="1097">
        <v>8.1999999999999993</v>
      </c>
      <c r="R33" s="1097">
        <v>15.1</v>
      </c>
      <c r="S33" s="1097">
        <v>7.91</v>
      </c>
      <c r="T33" s="1097">
        <v>13.8</v>
      </c>
      <c r="U33" s="1097">
        <v>10</v>
      </c>
      <c r="V33" s="1097"/>
      <c r="W33" s="1097"/>
      <c r="X33" s="1097"/>
      <c r="Y33" s="1097"/>
      <c r="Z33" s="1097"/>
    </row>
    <row r="34" spans="1:26" x14ac:dyDescent="0.25">
      <c r="A34" s="1641"/>
      <c r="B34" s="1642" t="s">
        <v>870</v>
      </c>
      <c r="C34" s="1643"/>
      <c r="D34" s="1644">
        <v>34.4</v>
      </c>
      <c r="E34" s="1644">
        <v>31.7</v>
      </c>
      <c r="F34" s="1644">
        <v>31.7</v>
      </c>
      <c r="G34" s="1644">
        <v>40.5</v>
      </c>
      <c r="H34" s="1644">
        <v>34.6</v>
      </c>
      <c r="I34" s="1644">
        <v>27.5</v>
      </c>
      <c r="J34" s="1645">
        <v>44.2</v>
      </c>
      <c r="K34" s="1645">
        <v>29.9</v>
      </c>
      <c r="L34" s="1645">
        <f>100-L33-L32-L31</f>
        <v>34.200000000000003</v>
      </c>
      <c r="M34" s="1645">
        <v>32.9</v>
      </c>
      <c r="N34" s="1645">
        <f>100-N31-N32-N33</f>
        <v>44.3</v>
      </c>
      <c r="O34" s="1645">
        <v>26.9</v>
      </c>
      <c r="P34" s="1645">
        <v>29.7</v>
      </c>
      <c r="Q34" s="1645">
        <v>33.299999999999997</v>
      </c>
      <c r="R34" s="1645">
        <v>36.5</v>
      </c>
      <c r="S34" s="1645">
        <v>35.25</v>
      </c>
      <c r="T34" s="1645">
        <v>35.9</v>
      </c>
      <c r="U34" s="1645">
        <v>40.700000000000003</v>
      </c>
      <c r="V34" s="1645"/>
      <c r="W34" s="1645"/>
      <c r="X34" s="1645"/>
      <c r="Y34" s="1645"/>
      <c r="Z34" s="1645"/>
    </row>
    <row r="35" spans="1:26" x14ac:dyDescent="0.25">
      <c r="A35" s="1648" t="s">
        <v>894</v>
      </c>
      <c r="D35" s="1096"/>
      <c r="E35" s="1096"/>
      <c r="G35" s="1096"/>
      <c r="H35" s="1096"/>
      <c r="M35" s="1649"/>
      <c r="N35" s="1649"/>
      <c r="O35" s="1649"/>
      <c r="P35" s="1649"/>
      <c r="Q35" s="1650"/>
      <c r="R35" s="1649"/>
      <c r="S35" s="1649"/>
      <c r="T35" s="1650"/>
      <c r="U35" s="2287"/>
      <c r="V35" s="2287"/>
      <c r="W35" s="2287"/>
      <c r="X35" s="2287"/>
      <c r="Y35" s="2287"/>
      <c r="Z35" s="2287"/>
    </row>
    <row r="36" spans="1:26" x14ac:dyDescent="0.25">
      <c r="F36" s="1096"/>
      <c r="M36" s="1649"/>
      <c r="N36" s="1649"/>
      <c r="O36" s="1649"/>
      <c r="P36" s="1649"/>
      <c r="Q36" s="1649"/>
      <c r="R36" s="1649"/>
      <c r="S36" s="1649"/>
      <c r="T36" s="1649"/>
      <c r="U36" s="1649"/>
      <c r="V36" s="1649"/>
      <c r="W36" s="1649"/>
      <c r="X36" s="1649"/>
      <c r="Y36" s="1649"/>
      <c r="Z36" s="1649"/>
    </row>
    <row r="38" spans="1:26" x14ac:dyDescent="0.25">
      <c r="U38" s="1096"/>
      <c r="V38" s="1096"/>
    </row>
  </sheetData>
  <mergeCells count="5">
    <mergeCell ref="A3:C3"/>
    <mergeCell ref="A4:C4"/>
    <mergeCell ref="A1:Z1"/>
    <mergeCell ref="A2:Z2"/>
    <mergeCell ref="D3:Z3"/>
  </mergeCells>
  <printOptions horizontalCentered="1" verticalCentered="1"/>
  <pageMargins left="0.25" right="0.25" top="1" bottom="1" header="0.5" footer="0.5"/>
  <pageSetup scale="73" orientation="landscape" r:id="rId1"/>
  <headerFooter alignWithMargins="0">
    <oddFooter>&amp;RSource: Office of Institutional Research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R42"/>
  <sheetViews>
    <sheetView workbookViewId="0">
      <selection sqref="A1:K1"/>
    </sheetView>
  </sheetViews>
  <sheetFormatPr defaultColWidth="6.6640625" defaultRowHeight="13.2" x14ac:dyDescent="0.25"/>
  <cols>
    <col min="1" max="1" width="6.6640625" style="1" customWidth="1"/>
    <col min="2" max="2" width="13.44140625" style="1" customWidth="1"/>
    <col min="3" max="3" width="8.109375" style="1" customWidth="1"/>
    <col min="4" max="4" width="6.88671875" style="1" customWidth="1"/>
    <col min="5" max="6" width="8.109375" style="1" customWidth="1"/>
    <col min="7" max="7" width="6.88671875" style="1" customWidth="1"/>
    <col min="8" max="9" width="8.109375" style="1" customWidth="1"/>
    <col min="10" max="10" width="6.88671875" style="1" customWidth="1"/>
    <col min="11" max="11" width="8.6640625" style="1" customWidth="1"/>
    <col min="12" max="12" width="6.6640625" style="1" customWidth="1"/>
    <col min="13" max="16" width="9.109375" style="1" customWidth="1"/>
    <col min="17" max="16384" width="6.6640625" style="1"/>
  </cols>
  <sheetData>
    <row r="1" spans="1:18" ht="17.399999999999999" x14ac:dyDescent="0.3">
      <c r="A1" s="2117" t="s">
        <v>852</v>
      </c>
      <c r="B1" s="2117"/>
      <c r="C1" s="2117"/>
      <c r="D1" s="2117"/>
      <c r="E1" s="2117"/>
      <c r="F1" s="2117"/>
      <c r="G1" s="2117"/>
      <c r="H1" s="2117"/>
      <c r="I1" s="2117"/>
      <c r="J1" s="2117"/>
      <c r="K1" s="2117"/>
      <c r="M1" s="8"/>
      <c r="N1" s="8"/>
      <c r="O1" s="8"/>
      <c r="P1" s="8"/>
    </row>
    <row r="2" spans="1:18" x14ac:dyDescent="0.25">
      <c r="M2" s="8"/>
      <c r="N2" s="8"/>
      <c r="O2" s="8"/>
      <c r="P2" s="8"/>
    </row>
    <row r="3" spans="1:18" ht="15" customHeight="1" x14ac:dyDescent="0.25">
      <c r="A3" s="68"/>
      <c r="B3" s="69" t="s">
        <v>833</v>
      </c>
      <c r="C3" s="70" t="s">
        <v>853</v>
      </c>
      <c r="D3" s="71"/>
      <c r="E3" s="72"/>
      <c r="F3" s="71" t="s">
        <v>854</v>
      </c>
      <c r="G3" s="71"/>
      <c r="H3" s="72"/>
      <c r="I3" s="71" t="s">
        <v>855</v>
      </c>
      <c r="J3" s="71"/>
      <c r="K3" s="72"/>
      <c r="M3" s="8"/>
      <c r="N3" s="8"/>
      <c r="O3" s="8"/>
      <c r="P3" s="70" t="s">
        <v>855</v>
      </c>
      <c r="Q3" s="71"/>
      <c r="R3" s="72"/>
    </row>
    <row r="4" spans="1:18" ht="26.4" x14ac:dyDescent="0.25">
      <c r="A4" s="73" t="s">
        <v>825</v>
      </c>
      <c r="B4" s="74" t="s">
        <v>856</v>
      </c>
      <c r="C4" s="75" t="s">
        <v>857</v>
      </c>
      <c r="D4" s="75" t="s">
        <v>858</v>
      </c>
      <c r="E4" s="76" t="s">
        <v>859</v>
      </c>
      <c r="F4" s="75" t="s">
        <v>857</v>
      </c>
      <c r="G4" s="75" t="s">
        <v>858</v>
      </c>
      <c r="H4" s="76" t="s">
        <v>859</v>
      </c>
      <c r="I4" s="75" t="s">
        <v>857</v>
      </c>
      <c r="J4" s="75" t="s">
        <v>858</v>
      </c>
      <c r="K4" s="76" t="s">
        <v>860</v>
      </c>
      <c r="M4" s="8"/>
      <c r="N4" s="8"/>
      <c r="O4" s="77"/>
      <c r="P4" s="78" t="s">
        <v>857</v>
      </c>
      <c r="Q4" s="75" t="s">
        <v>858</v>
      </c>
      <c r="R4" s="76" t="s">
        <v>860</v>
      </c>
    </row>
    <row r="5" spans="1:18" x14ac:dyDescent="0.25">
      <c r="A5" s="356"/>
      <c r="B5" s="380" t="s">
        <v>831</v>
      </c>
      <c r="C5" s="332"/>
      <c r="D5" s="332" t="s">
        <v>831</v>
      </c>
      <c r="E5" s="333" t="s">
        <v>831</v>
      </c>
      <c r="F5" s="332"/>
      <c r="G5" s="332"/>
      <c r="H5" s="333"/>
      <c r="I5" s="332"/>
      <c r="J5" s="332"/>
      <c r="K5" s="333"/>
      <c r="M5" s="8"/>
      <c r="N5" s="8"/>
      <c r="O5" s="79"/>
      <c r="P5" s="80"/>
      <c r="Q5" s="80"/>
      <c r="R5" s="81"/>
    </row>
    <row r="6" spans="1:18" x14ac:dyDescent="0.25">
      <c r="A6" s="20">
        <v>1991</v>
      </c>
      <c r="B6" s="82">
        <v>443</v>
      </c>
      <c r="C6" s="19">
        <v>410</v>
      </c>
      <c r="D6" s="19">
        <v>395</v>
      </c>
      <c r="E6" s="83">
        <v>422</v>
      </c>
      <c r="F6" s="19">
        <v>453</v>
      </c>
      <c r="G6" s="19">
        <v>437</v>
      </c>
      <c r="H6" s="83">
        <v>474</v>
      </c>
      <c r="I6" s="19">
        <f>C6+F6</f>
        <v>863</v>
      </c>
      <c r="J6" s="19">
        <v>832</v>
      </c>
      <c r="K6" s="83">
        <v>896</v>
      </c>
      <c r="M6" s="8"/>
      <c r="N6" s="8"/>
      <c r="O6" s="84">
        <v>1991</v>
      </c>
      <c r="P6" s="85">
        <v>863</v>
      </c>
      <c r="Q6" s="85">
        <v>832</v>
      </c>
      <c r="R6" s="86">
        <v>896</v>
      </c>
    </row>
    <row r="7" spans="1:18" x14ac:dyDescent="0.25">
      <c r="A7" s="356"/>
      <c r="B7" s="380" t="s">
        <v>831</v>
      </c>
      <c r="C7" s="332"/>
      <c r="D7" s="332" t="s">
        <v>831</v>
      </c>
      <c r="E7" s="333" t="s">
        <v>831</v>
      </c>
      <c r="F7" s="332"/>
      <c r="G7" s="332"/>
      <c r="H7" s="333"/>
      <c r="I7" s="332"/>
      <c r="J7" s="332"/>
      <c r="K7" s="333"/>
      <c r="M7" s="8"/>
      <c r="N7" s="8"/>
      <c r="O7" s="79"/>
      <c r="P7" s="87"/>
      <c r="Q7" s="87"/>
      <c r="R7" s="88"/>
    </row>
    <row r="8" spans="1:18" x14ac:dyDescent="0.25">
      <c r="A8" s="20">
        <f>A6+1</f>
        <v>1992</v>
      </c>
      <c r="B8" s="82">
        <v>416</v>
      </c>
      <c r="C8" s="19">
        <v>408</v>
      </c>
      <c r="D8" s="19">
        <v>384</v>
      </c>
      <c r="E8" s="83">
        <v>423</v>
      </c>
      <c r="F8" s="19">
        <v>450</v>
      </c>
      <c r="G8" s="19">
        <v>437</v>
      </c>
      <c r="H8" s="83">
        <v>476</v>
      </c>
      <c r="I8" s="19">
        <f>C8+F8</f>
        <v>858</v>
      </c>
      <c r="J8" s="19">
        <v>831</v>
      </c>
      <c r="K8" s="83">
        <v>899</v>
      </c>
      <c r="M8" s="8"/>
      <c r="N8" s="8"/>
      <c r="O8" s="84">
        <f>O6+1</f>
        <v>1992</v>
      </c>
      <c r="P8" s="85">
        <v>858</v>
      </c>
      <c r="Q8" s="85">
        <v>831</v>
      </c>
      <c r="R8" s="86">
        <v>899</v>
      </c>
    </row>
    <row r="9" spans="1:18" x14ac:dyDescent="0.25">
      <c r="A9" s="356"/>
      <c r="B9" s="380" t="s">
        <v>831</v>
      </c>
      <c r="C9" s="332"/>
      <c r="D9" s="332" t="s">
        <v>831</v>
      </c>
      <c r="E9" s="333" t="s">
        <v>831</v>
      </c>
      <c r="F9" s="332"/>
      <c r="G9" s="332"/>
      <c r="H9" s="333"/>
      <c r="I9" s="332"/>
      <c r="J9" s="332"/>
      <c r="K9" s="333"/>
      <c r="M9" s="8"/>
      <c r="N9" s="8"/>
      <c r="O9" s="79"/>
      <c r="P9" s="87"/>
      <c r="Q9" s="87"/>
      <c r="R9" s="88"/>
    </row>
    <row r="10" spans="1:18" x14ac:dyDescent="0.25">
      <c r="A10" s="20">
        <f>A8+1</f>
        <v>1993</v>
      </c>
      <c r="B10" s="82">
        <v>507</v>
      </c>
      <c r="C10" s="19">
        <v>406</v>
      </c>
      <c r="D10" s="19">
        <v>396</v>
      </c>
      <c r="E10" s="83">
        <v>424</v>
      </c>
      <c r="F10" s="19">
        <v>455</v>
      </c>
      <c r="G10" s="19">
        <v>442</v>
      </c>
      <c r="H10" s="83">
        <v>478</v>
      </c>
      <c r="I10" s="19">
        <f>C10+F10</f>
        <v>861</v>
      </c>
      <c r="J10" s="19">
        <v>838</v>
      </c>
      <c r="K10" s="83">
        <v>902</v>
      </c>
      <c r="M10" s="8"/>
      <c r="N10" s="8"/>
      <c r="O10" s="84">
        <f>O8+1</f>
        <v>1993</v>
      </c>
      <c r="P10" s="85">
        <v>861</v>
      </c>
      <c r="Q10" s="85">
        <v>838</v>
      </c>
      <c r="R10" s="86">
        <v>902</v>
      </c>
    </row>
    <row r="11" spans="1:18" x14ac:dyDescent="0.25">
      <c r="A11" s="356"/>
      <c r="B11" s="380" t="s">
        <v>831</v>
      </c>
      <c r="C11" s="332"/>
      <c r="D11" s="332" t="s">
        <v>831</v>
      </c>
      <c r="E11" s="333" t="s">
        <v>831</v>
      </c>
      <c r="F11" s="332"/>
      <c r="G11" s="332"/>
      <c r="H11" s="333"/>
      <c r="I11" s="332"/>
      <c r="J11" s="332"/>
      <c r="K11" s="333"/>
      <c r="M11" s="8"/>
      <c r="N11" s="8"/>
      <c r="O11" s="79"/>
      <c r="P11" s="87"/>
      <c r="Q11" s="87"/>
      <c r="R11" s="88"/>
    </row>
    <row r="12" spans="1:18" x14ac:dyDescent="0.25">
      <c r="A12" s="20">
        <f>A10+1</f>
        <v>1994</v>
      </c>
      <c r="B12" s="82">
        <v>494</v>
      </c>
      <c r="C12" s="19">
        <v>420</v>
      </c>
      <c r="D12" s="19">
        <v>395</v>
      </c>
      <c r="E12" s="83">
        <v>423</v>
      </c>
      <c r="F12" s="19">
        <v>467</v>
      </c>
      <c r="G12" s="19">
        <v>443</v>
      </c>
      <c r="H12" s="83">
        <v>479</v>
      </c>
      <c r="I12" s="19">
        <f>C12+F12</f>
        <v>887</v>
      </c>
      <c r="J12" s="19">
        <f>D12+G12</f>
        <v>838</v>
      </c>
      <c r="K12" s="83">
        <f>E12+H12</f>
        <v>902</v>
      </c>
      <c r="M12" s="8"/>
      <c r="N12" s="8"/>
      <c r="O12" s="84">
        <f>O10+1</f>
        <v>1994</v>
      </c>
      <c r="P12" s="85">
        <v>887</v>
      </c>
      <c r="Q12" s="85">
        <v>838</v>
      </c>
      <c r="R12" s="86">
        <v>902</v>
      </c>
    </row>
    <row r="13" spans="1:18" x14ac:dyDescent="0.25">
      <c r="A13" s="356"/>
      <c r="B13" s="380" t="s">
        <v>831</v>
      </c>
      <c r="C13" s="332"/>
      <c r="D13" s="332" t="s">
        <v>831</v>
      </c>
      <c r="E13" s="333" t="s">
        <v>831</v>
      </c>
      <c r="F13" s="332"/>
      <c r="G13" s="332"/>
      <c r="H13" s="333"/>
      <c r="I13" s="332"/>
      <c r="J13" s="332"/>
      <c r="K13" s="333"/>
      <c r="M13" s="8"/>
      <c r="N13" s="8"/>
      <c r="O13" s="79"/>
      <c r="P13" s="87"/>
      <c r="Q13" s="87"/>
      <c r="R13" s="88"/>
    </row>
    <row r="14" spans="1:18" x14ac:dyDescent="0.25">
      <c r="A14" s="20">
        <f>A12+1</f>
        <v>1995</v>
      </c>
      <c r="B14" s="82">
        <v>494</v>
      </c>
      <c r="C14" s="19">
        <v>442</v>
      </c>
      <c r="D14" s="19">
        <v>401</v>
      </c>
      <c r="E14" s="83">
        <v>428</v>
      </c>
      <c r="F14" s="19">
        <v>480</v>
      </c>
      <c r="G14" s="19">
        <v>443</v>
      </c>
      <c r="H14" s="83">
        <v>482</v>
      </c>
      <c r="I14" s="19">
        <v>922</v>
      </c>
      <c r="J14" s="19">
        <v>844</v>
      </c>
      <c r="K14" s="83">
        <v>910</v>
      </c>
      <c r="M14" s="8"/>
      <c r="N14" s="8"/>
      <c r="O14" s="84">
        <v>1995</v>
      </c>
      <c r="P14" s="85">
        <v>922</v>
      </c>
      <c r="Q14" s="85">
        <v>844</v>
      </c>
      <c r="R14" s="86">
        <v>910</v>
      </c>
    </row>
    <row r="15" spans="1:18" x14ac:dyDescent="0.25">
      <c r="M15" s="8"/>
      <c r="N15" s="8"/>
      <c r="O15" s="8"/>
      <c r="P15" s="89"/>
      <c r="Q15" s="4"/>
      <c r="R15" s="4"/>
    </row>
    <row r="16" spans="1:18" x14ac:dyDescent="0.25">
      <c r="M16" s="8"/>
      <c r="N16" s="8"/>
      <c r="O16" s="8"/>
      <c r="P16" s="8"/>
    </row>
    <row r="17" spans="13:16" x14ac:dyDescent="0.25">
      <c r="M17" s="8"/>
      <c r="N17" s="8"/>
      <c r="O17" s="8"/>
      <c r="P17" s="8"/>
    </row>
    <row r="18" spans="13:16" x14ac:dyDescent="0.25">
      <c r="M18" s="8"/>
      <c r="N18" s="8"/>
      <c r="O18" s="8"/>
      <c r="P18" s="8"/>
    </row>
    <row r="19" spans="13:16" x14ac:dyDescent="0.25">
      <c r="M19" s="8"/>
      <c r="N19" s="8"/>
      <c r="O19" s="8"/>
      <c r="P19" s="8"/>
    </row>
    <row r="20" spans="13:16" x14ac:dyDescent="0.25">
      <c r="M20" s="8"/>
      <c r="N20" s="8"/>
      <c r="O20" s="8"/>
      <c r="P20" s="8"/>
    </row>
    <row r="21" spans="13:16" x14ac:dyDescent="0.25">
      <c r="M21" s="8"/>
      <c r="N21" s="8"/>
      <c r="O21" s="8"/>
      <c r="P21" s="8"/>
    </row>
    <row r="22" spans="13:16" x14ac:dyDescent="0.25">
      <c r="M22" s="8"/>
      <c r="N22" s="8"/>
      <c r="O22" s="8"/>
      <c r="P22" s="8"/>
    </row>
    <row r="23" spans="13:16" x14ac:dyDescent="0.25">
      <c r="M23" s="8"/>
      <c r="N23" s="8"/>
      <c r="O23" s="8"/>
      <c r="P23" s="8"/>
    </row>
    <row r="24" spans="13:16" x14ac:dyDescent="0.25">
      <c r="M24" s="8"/>
      <c r="N24" s="8"/>
      <c r="O24" s="8"/>
      <c r="P24" s="8"/>
    </row>
    <row r="25" spans="13:16" x14ac:dyDescent="0.25">
      <c r="M25" s="8"/>
      <c r="N25" s="8"/>
      <c r="O25" s="8"/>
      <c r="P25" s="8"/>
    </row>
    <row r="26" spans="13:16" x14ac:dyDescent="0.25">
      <c r="M26" s="8"/>
      <c r="N26" s="8"/>
      <c r="O26" s="8"/>
      <c r="P26" s="8"/>
    </row>
    <row r="27" spans="13:16" x14ac:dyDescent="0.25">
      <c r="M27" s="8"/>
      <c r="N27" s="8"/>
      <c r="O27" s="8"/>
      <c r="P27" s="8"/>
    </row>
    <row r="28" spans="13:16" x14ac:dyDescent="0.25">
      <c r="M28" s="8"/>
      <c r="N28" s="8"/>
      <c r="O28" s="8"/>
      <c r="P28" s="8"/>
    </row>
    <row r="29" spans="13:16" x14ac:dyDescent="0.25">
      <c r="M29" s="8"/>
      <c r="N29" s="8"/>
      <c r="O29" s="8"/>
      <c r="P29" s="8"/>
    </row>
    <row r="30" spans="13:16" x14ac:dyDescent="0.25">
      <c r="M30" s="8"/>
      <c r="N30" s="8"/>
      <c r="O30" s="8"/>
      <c r="P30" s="8"/>
    </row>
    <row r="31" spans="13:16" x14ac:dyDescent="0.25">
      <c r="M31" s="8"/>
      <c r="N31" s="8"/>
      <c r="O31" s="8"/>
      <c r="P31" s="8"/>
    </row>
    <row r="32" spans="13:16" x14ac:dyDescent="0.25">
      <c r="M32" s="8"/>
      <c r="N32" s="8"/>
      <c r="O32" s="8"/>
      <c r="P32" s="8"/>
    </row>
    <row r="33" spans="1:16" x14ac:dyDescent="0.25">
      <c r="M33" s="8"/>
      <c r="N33" s="8"/>
      <c r="O33" s="8"/>
      <c r="P33" s="8"/>
    </row>
    <row r="34" spans="1:16" x14ac:dyDescent="0.25">
      <c r="M34" s="8"/>
      <c r="N34" s="8"/>
      <c r="O34" s="8"/>
      <c r="P34" s="8"/>
    </row>
    <row r="35" spans="1:16" x14ac:dyDescent="0.25">
      <c r="A35" s="1" t="s">
        <v>831</v>
      </c>
      <c r="B35" s="1" t="s">
        <v>831</v>
      </c>
      <c r="M35" s="8"/>
      <c r="N35" s="8"/>
      <c r="O35" s="8"/>
      <c r="P35" s="8"/>
    </row>
    <row r="36" spans="1:16" x14ac:dyDescent="0.25">
      <c r="A36" s="1" t="s">
        <v>831</v>
      </c>
      <c r="B36" s="1" t="s">
        <v>831</v>
      </c>
      <c r="M36" s="8"/>
      <c r="N36" s="8"/>
      <c r="O36" s="8"/>
      <c r="P36" s="8"/>
    </row>
    <row r="37" spans="1:16" x14ac:dyDescent="0.25">
      <c r="M37" s="8"/>
      <c r="N37" s="8"/>
      <c r="O37" s="8"/>
      <c r="P37" s="8"/>
    </row>
    <row r="38" spans="1:16" x14ac:dyDescent="0.25">
      <c r="M38" s="8"/>
      <c r="N38" s="8"/>
      <c r="O38" s="8"/>
      <c r="P38" s="8"/>
    </row>
    <row r="39" spans="1:16" x14ac:dyDescent="0.25">
      <c r="M39" s="8"/>
      <c r="N39" s="8"/>
      <c r="O39" s="8"/>
      <c r="P39" s="8"/>
    </row>
    <row r="40" spans="1:16" x14ac:dyDescent="0.25">
      <c r="M40" s="8"/>
      <c r="N40" s="8"/>
      <c r="O40" s="8"/>
      <c r="P40" s="8"/>
    </row>
    <row r="41" spans="1:16" x14ac:dyDescent="0.25">
      <c r="M41" s="8"/>
      <c r="N41" s="8"/>
      <c r="O41" s="8"/>
      <c r="P41" s="8"/>
    </row>
    <row r="42" spans="1:16" x14ac:dyDescent="0.25">
      <c r="M42" s="8"/>
      <c r="N42" s="8"/>
      <c r="O42" s="8"/>
      <c r="P42" s="8"/>
    </row>
  </sheetData>
  <mergeCells count="1">
    <mergeCell ref="A1:K1"/>
  </mergeCells>
  <phoneticPr fontId="16" type="noConversion"/>
  <printOptions horizontalCentered="1" verticalCentered="1"/>
  <pageMargins left="0.5" right="0.5" top="0.5" bottom="0.5" header="0.5" footer="0.5"/>
  <pageSetup scale="96" orientation="portrait" r:id="rId1"/>
  <headerFooter alignWithMargins="0">
    <oddFooter xml:space="preserve">&amp;LSource: Office of Admissions&amp;C &amp;R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S56"/>
  <sheetViews>
    <sheetView workbookViewId="0">
      <selection sqref="A1:K1"/>
    </sheetView>
  </sheetViews>
  <sheetFormatPr defaultColWidth="6.6640625" defaultRowHeight="13.2" x14ac:dyDescent="0.25"/>
  <cols>
    <col min="1" max="1" width="7.6640625" style="1" customWidth="1"/>
    <col min="2" max="2" width="13.44140625" style="1" customWidth="1"/>
    <col min="3" max="3" width="8.109375" style="1" customWidth="1"/>
    <col min="4" max="4" width="6.88671875" style="1" customWidth="1"/>
    <col min="5" max="6" width="8.109375" style="1" customWidth="1"/>
    <col min="7" max="7" width="6.88671875" style="1" customWidth="1"/>
    <col min="8" max="9" width="8.109375" style="1" customWidth="1"/>
    <col min="10" max="10" width="6.88671875" style="1" customWidth="1"/>
    <col min="11" max="11" width="8.6640625" style="1" customWidth="1"/>
    <col min="12" max="12" width="6.6640625" style="1" customWidth="1"/>
    <col min="13" max="13" width="9.109375" style="1" customWidth="1"/>
    <col min="14" max="16" width="9.109375" style="1251" customWidth="1"/>
    <col min="17" max="17" width="8.44140625" style="1251" customWidth="1"/>
    <col min="18" max="18" width="6.6640625" style="1251"/>
    <col min="19" max="16384" width="6.6640625" style="1"/>
  </cols>
  <sheetData>
    <row r="1" spans="1:19" ht="17.399999999999999" x14ac:dyDescent="0.3">
      <c r="A1" s="2117" t="s">
        <v>1736</v>
      </c>
      <c r="B1" s="2117"/>
      <c r="C1" s="2117"/>
      <c r="D1" s="2117"/>
      <c r="E1" s="2117"/>
      <c r="F1" s="2117"/>
      <c r="G1" s="2117"/>
      <c r="H1" s="2117"/>
      <c r="I1" s="2117"/>
      <c r="J1" s="2117"/>
      <c r="K1" s="2117"/>
      <c r="M1" s="8"/>
    </row>
    <row r="2" spans="1:19" x14ac:dyDescent="0.25">
      <c r="M2" s="1406"/>
      <c r="S2" s="1251"/>
    </row>
    <row r="3" spans="1:19" ht="15" customHeight="1" x14ac:dyDescent="0.25">
      <c r="A3" s="68"/>
      <c r="B3" s="90" t="s">
        <v>833</v>
      </c>
      <c r="C3" s="71" t="s">
        <v>853</v>
      </c>
      <c r="D3" s="71"/>
      <c r="E3" s="72"/>
      <c r="F3" s="71" t="s">
        <v>854</v>
      </c>
      <c r="G3" s="71"/>
      <c r="H3" s="72"/>
      <c r="I3" s="71" t="s">
        <v>855</v>
      </c>
      <c r="J3" s="71"/>
      <c r="K3" s="72"/>
      <c r="M3" s="1406"/>
      <c r="N3" s="1252"/>
      <c r="O3" s="1253" t="s">
        <v>855</v>
      </c>
      <c r="P3" s="1253"/>
      <c r="Q3" s="1253"/>
      <c r="R3" s="1252"/>
      <c r="S3" s="1251"/>
    </row>
    <row r="4" spans="1:19" ht="26.4" x14ac:dyDescent="0.25">
      <c r="A4" s="73" t="s">
        <v>825</v>
      </c>
      <c r="B4" s="74" t="s">
        <v>856</v>
      </c>
      <c r="C4" s="75" t="s">
        <v>857</v>
      </c>
      <c r="D4" s="75" t="s">
        <v>858</v>
      </c>
      <c r="E4" s="76" t="s">
        <v>859</v>
      </c>
      <c r="F4" s="75" t="s">
        <v>857</v>
      </c>
      <c r="G4" s="75" t="s">
        <v>858</v>
      </c>
      <c r="H4" s="76" t="s">
        <v>859</v>
      </c>
      <c r="I4" s="75" t="s">
        <v>857</v>
      </c>
      <c r="J4" s="75" t="s">
        <v>858</v>
      </c>
      <c r="K4" s="76" t="s">
        <v>860</v>
      </c>
      <c r="M4" s="1406"/>
      <c r="N4" s="1254"/>
      <c r="O4" s="1255" t="s">
        <v>857</v>
      </c>
      <c r="P4" s="1255" t="s">
        <v>858</v>
      </c>
      <c r="Q4" s="1255" t="s">
        <v>860</v>
      </c>
      <c r="R4" s="1252"/>
      <c r="S4" s="1251"/>
    </row>
    <row r="5" spans="1:19" x14ac:dyDescent="0.25">
      <c r="A5" s="356"/>
      <c r="B5" s="380" t="s">
        <v>831</v>
      </c>
      <c r="C5" s="332"/>
      <c r="D5" s="332" t="s">
        <v>831</v>
      </c>
      <c r="E5" s="333" t="s">
        <v>831</v>
      </c>
      <c r="F5" s="332"/>
      <c r="G5" s="332"/>
      <c r="H5" s="333"/>
      <c r="I5" s="332"/>
      <c r="J5" s="332"/>
      <c r="K5" s="333"/>
      <c r="M5" s="1406"/>
      <c r="N5" s="1856"/>
      <c r="O5" s="1857"/>
      <c r="P5" s="1857"/>
      <c r="Q5" s="1857"/>
      <c r="R5" s="1856"/>
      <c r="S5" s="1251"/>
    </row>
    <row r="6" spans="1:19" x14ac:dyDescent="0.25">
      <c r="A6" s="20">
        <v>1996</v>
      </c>
      <c r="B6" s="541">
        <v>451</v>
      </c>
      <c r="C6" s="19">
        <v>497</v>
      </c>
      <c r="D6" s="19">
        <v>480</v>
      </c>
      <c r="E6" s="83">
        <v>505</v>
      </c>
      <c r="F6" s="19">
        <v>490</v>
      </c>
      <c r="G6" s="19">
        <v>474</v>
      </c>
      <c r="H6" s="83">
        <v>508</v>
      </c>
      <c r="I6" s="19">
        <v>987</v>
      </c>
      <c r="J6" s="19">
        <v>954</v>
      </c>
      <c r="K6" s="83">
        <v>1013</v>
      </c>
      <c r="M6" s="1406"/>
      <c r="N6" s="1856">
        <v>1996</v>
      </c>
      <c r="O6" s="1857">
        <f>+I6</f>
        <v>987</v>
      </c>
      <c r="P6" s="1857">
        <f>+J6</f>
        <v>954</v>
      </c>
      <c r="Q6" s="1857">
        <f>+K6</f>
        <v>1013</v>
      </c>
      <c r="R6" s="1856"/>
      <c r="S6" s="1251"/>
    </row>
    <row r="7" spans="1:19" x14ac:dyDescent="0.25">
      <c r="A7" s="356"/>
      <c r="B7" s="380" t="s">
        <v>831</v>
      </c>
      <c r="C7" s="332"/>
      <c r="D7" s="332" t="s">
        <v>831</v>
      </c>
      <c r="E7" s="333" t="s">
        <v>831</v>
      </c>
      <c r="F7" s="332"/>
      <c r="G7" s="332"/>
      <c r="H7" s="333"/>
      <c r="I7" s="332"/>
      <c r="J7" s="332"/>
      <c r="K7" s="333"/>
      <c r="M7" s="1406"/>
      <c r="N7" s="1856"/>
      <c r="O7" s="1857"/>
      <c r="P7" s="1857"/>
      <c r="Q7" s="1857"/>
      <c r="R7" s="1856"/>
      <c r="S7" s="1251"/>
    </row>
    <row r="8" spans="1:19" x14ac:dyDescent="0.25">
      <c r="A8" s="20">
        <v>1997</v>
      </c>
      <c r="B8" s="82">
        <v>454</v>
      </c>
      <c r="C8" s="19">
        <v>493</v>
      </c>
      <c r="D8" s="19">
        <v>479</v>
      </c>
      <c r="E8" s="83">
        <v>505</v>
      </c>
      <c r="F8" s="19">
        <v>490</v>
      </c>
      <c r="G8" s="19">
        <v>474</v>
      </c>
      <c r="H8" s="83">
        <v>511</v>
      </c>
      <c r="I8" s="19">
        <f>C8+F8</f>
        <v>983</v>
      </c>
      <c r="J8" s="19">
        <f>SUM(G8,D8)</f>
        <v>953</v>
      </c>
      <c r="K8" s="83">
        <v>1016</v>
      </c>
      <c r="M8" s="1406"/>
      <c r="N8" s="1856">
        <v>1997</v>
      </c>
      <c r="O8" s="1857">
        <f>I8</f>
        <v>983</v>
      </c>
      <c r="P8" s="1857">
        <f>J8</f>
        <v>953</v>
      </c>
      <c r="Q8" s="1857">
        <f>K8</f>
        <v>1016</v>
      </c>
      <c r="R8" s="1856"/>
      <c r="S8" s="1251"/>
    </row>
    <row r="9" spans="1:19" x14ac:dyDescent="0.25">
      <c r="A9" s="356"/>
      <c r="B9" s="380"/>
      <c r="C9" s="332"/>
      <c r="D9" s="332"/>
      <c r="E9" s="333"/>
      <c r="F9" s="332"/>
      <c r="G9" s="332"/>
      <c r="H9" s="333"/>
      <c r="I9" s="332"/>
      <c r="J9" s="332"/>
      <c r="K9" s="333"/>
      <c r="M9" s="1406"/>
      <c r="N9" s="1856"/>
      <c r="O9" s="1857"/>
      <c r="P9" s="1857"/>
      <c r="Q9" s="1857"/>
      <c r="R9" s="1856"/>
      <c r="S9" s="1251"/>
    </row>
    <row r="10" spans="1:19" x14ac:dyDescent="0.25">
      <c r="A10" s="20">
        <v>1998</v>
      </c>
      <c r="B10" s="82">
        <v>491</v>
      </c>
      <c r="C10" s="19">
        <v>488</v>
      </c>
      <c r="D10" s="19">
        <v>478</v>
      </c>
      <c r="E10" s="83">
        <v>505</v>
      </c>
      <c r="F10" s="19">
        <v>483</v>
      </c>
      <c r="G10" s="19">
        <v>473</v>
      </c>
      <c r="H10" s="83">
        <v>512</v>
      </c>
      <c r="I10" s="19">
        <f>+C10+F10</f>
        <v>971</v>
      </c>
      <c r="J10" s="19">
        <f>SUM(G10,D10)</f>
        <v>951</v>
      </c>
      <c r="K10" s="83">
        <v>1017</v>
      </c>
      <c r="M10" s="1406"/>
      <c r="N10" s="1856">
        <v>1998</v>
      </c>
      <c r="O10" s="1857">
        <f>I10</f>
        <v>971</v>
      </c>
      <c r="P10" s="1857">
        <f>J10</f>
        <v>951</v>
      </c>
      <c r="Q10" s="1857">
        <f>K10</f>
        <v>1017</v>
      </c>
      <c r="R10" s="1856"/>
      <c r="S10" s="1251"/>
    </row>
    <row r="11" spans="1:19" x14ac:dyDescent="0.25">
      <c r="A11" s="356"/>
      <c r="B11" s="380"/>
      <c r="C11" s="332"/>
      <c r="D11" s="332"/>
      <c r="E11" s="333"/>
      <c r="F11" s="332"/>
      <c r="G11" s="332"/>
      <c r="H11" s="333"/>
      <c r="I11" s="332"/>
      <c r="J11" s="332"/>
      <c r="K11" s="333"/>
      <c r="M11" s="1406"/>
      <c r="N11" s="1856"/>
      <c r="O11" s="1857"/>
      <c r="P11" s="1857"/>
      <c r="Q11" s="1857"/>
      <c r="R11" s="1856"/>
      <c r="S11" s="1251"/>
    </row>
    <row r="12" spans="1:19" x14ac:dyDescent="0.25">
      <c r="A12" s="20">
        <v>1999</v>
      </c>
      <c r="B12" s="82">
        <v>497</v>
      </c>
      <c r="C12" s="19">
        <v>488</v>
      </c>
      <c r="D12" s="19">
        <v>479</v>
      </c>
      <c r="E12" s="83">
        <v>505</v>
      </c>
      <c r="F12" s="19">
        <v>489</v>
      </c>
      <c r="G12" s="19">
        <v>475</v>
      </c>
      <c r="H12" s="83">
        <v>511</v>
      </c>
      <c r="I12" s="19">
        <f>+C12+F12</f>
        <v>977</v>
      </c>
      <c r="J12" s="19">
        <f>SUM(G12,D12)</f>
        <v>954</v>
      </c>
      <c r="K12" s="83">
        <v>1016</v>
      </c>
      <c r="M12" s="1406"/>
      <c r="N12" s="1856">
        <v>1999</v>
      </c>
      <c r="O12" s="1857">
        <f>I12</f>
        <v>977</v>
      </c>
      <c r="P12" s="1857">
        <f>J12</f>
        <v>954</v>
      </c>
      <c r="Q12" s="1857">
        <f>K12</f>
        <v>1016</v>
      </c>
      <c r="R12" s="1856"/>
      <c r="S12" s="1251"/>
    </row>
    <row r="13" spans="1:19" x14ac:dyDescent="0.25">
      <c r="A13" s="356"/>
      <c r="B13" s="380"/>
      <c r="C13" s="332"/>
      <c r="D13" s="332"/>
      <c r="E13" s="333"/>
      <c r="F13" s="332"/>
      <c r="G13" s="332"/>
      <c r="H13" s="333"/>
      <c r="I13" s="332"/>
      <c r="J13" s="332"/>
      <c r="K13" s="333"/>
      <c r="M13" s="1406"/>
      <c r="N13" s="1856"/>
      <c r="O13" s="1857"/>
      <c r="P13" s="1857"/>
      <c r="Q13" s="1857"/>
      <c r="R13" s="1856"/>
      <c r="S13" s="1251"/>
    </row>
    <row r="14" spans="1:19" x14ac:dyDescent="0.25">
      <c r="A14" s="20">
        <v>2000</v>
      </c>
      <c r="B14" s="82">
        <v>515</v>
      </c>
      <c r="C14" s="19">
        <v>497</v>
      </c>
      <c r="D14" s="19">
        <v>484</v>
      </c>
      <c r="E14" s="83">
        <v>505</v>
      </c>
      <c r="F14" s="19">
        <v>499</v>
      </c>
      <c r="G14" s="19">
        <v>482</v>
      </c>
      <c r="H14" s="83">
        <v>514</v>
      </c>
      <c r="I14" s="19">
        <f>+C14+F14</f>
        <v>996</v>
      </c>
      <c r="J14" s="19">
        <f>SUM(G14,D14)</f>
        <v>966</v>
      </c>
      <c r="K14" s="83">
        <v>1019</v>
      </c>
      <c r="M14" s="1406"/>
      <c r="N14" s="1856">
        <v>2000</v>
      </c>
      <c r="O14" s="1857">
        <f>I14</f>
        <v>996</v>
      </c>
      <c r="P14" s="1857">
        <f>J14</f>
        <v>966</v>
      </c>
      <c r="Q14" s="1857">
        <f>K14</f>
        <v>1019</v>
      </c>
      <c r="R14" s="1856"/>
      <c r="S14" s="1251"/>
    </row>
    <row r="15" spans="1:19" x14ac:dyDescent="0.25">
      <c r="A15" s="356"/>
      <c r="B15" s="380"/>
      <c r="C15" s="332"/>
      <c r="D15" s="332"/>
      <c r="E15" s="333"/>
      <c r="F15" s="332"/>
      <c r="G15" s="332"/>
      <c r="H15" s="333"/>
      <c r="I15" s="332"/>
      <c r="J15" s="332"/>
      <c r="K15" s="333"/>
      <c r="M15" s="1406"/>
      <c r="N15" s="1856"/>
      <c r="O15" s="1857"/>
      <c r="P15" s="1857"/>
      <c r="Q15" s="1857"/>
      <c r="R15" s="1856"/>
      <c r="S15" s="1251"/>
    </row>
    <row r="16" spans="1:19" x14ac:dyDescent="0.25">
      <c r="A16" s="20">
        <v>2001</v>
      </c>
      <c r="B16" s="82">
        <v>489</v>
      </c>
      <c r="C16" s="19">
        <v>494</v>
      </c>
      <c r="D16" s="19">
        <v>486</v>
      </c>
      <c r="E16" s="83">
        <v>506</v>
      </c>
      <c r="F16" s="19">
        <v>502</v>
      </c>
      <c r="G16" s="19">
        <v>488</v>
      </c>
      <c r="H16" s="83">
        <v>514</v>
      </c>
      <c r="I16" s="19">
        <f>+C16+F16</f>
        <v>996</v>
      </c>
      <c r="J16" s="19">
        <f>SUM(G16,D16)</f>
        <v>974</v>
      </c>
      <c r="K16" s="83">
        <v>1020</v>
      </c>
      <c r="M16" s="1406"/>
      <c r="N16" s="1856">
        <v>2001</v>
      </c>
      <c r="O16" s="1857">
        <f>I16</f>
        <v>996</v>
      </c>
      <c r="P16" s="1857">
        <f>J16</f>
        <v>974</v>
      </c>
      <c r="Q16" s="1857">
        <f>K16</f>
        <v>1020</v>
      </c>
      <c r="R16" s="1856"/>
      <c r="S16" s="1251"/>
    </row>
    <row r="17" spans="1:19" x14ac:dyDescent="0.25">
      <c r="A17" s="356"/>
      <c r="B17" s="380"/>
      <c r="C17" s="332"/>
      <c r="D17" s="332"/>
      <c r="E17" s="333"/>
      <c r="F17" s="332"/>
      <c r="G17" s="332"/>
      <c r="H17" s="333"/>
      <c r="I17" s="332"/>
      <c r="J17" s="332"/>
      <c r="K17" s="333"/>
      <c r="M17" s="1406"/>
      <c r="N17" s="1856"/>
      <c r="O17" s="1857"/>
      <c r="P17" s="1857"/>
      <c r="Q17" s="1857"/>
      <c r="R17" s="1856"/>
      <c r="S17" s="1251"/>
    </row>
    <row r="18" spans="1:19" x14ac:dyDescent="0.25">
      <c r="A18" s="20">
        <v>2002</v>
      </c>
      <c r="B18" s="82">
        <v>529</v>
      </c>
      <c r="C18" s="19">
        <v>484</v>
      </c>
      <c r="D18" s="19">
        <v>488</v>
      </c>
      <c r="E18" s="83">
        <v>504</v>
      </c>
      <c r="F18" s="19">
        <v>492</v>
      </c>
      <c r="G18" s="19">
        <v>493</v>
      </c>
      <c r="H18" s="83">
        <v>516</v>
      </c>
      <c r="I18" s="19">
        <f>+C18+F18</f>
        <v>976</v>
      </c>
      <c r="J18" s="19">
        <f>SUM(G18,D18)</f>
        <v>981</v>
      </c>
      <c r="K18" s="83">
        <v>1020</v>
      </c>
      <c r="M18" s="1406"/>
      <c r="N18" s="1856">
        <v>2002</v>
      </c>
      <c r="O18" s="1857">
        <f>I18</f>
        <v>976</v>
      </c>
      <c r="P18" s="1857">
        <f>J18</f>
        <v>981</v>
      </c>
      <c r="Q18" s="1857">
        <f>K18</f>
        <v>1020</v>
      </c>
      <c r="R18" s="1856"/>
      <c r="S18" s="1251"/>
    </row>
    <row r="19" spans="1:19" x14ac:dyDescent="0.25">
      <c r="A19" s="356"/>
      <c r="B19" s="380"/>
      <c r="C19" s="332"/>
      <c r="D19" s="332"/>
      <c r="E19" s="333"/>
      <c r="F19" s="332"/>
      <c r="G19" s="332"/>
      <c r="H19" s="333"/>
      <c r="I19" s="332"/>
      <c r="J19" s="332"/>
      <c r="K19" s="333"/>
      <c r="M19" s="1406"/>
      <c r="N19" s="1856"/>
      <c r="O19" s="1857"/>
      <c r="P19" s="1857"/>
      <c r="Q19" s="1857"/>
      <c r="R19" s="1856"/>
      <c r="S19" s="1251"/>
    </row>
    <row r="20" spans="1:19" x14ac:dyDescent="0.25">
      <c r="A20" s="20">
        <v>2003</v>
      </c>
      <c r="B20" s="82">
        <v>547</v>
      </c>
      <c r="C20" s="19">
        <v>491</v>
      </c>
      <c r="D20" s="19">
        <v>493</v>
      </c>
      <c r="E20" s="83">
        <v>507</v>
      </c>
      <c r="F20" s="19">
        <v>501</v>
      </c>
      <c r="G20" s="19">
        <v>496</v>
      </c>
      <c r="H20" s="83">
        <v>519</v>
      </c>
      <c r="I20" s="19">
        <f>+C20+F20</f>
        <v>992</v>
      </c>
      <c r="J20" s="19">
        <f>SUM(G20,D20)</f>
        <v>989</v>
      </c>
      <c r="K20" s="83">
        <v>1026</v>
      </c>
      <c r="M20" s="1406"/>
      <c r="N20" s="1856">
        <v>2003</v>
      </c>
      <c r="O20" s="1857">
        <f>I20</f>
        <v>992</v>
      </c>
      <c r="P20" s="1857">
        <f>J20</f>
        <v>989</v>
      </c>
      <c r="Q20" s="1857">
        <f>K20</f>
        <v>1026</v>
      </c>
      <c r="R20" s="1856"/>
      <c r="S20" s="1251"/>
    </row>
    <row r="21" spans="1:19" x14ac:dyDescent="0.25">
      <c r="A21" s="356"/>
      <c r="B21" s="380"/>
      <c r="C21" s="332"/>
      <c r="D21" s="332"/>
      <c r="E21" s="333"/>
      <c r="F21" s="332"/>
      <c r="G21" s="332"/>
      <c r="H21" s="333"/>
      <c r="I21" s="332"/>
      <c r="J21" s="332"/>
      <c r="K21" s="333"/>
      <c r="M21" s="1406"/>
      <c r="N21" s="1856"/>
      <c r="O21" s="1857"/>
      <c r="P21" s="1857"/>
      <c r="Q21" s="1857"/>
      <c r="R21" s="1856"/>
      <c r="S21" s="1251"/>
    </row>
    <row r="22" spans="1:19" x14ac:dyDescent="0.25">
      <c r="A22" s="20">
        <v>2004</v>
      </c>
      <c r="B22" s="82">
        <v>655</v>
      </c>
      <c r="C22" s="19">
        <v>483</v>
      </c>
      <c r="D22" s="19">
        <v>491</v>
      </c>
      <c r="E22" s="83">
        <v>508</v>
      </c>
      <c r="F22" s="19">
        <v>491</v>
      </c>
      <c r="G22" s="19">
        <v>495</v>
      </c>
      <c r="H22" s="83">
        <v>518</v>
      </c>
      <c r="I22" s="19">
        <f>+C22+F22</f>
        <v>974</v>
      </c>
      <c r="J22" s="19">
        <f>SUM(G22,D22)</f>
        <v>986</v>
      </c>
      <c r="K22" s="83">
        <v>1026</v>
      </c>
      <c r="M22" s="1406"/>
      <c r="N22" s="1856">
        <v>2004</v>
      </c>
      <c r="O22" s="1857">
        <f>I22</f>
        <v>974</v>
      </c>
      <c r="P22" s="1857">
        <f>J22</f>
        <v>986</v>
      </c>
      <c r="Q22" s="1857">
        <f>K22</f>
        <v>1026</v>
      </c>
      <c r="R22" s="1856"/>
      <c r="S22" s="1251"/>
    </row>
    <row r="23" spans="1:19" x14ac:dyDescent="0.25">
      <c r="A23" s="356"/>
      <c r="B23" s="380"/>
      <c r="C23" s="332"/>
      <c r="D23" s="332"/>
      <c r="E23" s="333"/>
      <c r="F23" s="332"/>
      <c r="G23" s="332"/>
      <c r="H23" s="333"/>
      <c r="I23" s="332"/>
      <c r="J23" s="332"/>
      <c r="K23" s="333"/>
      <c r="M23" s="1406"/>
      <c r="N23" s="1856"/>
      <c r="O23" s="1857"/>
      <c r="P23" s="1857"/>
      <c r="Q23" s="1857"/>
      <c r="R23" s="1856"/>
      <c r="S23" s="1251"/>
    </row>
    <row r="24" spans="1:19" x14ac:dyDescent="0.25">
      <c r="A24" s="20">
        <v>2005</v>
      </c>
      <c r="B24" s="82">
        <v>577</v>
      </c>
      <c r="C24" s="19">
        <v>480</v>
      </c>
      <c r="D24" s="19">
        <v>494</v>
      </c>
      <c r="E24" s="83">
        <v>508</v>
      </c>
      <c r="F24" s="19">
        <v>494</v>
      </c>
      <c r="G24" s="19">
        <v>499</v>
      </c>
      <c r="H24" s="83">
        <v>520</v>
      </c>
      <c r="I24" s="19">
        <f>+C24+F24</f>
        <v>974</v>
      </c>
      <c r="J24" s="19">
        <f>SUM(G24,D24)</f>
        <v>993</v>
      </c>
      <c r="K24" s="83">
        <f>+H24+E24</f>
        <v>1028</v>
      </c>
      <c r="M24" s="1406"/>
      <c r="N24" s="1856">
        <v>2005</v>
      </c>
      <c r="O24" s="1857">
        <f>I24</f>
        <v>974</v>
      </c>
      <c r="P24" s="1857">
        <f>J24</f>
        <v>993</v>
      </c>
      <c r="Q24" s="1857">
        <f>K24</f>
        <v>1028</v>
      </c>
      <c r="R24" s="1856"/>
      <c r="S24" s="1251"/>
    </row>
    <row r="25" spans="1:19" x14ac:dyDescent="0.25">
      <c r="A25" s="356"/>
      <c r="B25" s="380"/>
      <c r="C25" s="332"/>
      <c r="D25" s="332"/>
      <c r="E25" s="333"/>
      <c r="F25" s="332"/>
      <c r="G25" s="332"/>
      <c r="H25" s="333"/>
      <c r="I25" s="332"/>
      <c r="J25" s="332"/>
      <c r="K25" s="333"/>
      <c r="M25" s="1406"/>
      <c r="N25" s="1856"/>
      <c r="O25" s="1857"/>
      <c r="P25" s="1857"/>
      <c r="Q25" s="1857"/>
      <c r="R25" s="1856"/>
      <c r="S25" s="1251"/>
    </row>
    <row r="26" spans="1:19" x14ac:dyDescent="0.25">
      <c r="A26" s="20">
        <v>2006</v>
      </c>
      <c r="B26" s="82">
        <v>580</v>
      </c>
      <c r="C26" s="19">
        <v>477</v>
      </c>
      <c r="D26" s="19">
        <v>487</v>
      </c>
      <c r="E26" s="83">
        <v>503</v>
      </c>
      <c r="F26" s="19">
        <v>491</v>
      </c>
      <c r="G26" s="19">
        <v>498</v>
      </c>
      <c r="H26" s="83">
        <v>518</v>
      </c>
      <c r="I26" s="19">
        <f>+C26+F26</f>
        <v>968</v>
      </c>
      <c r="J26" s="19">
        <f>SUM(G26,D26)</f>
        <v>985</v>
      </c>
      <c r="K26" s="83">
        <f>+H26+E26</f>
        <v>1021</v>
      </c>
      <c r="M26" s="1406"/>
      <c r="N26" s="1856">
        <v>2006</v>
      </c>
      <c r="O26" s="1857">
        <f>I26</f>
        <v>968</v>
      </c>
      <c r="P26" s="1857">
        <f>J26</f>
        <v>985</v>
      </c>
      <c r="Q26" s="1857">
        <f>K26</f>
        <v>1021</v>
      </c>
      <c r="R26" s="1856"/>
      <c r="S26" s="1251"/>
    </row>
    <row r="27" spans="1:19" x14ac:dyDescent="0.25">
      <c r="A27" s="356"/>
      <c r="B27" s="380"/>
      <c r="C27" s="332"/>
      <c r="D27" s="332"/>
      <c r="E27" s="333"/>
      <c r="F27" s="332"/>
      <c r="G27" s="332"/>
      <c r="H27" s="333"/>
      <c r="I27" s="332"/>
      <c r="J27" s="332"/>
      <c r="K27" s="333"/>
      <c r="M27" s="1406"/>
      <c r="N27" s="1856"/>
      <c r="O27" s="1857"/>
      <c r="P27" s="1857"/>
      <c r="Q27" s="1857"/>
      <c r="R27" s="1856"/>
      <c r="S27" s="1251"/>
    </row>
    <row r="28" spans="1:19" x14ac:dyDescent="0.25">
      <c r="A28" s="748">
        <v>2007</v>
      </c>
      <c r="B28" s="749">
        <v>433</v>
      </c>
      <c r="C28" s="750">
        <v>484</v>
      </c>
      <c r="D28" s="750">
        <v>488</v>
      </c>
      <c r="E28" s="751">
        <v>502</v>
      </c>
      <c r="F28" s="750">
        <v>510</v>
      </c>
      <c r="G28" s="750">
        <v>496</v>
      </c>
      <c r="H28" s="751">
        <v>515</v>
      </c>
      <c r="I28" s="750">
        <v>994</v>
      </c>
      <c r="J28" s="750">
        <f>SUM(G28,D28)</f>
        <v>984</v>
      </c>
      <c r="K28" s="751">
        <f>+H28+E28</f>
        <v>1017</v>
      </c>
      <c r="M28" s="1406"/>
      <c r="N28" s="1856">
        <v>2007</v>
      </c>
      <c r="O28" s="1857">
        <f>I28</f>
        <v>994</v>
      </c>
      <c r="P28" s="1857">
        <f>J28</f>
        <v>984</v>
      </c>
      <c r="Q28" s="1857">
        <f>K28</f>
        <v>1017</v>
      </c>
      <c r="R28" s="1856"/>
      <c r="S28" s="1251"/>
    </row>
    <row r="29" spans="1:19" x14ac:dyDescent="0.25">
      <c r="A29" s="356"/>
      <c r="B29" s="380"/>
      <c r="C29" s="332"/>
      <c r="D29" s="332"/>
      <c r="E29" s="333"/>
      <c r="F29" s="332"/>
      <c r="G29" s="332"/>
      <c r="H29" s="333"/>
      <c r="I29" s="332"/>
      <c r="J29" s="332"/>
      <c r="K29" s="333"/>
      <c r="M29" s="1406"/>
      <c r="N29" s="1856"/>
      <c r="O29" s="1857"/>
      <c r="P29" s="1857"/>
      <c r="Q29" s="1857"/>
      <c r="R29" s="1856"/>
      <c r="S29" s="1251"/>
    </row>
    <row r="30" spans="1:19" x14ac:dyDescent="0.25">
      <c r="A30" s="748">
        <v>2008</v>
      </c>
      <c r="B30" s="749">
        <v>555</v>
      </c>
      <c r="C30" s="750">
        <v>473</v>
      </c>
      <c r="D30" s="750">
        <v>488</v>
      </c>
      <c r="E30" s="751">
        <v>502</v>
      </c>
      <c r="F30" s="750">
        <v>492</v>
      </c>
      <c r="G30" s="750">
        <v>497</v>
      </c>
      <c r="H30" s="751">
        <v>515</v>
      </c>
      <c r="I30" s="750">
        <v>964</v>
      </c>
      <c r="J30" s="750">
        <f>+G30+D30</f>
        <v>985</v>
      </c>
      <c r="K30" s="751">
        <f>+H30+E30</f>
        <v>1017</v>
      </c>
      <c r="M30" s="1406"/>
      <c r="N30" s="1856">
        <v>2008</v>
      </c>
      <c r="O30" s="1857">
        <f>I30</f>
        <v>964</v>
      </c>
      <c r="P30" s="1857">
        <f>J30</f>
        <v>985</v>
      </c>
      <c r="Q30" s="1857">
        <f>K30</f>
        <v>1017</v>
      </c>
      <c r="R30" s="1856"/>
      <c r="S30" s="1251"/>
    </row>
    <row r="31" spans="1:19" x14ac:dyDescent="0.25">
      <c r="A31" s="356"/>
      <c r="B31" s="380"/>
      <c r="C31" s="332"/>
      <c r="D31" s="332"/>
      <c r="E31" s="333"/>
      <c r="F31" s="332"/>
      <c r="G31" s="332"/>
      <c r="H31" s="333"/>
      <c r="I31" s="332"/>
      <c r="J31" s="332"/>
      <c r="K31" s="333"/>
      <c r="M31" s="1406"/>
      <c r="N31" s="1856"/>
      <c r="O31" s="1857"/>
      <c r="P31" s="1857"/>
      <c r="Q31" s="1857"/>
      <c r="R31" s="1856"/>
      <c r="S31" s="1251"/>
    </row>
    <row r="32" spans="1:19" x14ac:dyDescent="0.25">
      <c r="A32" s="748">
        <v>2009</v>
      </c>
      <c r="B32" s="749">
        <v>582</v>
      </c>
      <c r="C32" s="750">
        <v>489</v>
      </c>
      <c r="D32" s="750">
        <v>486</v>
      </c>
      <c r="E32" s="751">
        <v>501</v>
      </c>
      <c r="F32" s="750">
        <v>500</v>
      </c>
      <c r="G32" s="750">
        <v>496</v>
      </c>
      <c r="H32" s="751">
        <v>515</v>
      </c>
      <c r="I32" s="750">
        <v>989</v>
      </c>
      <c r="J32" s="750">
        <f>+G32+D32</f>
        <v>982</v>
      </c>
      <c r="K32" s="751">
        <f>+H32+E32</f>
        <v>1016</v>
      </c>
      <c r="M32" s="1406"/>
      <c r="N32" s="1856">
        <v>2009</v>
      </c>
      <c r="O32" s="1857">
        <f>I32</f>
        <v>989</v>
      </c>
      <c r="P32" s="1857">
        <f>J32</f>
        <v>982</v>
      </c>
      <c r="Q32" s="1857">
        <f>K32</f>
        <v>1016</v>
      </c>
      <c r="R32" s="1856"/>
      <c r="S32" s="1251"/>
    </row>
    <row r="33" spans="1:19" x14ac:dyDescent="0.25">
      <c r="A33" s="356"/>
      <c r="B33" s="380"/>
      <c r="C33" s="332"/>
      <c r="D33" s="332"/>
      <c r="E33" s="333"/>
      <c r="F33" s="332"/>
      <c r="G33" s="332"/>
      <c r="H33" s="333"/>
      <c r="I33" s="332"/>
      <c r="J33" s="332"/>
      <c r="K33" s="333"/>
      <c r="M33" s="1406"/>
      <c r="N33" s="1856"/>
      <c r="O33" s="1857"/>
      <c r="P33" s="1857"/>
      <c r="Q33" s="1857"/>
      <c r="R33" s="1856"/>
      <c r="S33" s="1251"/>
    </row>
    <row r="34" spans="1:19" x14ac:dyDescent="0.25">
      <c r="A34" s="748">
        <v>2010</v>
      </c>
      <c r="B34" s="749">
        <v>686</v>
      </c>
      <c r="C34" s="750">
        <v>483</v>
      </c>
      <c r="D34" s="750">
        <v>484</v>
      </c>
      <c r="E34" s="751">
        <v>501</v>
      </c>
      <c r="F34" s="750">
        <v>504</v>
      </c>
      <c r="G34" s="750">
        <v>495</v>
      </c>
      <c r="H34" s="751">
        <v>516</v>
      </c>
      <c r="I34" s="750">
        <v>986</v>
      </c>
      <c r="J34" s="750">
        <f>+G34+D34</f>
        <v>979</v>
      </c>
      <c r="K34" s="751">
        <f>+H34+E34</f>
        <v>1017</v>
      </c>
      <c r="M34" s="1406"/>
      <c r="N34" s="1856">
        <v>2010</v>
      </c>
      <c r="O34" s="1857">
        <f>I34</f>
        <v>986</v>
      </c>
      <c r="P34" s="1857">
        <f>J34</f>
        <v>979</v>
      </c>
      <c r="Q34" s="1857">
        <f>K34</f>
        <v>1017</v>
      </c>
      <c r="R34" s="1856"/>
      <c r="S34" s="1251"/>
    </row>
    <row r="35" spans="1:19" x14ac:dyDescent="0.25">
      <c r="A35" s="356"/>
      <c r="B35" s="380"/>
      <c r="C35" s="332"/>
      <c r="D35" s="332"/>
      <c r="E35" s="333"/>
      <c r="F35" s="332"/>
      <c r="G35" s="332"/>
      <c r="H35" s="333"/>
      <c r="I35" s="332"/>
      <c r="J35" s="332"/>
      <c r="K35" s="333"/>
      <c r="M35" s="1406"/>
      <c r="N35" s="1856"/>
      <c r="O35" s="1857"/>
      <c r="P35" s="1857"/>
      <c r="Q35" s="1857"/>
      <c r="R35" s="1856"/>
      <c r="S35" s="1251"/>
    </row>
    <row r="36" spans="1:19" x14ac:dyDescent="0.25">
      <c r="A36" s="748">
        <v>2011</v>
      </c>
      <c r="B36" s="749">
        <v>595</v>
      </c>
      <c r="C36" s="750">
        <v>476</v>
      </c>
      <c r="D36" s="750">
        <v>482</v>
      </c>
      <c r="E36" s="751">
        <v>497</v>
      </c>
      <c r="F36" s="750">
        <v>492</v>
      </c>
      <c r="G36" s="750">
        <v>490</v>
      </c>
      <c r="H36" s="751">
        <v>514</v>
      </c>
      <c r="I36" s="750">
        <f>+F36+C36</f>
        <v>968</v>
      </c>
      <c r="J36" s="750">
        <f>+G36+D36</f>
        <v>972</v>
      </c>
      <c r="K36" s="751">
        <f>+H36+E36</f>
        <v>1011</v>
      </c>
      <c r="M36" s="1406"/>
      <c r="N36" s="1856">
        <v>2011</v>
      </c>
      <c r="O36" s="1857">
        <f>I36</f>
        <v>968</v>
      </c>
      <c r="P36" s="1857">
        <f>J36</f>
        <v>972</v>
      </c>
      <c r="Q36" s="1857">
        <f>K36</f>
        <v>1011</v>
      </c>
      <c r="R36" s="1856"/>
      <c r="S36" s="1251"/>
    </row>
    <row r="37" spans="1:19" x14ac:dyDescent="0.25">
      <c r="A37" s="356"/>
      <c r="B37" s="380"/>
      <c r="C37" s="332"/>
      <c r="D37" s="332"/>
      <c r="E37" s="333"/>
      <c r="F37" s="332"/>
      <c r="G37" s="332"/>
      <c r="H37" s="333"/>
      <c r="I37" s="332"/>
      <c r="J37" s="332"/>
      <c r="K37" s="333"/>
      <c r="M37" s="1406"/>
      <c r="N37" s="1856"/>
      <c r="O37" s="1857"/>
      <c r="P37" s="1857"/>
      <c r="Q37" s="1857"/>
      <c r="R37" s="1856"/>
      <c r="S37" s="1251"/>
    </row>
    <row r="38" spans="1:19" x14ac:dyDescent="0.25">
      <c r="A38" s="748">
        <v>2012</v>
      </c>
      <c r="B38" s="749">
        <v>569</v>
      </c>
      <c r="C38" s="750">
        <v>485</v>
      </c>
      <c r="D38" s="750">
        <v>481</v>
      </c>
      <c r="E38" s="751">
        <v>496</v>
      </c>
      <c r="F38" s="750">
        <v>496</v>
      </c>
      <c r="G38" s="750">
        <v>488</v>
      </c>
      <c r="H38" s="751">
        <v>514</v>
      </c>
      <c r="I38" s="750">
        <f>+F38+C38</f>
        <v>981</v>
      </c>
      <c r="J38" s="750">
        <f>+G38+D38</f>
        <v>969</v>
      </c>
      <c r="K38" s="751">
        <f>+H38+E38</f>
        <v>1010</v>
      </c>
      <c r="M38" s="1406"/>
      <c r="N38" s="1856">
        <v>2012</v>
      </c>
      <c r="O38" s="1857">
        <f>I38</f>
        <v>981</v>
      </c>
      <c r="P38" s="1857">
        <f>J38</f>
        <v>969</v>
      </c>
      <c r="Q38" s="1857">
        <f>K38</f>
        <v>1010</v>
      </c>
      <c r="R38" s="1856"/>
      <c r="S38" s="1251"/>
    </row>
    <row r="39" spans="1:19" x14ac:dyDescent="0.25">
      <c r="A39" s="356"/>
      <c r="B39" s="380"/>
      <c r="C39" s="332"/>
      <c r="D39" s="332"/>
      <c r="E39" s="333"/>
      <c r="F39" s="332"/>
      <c r="G39" s="332"/>
      <c r="H39" s="333"/>
      <c r="I39" s="332"/>
      <c r="J39" s="332"/>
      <c r="K39" s="333"/>
      <c r="M39" s="1406"/>
      <c r="N39" s="1856"/>
      <c r="O39" s="1857"/>
      <c r="P39" s="1857"/>
      <c r="Q39" s="1857"/>
      <c r="R39" s="1856"/>
      <c r="S39" s="1251"/>
    </row>
    <row r="40" spans="1:19" x14ac:dyDescent="0.25">
      <c r="A40" s="748">
        <v>2013</v>
      </c>
      <c r="B40" s="749">
        <v>517</v>
      </c>
      <c r="C40" s="750">
        <v>482</v>
      </c>
      <c r="D40" s="750">
        <v>484</v>
      </c>
      <c r="E40" s="751">
        <v>496</v>
      </c>
      <c r="F40" s="750">
        <v>488</v>
      </c>
      <c r="G40" s="750">
        <v>487</v>
      </c>
      <c r="H40" s="751">
        <v>514</v>
      </c>
      <c r="I40" s="750">
        <f>+F40+C40</f>
        <v>970</v>
      </c>
      <c r="J40" s="750">
        <f>+G40+D40</f>
        <v>971</v>
      </c>
      <c r="K40" s="751">
        <f>+H40+E40</f>
        <v>1010</v>
      </c>
      <c r="M40" s="1406"/>
      <c r="N40" s="1856">
        <v>2013</v>
      </c>
      <c r="O40" s="1857">
        <f>I40</f>
        <v>970</v>
      </c>
      <c r="P40" s="1857">
        <f>J40</f>
        <v>971</v>
      </c>
      <c r="Q40" s="1857">
        <f>K40</f>
        <v>1010</v>
      </c>
      <c r="R40" s="1856"/>
      <c r="S40" s="1251"/>
    </row>
    <row r="41" spans="1:19" x14ac:dyDescent="0.25">
      <c r="A41" s="356"/>
      <c r="B41" s="380"/>
      <c r="C41" s="332"/>
      <c r="D41" s="332"/>
      <c r="E41" s="333"/>
      <c r="F41" s="332"/>
      <c r="G41" s="332"/>
      <c r="H41" s="333"/>
      <c r="I41" s="332"/>
      <c r="J41" s="332"/>
      <c r="K41" s="333"/>
      <c r="M41" s="1406"/>
      <c r="N41" s="1856"/>
      <c r="O41" s="1857"/>
      <c r="P41" s="1857"/>
      <c r="Q41" s="1857"/>
      <c r="R41" s="1856"/>
      <c r="S41" s="1251"/>
    </row>
    <row r="42" spans="1:19" x14ac:dyDescent="0.25">
      <c r="A42" s="748">
        <v>2014</v>
      </c>
      <c r="B42" s="749">
        <v>554</v>
      </c>
      <c r="C42" s="750">
        <v>489</v>
      </c>
      <c r="D42" s="750">
        <v>488</v>
      </c>
      <c r="E42" s="751">
        <v>497</v>
      </c>
      <c r="F42" s="750">
        <v>493</v>
      </c>
      <c r="G42" s="750">
        <v>490</v>
      </c>
      <c r="H42" s="751">
        <v>513</v>
      </c>
      <c r="I42" s="750">
        <f>+F42+C42</f>
        <v>982</v>
      </c>
      <c r="J42" s="750">
        <f>+G42+D42</f>
        <v>978</v>
      </c>
      <c r="K42" s="751">
        <f>+H42+E42</f>
        <v>1010</v>
      </c>
      <c r="M42" s="1406"/>
      <c r="N42" s="1856">
        <v>2014</v>
      </c>
      <c r="O42" s="1857">
        <f>I42</f>
        <v>982</v>
      </c>
      <c r="P42" s="1857">
        <f>J42</f>
        <v>978</v>
      </c>
      <c r="Q42" s="1857">
        <f>K42</f>
        <v>1010</v>
      </c>
      <c r="R42" s="1856"/>
      <c r="S42" s="1251"/>
    </row>
    <row r="43" spans="1:19" x14ac:dyDescent="0.25">
      <c r="A43" s="356"/>
      <c r="B43" s="380"/>
      <c r="C43" s="332"/>
      <c r="D43" s="332"/>
      <c r="E43" s="333"/>
      <c r="F43" s="332"/>
      <c r="G43" s="332"/>
      <c r="H43" s="333"/>
      <c r="I43" s="332"/>
      <c r="J43" s="332"/>
      <c r="K43" s="333"/>
      <c r="M43" s="1406"/>
      <c r="N43" s="1856"/>
      <c r="O43" s="1857"/>
      <c r="P43" s="1857"/>
      <c r="Q43" s="1857"/>
      <c r="R43" s="1856"/>
      <c r="S43" s="1251"/>
    </row>
    <row r="44" spans="1:19" x14ac:dyDescent="0.25">
      <c r="A44" s="748">
        <v>2015</v>
      </c>
      <c r="B44" s="749">
        <v>559</v>
      </c>
      <c r="C44" s="750">
        <v>484</v>
      </c>
      <c r="D44" s="750">
        <v>488</v>
      </c>
      <c r="E44" s="751">
        <v>495</v>
      </c>
      <c r="F44" s="750">
        <v>487</v>
      </c>
      <c r="G44" s="750">
        <v>487</v>
      </c>
      <c r="H44" s="751">
        <v>511</v>
      </c>
      <c r="I44" s="750">
        <f>+F44+C44</f>
        <v>971</v>
      </c>
      <c r="J44" s="750">
        <f>+G44+D44</f>
        <v>975</v>
      </c>
      <c r="K44" s="751">
        <f>+H44+E44</f>
        <v>1006</v>
      </c>
      <c r="M44" s="1406"/>
      <c r="N44" s="1856">
        <v>2015</v>
      </c>
      <c r="O44" s="1857">
        <f>I44</f>
        <v>971</v>
      </c>
      <c r="P44" s="1857">
        <f>J44</f>
        <v>975</v>
      </c>
      <c r="Q44" s="1857">
        <f>K44</f>
        <v>1006</v>
      </c>
      <c r="R44" s="1856"/>
      <c r="S44" s="1251"/>
    </row>
    <row r="45" spans="1:19" x14ac:dyDescent="0.25">
      <c r="M45" s="1406"/>
      <c r="N45" s="1856"/>
      <c r="O45" s="1857"/>
      <c r="P45" s="1857"/>
      <c r="Q45" s="1857"/>
      <c r="R45" s="1856"/>
      <c r="S45" s="1251"/>
    </row>
    <row r="46" spans="1:19" x14ac:dyDescent="0.25">
      <c r="M46" s="1406"/>
      <c r="N46" s="1856"/>
      <c r="O46" s="1857"/>
      <c r="P46" s="1857"/>
      <c r="Q46" s="1857"/>
      <c r="R46" s="1856"/>
      <c r="S46" s="1251"/>
    </row>
    <row r="47" spans="1:19" x14ac:dyDescent="0.25">
      <c r="M47" s="1406"/>
      <c r="S47" s="1251"/>
    </row>
    <row r="48" spans="1:19" x14ac:dyDescent="0.25">
      <c r="M48" s="1406"/>
      <c r="S48" s="1251"/>
    </row>
    <row r="49" spans="1:19" x14ac:dyDescent="0.25">
      <c r="M49" s="1406"/>
      <c r="S49" s="1251"/>
    </row>
    <row r="50" spans="1:19" x14ac:dyDescent="0.25">
      <c r="M50" s="1406"/>
      <c r="N50" s="1406"/>
      <c r="O50" s="1406"/>
      <c r="P50" s="1406"/>
      <c r="Q50" s="1406"/>
      <c r="R50" s="1406"/>
      <c r="S50" s="1406"/>
    </row>
    <row r="51" spans="1:19" x14ac:dyDescent="0.25">
      <c r="D51" s="1" t="s">
        <v>831</v>
      </c>
      <c r="M51" s="1406"/>
      <c r="N51" s="1406"/>
      <c r="O51" s="1406"/>
      <c r="P51" s="1406"/>
      <c r="Q51" s="1406"/>
      <c r="R51" s="1406"/>
      <c r="S51" s="1406"/>
    </row>
    <row r="52" spans="1:19" x14ac:dyDescent="0.25">
      <c r="A52" s="1" t="s">
        <v>831</v>
      </c>
      <c r="M52" s="8"/>
    </row>
    <row r="53" spans="1:19" x14ac:dyDescent="0.25">
      <c r="M53" s="8"/>
    </row>
    <row r="54" spans="1:19" x14ac:dyDescent="0.25">
      <c r="M54" s="8"/>
    </row>
    <row r="55" spans="1:19" x14ac:dyDescent="0.25">
      <c r="M55" s="8"/>
    </row>
    <row r="56" spans="1:19" x14ac:dyDescent="0.25">
      <c r="M56" s="8"/>
    </row>
  </sheetData>
  <mergeCells count="1">
    <mergeCell ref="A1:K1"/>
  </mergeCells>
  <phoneticPr fontId="16" type="noConversion"/>
  <printOptions horizontalCentered="1" verticalCentered="1"/>
  <pageMargins left="1" right="0.25" top="1" bottom="1" header="0.5" footer="0.5"/>
  <pageSetup scale="83" orientation="portrait" r:id="rId1"/>
  <headerFooter alignWithMargins="0">
    <oddFooter xml:space="preserve">&amp;LSource: Office of Admissions&amp;C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70</vt:i4>
      </vt:variant>
      <vt:variant>
        <vt:lpstr>Charts</vt:lpstr>
      </vt:variant>
      <vt:variant>
        <vt:i4>1</vt:i4>
      </vt:variant>
      <vt:variant>
        <vt:lpstr>Named Ranges</vt:lpstr>
      </vt:variant>
      <vt:variant>
        <vt:i4>39</vt:i4>
      </vt:variant>
    </vt:vector>
  </HeadingPairs>
  <TitlesOfParts>
    <vt:vector size="110" baseType="lpstr">
      <vt:lpstr>Table of Contents</vt:lpstr>
      <vt:lpstr>Board of Trustees</vt:lpstr>
      <vt:lpstr>Executive Officers</vt:lpstr>
      <vt:lpstr>2015-2016 org chart</vt:lpstr>
      <vt:lpstr>Freshmen Application History</vt:lpstr>
      <vt:lpstr>Freshmen by Gender</vt:lpstr>
      <vt:lpstr>Freshmen by Ethnic Origin</vt:lpstr>
      <vt:lpstr>Freshmen SAT 91-95</vt:lpstr>
      <vt:lpstr>Freshmen SAT 96-15</vt:lpstr>
      <vt:lpstr>first time freshmen by high sch</vt:lpstr>
      <vt:lpstr>Transfer Application History</vt:lpstr>
      <vt:lpstr>Transfers by Gender</vt:lpstr>
      <vt:lpstr>Transfers by Ethnic Origin</vt:lpstr>
      <vt:lpstr>Transfers by Institution</vt:lpstr>
      <vt:lpstr>Fall 2015 Headcount</vt:lpstr>
      <vt:lpstr>NEW Fall CHP by DISC</vt:lpstr>
      <vt:lpstr>NEW Fall FTE by DISC</vt:lpstr>
      <vt:lpstr>UG cr hrs per student</vt:lpstr>
      <vt:lpstr>Spring 2016 Headcount</vt:lpstr>
      <vt:lpstr>NEW Spring CHP by DISC</vt:lpstr>
      <vt:lpstr>NEW Spring FTE by DISC</vt:lpstr>
      <vt:lpstr>Headcount &amp; FTE History</vt:lpstr>
      <vt:lpstr>NEW Summer CHP by DISC </vt:lpstr>
      <vt:lpstr>NEW Summer FTE by DISC</vt:lpstr>
      <vt:lpstr>Summer Credit Hour Production</vt:lpstr>
      <vt:lpstr>Fall Headcount by Class</vt:lpstr>
      <vt:lpstr>Spring Headcount by Class</vt:lpstr>
      <vt:lpstr>Summer Headcount by Class </vt:lpstr>
      <vt:lpstr>New Fall college hdcnt by major</vt:lpstr>
      <vt:lpstr>Fal hdct by major 5 yr ave</vt:lpstr>
      <vt:lpstr>Fall Headcoun by Education Majo</vt:lpstr>
      <vt:lpstr>Minor Headcount History</vt:lpstr>
      <vt:lpstr>Spring college hdcnt by major</vt:lpstr>
      <vt:lpstr>New Summer hdnt by college</vt:lpstr>
      <vt:lpstr>Number of Online Courses</vt:lpstr>
      <vt:lpstr>Average Age</vt:lpstr>
      <vt:lpstr>Fall 2015 by Age and Gend</vt:lpstr>
      <vt:lpstr>Black Enrollment History</vt:lpstr>
      <vt:lpstr>Country of Origin</vt:lpstr>
      <vt:lpstr>State of Origin</vt:lpstr>
      <vt:lpstr>SC Students by County</vt:lpstr>
      <vt:lpstr>In- &amp; Out-of-State Distribution</vt:lpstr>
      <vt:lpstr>New degrees conferred by colleg</vt:lpstr>
      <vt:lpstr>deg conferred 5 yr averages</vt:lpstr>
      <vt:lpstr>teacher certification degrees</vt:lpstr>
      <vt:lpstr>Minors Conferred</vt:lpstr>
      <vt:lpstr>Minors Conferred 5 year average</vt:lpstr>
      <vt:lpstr>Residency Halls Occupancy</vt:lpstr>
      <vt:lpstr>Library Statistics</vt:lpstr>
      <vt:lpstr>Alumni by Country</vt:lpstr>
      <vt:lpstr>Alumni by State</vt:lpstr>
      <vt:lpstr>Alumni by County</vt:lpstr>
      <vt:lpstr>FTE Student-Faculty Ratio</vt:lpstr>
      <vt:lpstr>Fall Teaching Fac. by Div rank</vt:lpstr>
      <vt:lpstr>Faculty by Div,Tenure,Degree</vt:lpstr>
      <vt:lpstr>Faculty by Rank and Gender</vt:lpstr>
      <vt:lpstr>Faculty Salaries by Rank</vt:lpstr>
      <vt:lpstr>Academic Fees</vt:lpstr>
      <vt:lpstr>Financial Aid Summary 01 TO 05</vt:lpstr>
      <vt:lpstr>financial aid sources 06_11</vt:lpstr>
      <vt:lpstr>FA SOURCES 12_13 to 15_16</vt:lpstr>
      <vt:lpstr>Revenues and Expenditures 13-14</vt:lpstr>
      <vt:lpstr>Facilities </vt:lpstr>
      <vt:lpstr>Graduation Rates (2006)</vt:lpstr>
      <vt:lpstr>Graduation Rates (2007)</vt:lpstr>
      <vt:lpstr>Graduation Rates (2008)</vt:lpstr>
      <vt:lpstr>Graduation Rates (2009)</vt:lpstr>
      <vt:lpstr>Graduation Rates 4 Yr Ave</vt:lpstr>
      <vt:lpstr>Freshmen Retention_Attrition</vt:lpstr>
      <vt:lpstr>Transfer Retention_Attrition</vt:lpstr>
      <vt:lpstr>Faculty by Div,Ten,Dg-Chart</vt:lpstr>
      <vt:lpstr>'Academic Fees'!Print_Area</vt:lpstr>
      <vt:lpstr>'Average Age'!Print_Area</vt:lpstr>
      <vt:lpstr>'Black Enrollment History'!Print_Area</vt:lpstr>
      <vt:lpstr>'Faculty by Div,Tenure,Degree'!Print_Area</vt:lpstr>
      <vt:lpstr>'Faculty by Rank and Gender'!Print_Area</vt:lpstr>
      <vt:lpstr>'Faculty Salaries by Rank'!Print_Area</vt:lpstr>
      <vt:lpstr>'Fall Headcount by Class'!Print_Area</vt:lpstr>
      <vt:lpstr>'financial aid sources 06_11'!Print_Area</vt:lpstr>
      <vt:lpstr>'Financial Aid Summary 01 TO 05'!Print_Area</vt:lpstr>
      <vt:lpstr>'Freshmen Application History'!Print_Area</vt:lpstr>
      <vt:lpstr>'Freshmen Retention_Attrition'!Print_Area</vt:lpstr>
      <vt:lpstr>'Freshmen SAT 91-95'!Print_Area</vt:lpstr>
      <vt:lpstr>'Freshmen SAT 96-15'!Print_Area</vt:lpstr>
      <vt:lpstr>'NEW Fall CHP by DISC'!Print_Area</vt:lpstr>
      <vt:lpstr>'New Fall college hdcnt by major'!Print_Area</vt:lpstr>
      <vt:lpstr>'NEW Fall FTE by DISC'!Print_Area</vt:lpstr>
      <vt:lpstr>'NEW Spring CHP by DISC'!Print_Area</vt:lpstr>
      <vt:lpstr>'NEW Spring FTE by DISC'!Print_Area</vt:lpstr>
      <vt:lpstr>'NEW Summer CHP by DISC '!Print_Area</vt:lpstr>
      <vt:lpstr>'NEW Summer FTE by DISC'!Print_Area</vt:lpstr>
      <vt:lpstr>'Spring Headcount by Class'!Print_Area</vt:lpstr>
      <vt:lpstr>'Summer Headcount by Class '!Print_Area</vt:lpstr>
      <vt:lpstr>'Table of Contents'!Print_Area</vt:lpstr>
      <vt:lpstr>'Transfer Application History'!Print_Area</vt:lpstr>
      <vt:lpstr>'UG cr hrs per student'!Print_Area</vt:lpstr>
      <vt:lpstr>'deg conferred 5 yr averages'!Print_Titles</vt:lpstr>
      <vt:lpstr>'Fal hdct by major 5 yr ave'!Print_Titles</vt:lpstr>
      <vt:lpstr>'first time freshmen by high sch'!Print_Titles</vt:lpstr>
      <vt:lpstr>'New degrees conferred by colleg'!Print_Titles</vt:lpstr>
      <vt:lpstr>'NEW Fall CHP by DISC'!Print_Titles</vt:lpstr>
      <vt:lpstr>'New Fall college hdcnt by major'!Print_Titles</vt:lpstr>
      <vt:lpstr>'NEW Fall FTE by DISC'!Print_Titles</vt:lpstr>
      <vt:lpstr>'NEW Spring CHP by DISC'!Print_Titles</vt:lpstr>
      <vt:lpstr>'NEW Spring FTE by DISC'!Print_Titles</vt:lpstr>
      <vt:lpstr>'NEW Summer CHP by DISC '!Print_Titles</vt:lpstr>
      <vt:lpstr>'NEW Summer FTE by DISC'!Print_Titles</vt:lpstr>
      <vt:lpstr>'New Summer hdnt by college'!Print_Titles</vt:lpstr>
      <vt:lpstr>'Spring college hdcnt by major'!Print_Titles</vt:lpstr>
      <vt:lpstr>'Table of Contents'!Print_Titles</vt:lpstr>
    </vt:vector>
  </TitlesOfParts>
  <Company>Lander University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mkirkpat</dc:creator>
  <cp:lastModifiedBy>Mac Kirkpatrick</cp:lastModifiedBy>
  <cp:lastPrinted>2016-07-13T20:04:02Z</cp:lastPrinted>
  <dcterms:created xsi:type="dcterms:W3CDTF">2001-05-07T18:16:49Z</dcterms:created>
  <dcterms:modified xsi:type="dcterms:W3CDTF">2016-11-17T19:36:07Z</dcterms:modified>
</cp:coreProperties>
</file>